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drawings/drawing5.xml" ContentType="application/vnd.openxmlformats-officedocument.drawing+xml"/>
  <Override PartName="/xl/tables/table22.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dimegwu\OneDrive - Bank Of Industry\Desktop\Archive Mgt Policy\Ajor Udes\"/>
    </mc:Choice>
  </mc:AlternateContent>
  <workbookProtection workbookAlgorithmName="SHA-512" workbookHashValue="Vdy5oBV5QwGebADdPSNWk2OMXJQQvRicF7koBVH21bnVy/OdiRRItSoFvr9AfO6IUjuQtMUDb+muuYXy5iJ40A==" workbookSaltValue="NbUBCYtI2fsCl3p5nK/CUg==" workbookSpinCount="100000" lockStructure="1"/>
  <bookViews>
    <workbookView xWindow="0" yWindow="0" windowWidth="20490" windowHeight="7575" tabRatio="722" firstSheet="1" activeTab="2"/>
  </bookViews>
  <sheets>
    <sheet name="Version Notes" sheetId="8" state="hidden" r:id="rId1"/>
    <sheet name="Credit Rating (Existing)" sheetId="7" r:id="rId2"/>
    <sheet name="Credit Rating (Start-up)" sheetId="45" r:id="rId3"/>
    <sheet name="Credit Rating Report" sheetId="49" r:id="rId4"/>
    <sheet name="Model Data" sheetId="2" state="hidden" r:id="rId5"/>
    <sheet name="Industry Sector Analysis" sheetId="1" state="hidden" r:id="rId6"/>
    <sheet name="Fin Statement Scoring Matrix" sheetId="10" state="hidden" r:id="rId7"/>
  </sheets>
  <externalReferences>
    <externalReference r:id="rId8"/>
  </externalReferences>
  <definedNames>
    <definedName name="_xlnm.Print_Area" localSheetId="1">'Credit Rating (Existing)'!$B$2:$I$233</definedName>
    <definedName name="_xlnm.Print_Area" localSheetId="2">'Credit Rating (Start-up)'!$B$2:$K$269</definedName>
    <definedName name="_xlnm.Print_Area" localSheetId="3">'Credit Rating Report'!$B$2:$H$106</definedName>
  </definedNames>
  <calcPr calcId="162913"/>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8" i="2" l="1"/>
  <c r="B144" i="2" l="1"/>
  <c r="B145" i="2"/>
  <c r="B146" i="2"/>
  <c r="B147" i="2"/>
  <c r="B148" i="2"/>
  <c r="B149" i="2"/>
  <c r="B150" i="2"/>
  <c r="B151" i="2"/>
  <c r="B152" i="2"/>
  <c r="B153" i="2"/>
  <c r="B154" i="2"/>
  <c r="B155" i="2"/>
  <c r="B156" i="2"/>
  <c r="B157" i="2"/>
  <c r="B158" i="2"/>
  <c r="C160" i="2"/>
  <c r="F230" i="45" l="1"/>
  <c r="F229" i="45"/>
  <c r="F227" i="45"/>
  <c r="F226" i="45"/>
  <c r="D88" i="7" l="1"/>
  <c r="G30" i="7" l="1"/>
  <c r="C79" i="2"/>
  <c r="D37" i="45" l="1"/>
  <c r="D23" i="45" l="1"/>
  <c r="F25" i="49" l="1"/>
  <c r="G25" i="49" s="1"/>
  <c r="F24" i="49"/>
  <c r="F23" i="49"/>
  <c r="F22" i="49"/>
  <c r="G23" i="49" l="1"/>
  <c r="G22" i="49"/>
  <c r="G24" i="49"/>
  <c r="G269" i="45"/>
  <c r="F269" i="45"/>
  <c r="E269" i="45"/>
  <c r="D269" i="45"/>
  <c r="C269" i="45"/>
  <c r="B269" i="45"/>
  <c r="G268" i="45"/>
  <c r="F268" i="45"/>
  <c r="E268" i="45"/>
  <c r="D268" i="45"/>
  <c r="C268" i="45"/>
  <c r="B268" i="45"/>
  <c r="G267" i="45"/>
  <c r="F267" i="45"/>
  <c r="E267" i="45"/>
  <c r="D267" i="45"/>
  <c r="C267" i="45"/>
  <c r="B267" i="45"/>
  <c r="G266" i="45"/>
  <c r="F266" i="45"/>
  <c r="E266" i="45"/>
  <c r="D266" i="45"/>
  <c r="C266" i="45"/>
  <c r="B266" i="45"/>
  <c r="G265" i="45"/>
  <c r="F265" i="45"/>
  <c r="E265" i="45"/>
  <c r="D265" i="45"/>
  <c r="C265" i="45"/>
  <c r="B265" i="45"/>
  <c r="G264" i="45"/>
  <c r="F264" i="45"/>
  <c r="E264" i="45"/>
  <c r="D264" i="45"/>
  <c r="C264" i="45"/>
  <c r="B264" i="45"/>
  <c r="G263" i="45"/>
  <c r="F263" i="45"/>
  <c r="E263" i="45"/>
  <c r="D263" i="45"/>
  <c r="C263" i="45"/>
  <c r="B263" i="45"/>
  <c r="G262" i="45"/>
  <c r="F262" i="45"/>
  <c r="E262" i="45"/>
  <c r="D262" i="45"/>
  <c r="C262" i="45"/>
  <c r="B262" i="45"/>
  <c r="G261" i="45"/>
  <c r="F261" i="45"/>
  <c r="E261" i="45"/>
  <c r="D261" i="45"/>
  <c r="C261" i="45"/>
  <c r="B261" i="45"/>
  <c r="E247" i="45"/>
  <c r="D247" i="45"/>
  <c r="E245" i="45"/>
  <c r="D245" i="45"/>
  <c r="B245" i="45"/>
  <c r="E241" i="45"/>
  <c r="D241" i="45"/>
  <c r="E239" i="45"/>
  <c r="D239" i="45"/>
  <c r="B239" i="45"/>
  <c r="E89" i="49"/>
  <c r="I127" i="45"/>
  <c r="H127" i="45"/>
  <c r="G127" i="45"/>
  <c r="E66" i="45"/>
  <c r="D66" i="45"/>
  <c r="D63" i="45"/>
  <c r="D61" i="45"/>
  <c r="D59" i="45"/>
  <c r="D57" i="45"/>
  <c r="D55" i="45"/>
  <c r="D51" i="45"/>
  <c r="D49" i="45"/>
  <c r="D47" i="45"/>
  <c r="D45" i="45"/>
  <c r="D39" i="45"/>
  <c r="H46" i="45" l="1"/>
  <c r="F110" i="45"/>
  <c r="F21" i="49"/>
  <c r="G21" i="49" l="1"/>
  <c r="D190" i="7"/>
  <c r="I194" i="7" l="1"/>
  <c r="E59" i="49" l="1"/>
  <c r="G59" i="49"/>
  <c r="D231" i="7"/>
  <c r="E224" i="7"/>
  <c r="G22" i="7" l="1"/>
  <c r="D85" i="7" l="1"/>
  <c r="D86" i="7"/>
  <c r="D105" i="7" l="1"/>
  <c r="F43" i="49" l="1"/>
  <c r="E43" i="49"/>
  <c r="G43" i="49" l="1"/>
  <c r="E39" i="49"/>
  <c r="C43" i="49"/>
  <c r="B40" i="49" s="1"/>
  <c r="B43" i="49"/>
  <c r="B39" i="49" s="1"/>
  <c r="E48" i="49"/>
  <c r="E51" i="49"/>
  <c r="E50" i="49"/>
  <c r="E92" i="49"/>
  <c r="B50" i="49"/>
  <c r="B51" i="49"/>
  <c r="B48" i="49"/>
  <c r="E52" i="49"/>
  <c r="B52" i="49"/>
  <c r="G44" i="49" l="1"/>
  <c r="E40" i="49"/>
  <c r="D44" i="49"/>
  <c r="D43" i="49"/>
  <c r="B18" i="49"/>
  <c r="E44" i="49" l="1"/>
  <c r="F44" i="49" s="1"/>
  <c r="I188" i="45" l="1"/>
  <c r="I185" i="45"/>
  <c r="I191" i="45"/>
  <c r="I194" i="45"/>
  <c r="I197" i="45"/>
  <c r="I182" i="45"/>
  <c r="I179" i="45"/>
  <c r="I176" i="45"/>
  <c r="I200" i="45"/>
  <c r="I203" i="45"/>
  <c r="I173" i="45"/>
  <c r="I170" i="45"/>
  <c r="I206" i="45"/>
  <c r="I209" i="45"/>
  <c r="I167" i="45"/>
  <c r="G148" i="7"/>
  <c r="G145" i="7"/>
  <c r="G142" i="7"/>
  <c r="G139" i="7"/>
  <c r="G149" i="7"/>
  <c r="G152" i="7"/>
  <c r="G136" i="7"/>
  <c r="G133" i="7"/>
  <c r="G155" i="7"/>
  <c r="G158" i="7"/>
  <c r="G161" i="7"/>
  <c r="G130" i="7"/>
  <c r="G127" i="7"/>
  <c r="G126" i="7"/>
  <c r="G123" i="7"/>
  <c r="G122" i="7"/>
  <c r="G121" i="7"/>
  <c r="F68" i="49" l="1"/>
  <c r="E68" i="49"/>
  <c r="H44" i="49" l="1"/>
  <c r="C30" i="49"/>
  <c r="G9" i="49"/>
  <c r="G39" i="49" l="1"/>
  <c r="B49" i="49"/>
  <c r="F89" i="49" l="1"/>
  <c r="F90" i="49"/>
  <c r="F91" i="49"/>
  <c r="F95" i="49"/>
  <c r="F96" i="49"/>
  <c r="F97" i="49"/>
  <c r="F98" i="49"/>
  <c r="F99" i="49"/>
  <c r="F100" i="49"/>
  <c r="F101" i="49"/>
  <c r="D102" i="49"/>
  <c r="G58" i="49"/>
  <c r="E58" i="49"/>
  <c r="G81" i="49"/>
  <c r="G80" i="49"/>
  <c r="G79" i="49"/>
  <c r="G78" i="49"/>
  <c r="G77" i="49"/>
  <c r="G76" i="49"/>
  <c r="F100" i="45"/>
  <c r="B23" i="49"/>
  <c r="G75" i="49"/>
  <c r="E67" i="7"/>
  <c r="E101" i="7" s="1"/>
  <c r="E73" i="7"/>
  <c r="E57" i="7"/>
  <c r="D67" i="7"/>
  <c r="D73" i="7"/>
  <c r="D76" i="7" s="1"/>
  <c r="D106" i="7"/>
  <c r="D104" i="7"/>
  <c r="D57" i="7"/>
  <c r="D102" i="7" s="1"/>
  <c r="D100" i="7"/>
  <c r="E49" i="49"/>
  <c r="F111" i="45"/>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H150" i="45" s="1"/>
  <c r="E52" i="10"/>
  <c r="D52" i="10"/>
  <c r="E51" i="10"/>
  <c r="D51" i="10"/>
  <c r="E50" i="10"/>
  <c r="D50" i="10"/>
  <c r="E49" i="10"/>
  <c r="D49" i="10"/>
  <c r="E48" i="10"/>
  <c r="D48" i="10"/>
  <c r="E47" i="10"/>
  <c r="H148" i="45" s="1"/>
  <c r="D47" i="10"/>
  <c r="E46" i="10"/>
  <c r="D46" i="10"/>
  <c r="E45" i="10"/>
  <c r="D45" i="10"/>
  <c r="E44" i="10"/>
  <c r="D44" i="10"/>
  <c r="E43" i="10"/>
  <c r="D43" i="10"/>
  <c r="E42" i="10"/>
  <c r="H147" i="45" s="1"/>
  <c r="D42" i="10"/>
  <c r="E41" i="10"/>
  <c r="D41" i="10"/>
  <c r="E40" i="10"/>
  <c r="D40" i="10"/>
  <c r="E39" i="10"/>
  <c r="D39" i="10"/>
  <c r="E38" i="10"/>
  <c r="D38" i="10"/>
  <c r="E37" i="10"/>
  <c r="D37" i="10"/>
  <c r="E36" i="10"/>
  <c r="D36" i="10"/>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H143" i="45" s="1"/>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H141" i="45" s="1"/>
  <c r="F101" i="45"/>
  <c r="I256" i="45"/>
  <c r="D259" i="45"/>
  <c r="G16" i="45"/>
  <c r="E16" i="7"/>
  <c r="I198" i="7"/>
  <c r="I201" i="7" s="1"/>
  <c r="E88" i="7"/>
  <c r="E87" i="7"/>
  <c r="D87" i="7"/>
  <c r="E86" i="7"/>
  <c r="E85" i="7"/>
  <c r="F73" i="7"/>
  <c r="F76" i="7" s="1"/>
  <c r="F78" i="7" s="1"/>
  <c r="F80" i="7" s="1"/>
  <c r="F67" i="7"/>
  <c r="F62" i="7"/>
  <c r="E62" i="7"/>
  <c r="D62" i="7"/>
  <c r="F57" i="7"/>
  <c r="I172" i="7"/>
  <c r="K31" i="45"/>
  <c r="I259" i="45"/>
  <c r="D256" i="45"/>
  <c r="K90" i="45"/>
  <c r="K56" i="45"/>
  <c r="K52" i="45"/>
  <c r="J48" i="45"/>
  <c r="J46" i="45"/>
  <c r="J44" i="45"/>
  <c r="K215" i="45"/>
  <c r="J167" i="45"/>
  <c r="H181" i="7"/>
  <c r="H180" i="7"/>
  <c r="H179" i="7"/>
  <c r="E207" i="7"/>
  <c r="B202" i="7"/>
  <c r="B43" i="2"/>
  <c r="B45" i="2"/>
  <c r="B167" i="2"/>
  <c r="B168" i="2"/>
  <c r="B169" i="2"/>
  <c r="B170" i="2"/>
  <c r="B172" i="2"/>
  <c r="B173" i="2"/>
  <c r="B174" i="2"/>
  <c r="B175" i="2"/>
  <c r="B176" i="2"/>
  <c r="B177" i="2"/>
  <c r="B178" i="2"/>
  <c r="B179" i="2"/>
  <c r="B180" i="2"/>
  <c r="B181" i="2"/>
  <c r="B182" i="2"/>
  <c r="B183" i="2"/>
  <c r="B184" i="2"/>
  <c r="E100" i="7"/>
  <c r="E106" i="7"/>
  <c r="E105" i="7"/>
  <c r="F105" i="7" s="1"/>
  <c r="E104" i="7"/>
  <c r="C68" i="2"/>
  <c r="C186" i="2"/>
  <c r="B84" i="2"/>
  <c r="J141" i="45" s="1"/>
  <c r="B85" i="2"/>
  <c r="C13" i="10" s="1"/>
  <c r="B86" i="2"/>
  <c r="C18" i="10" s="1"/>
  <c r="B87" i="2"/>
  <c r="C23" i="10" s="1"/>
  <c r="B88" i="2"/>
  <c r="C28" i="10" s="1"/>
  <c r="B89" i="2"/>
  <c r="C33" i="10" s="1"/>
  <c r="B90" i="2"/>
  <c r="C38" i="10" s="1"/>
  <c r="B91" i="2"/>
  <c r="C43" i="10" s="1"/>
  <c r="B92" i="2"/>
  <c r="C48" i="10" s="1"/>
  <c r="B93" i="2"/>
  <c r="C53" i="10" s="1"/>
  <c r="B94" i="2"/>
  <c r="C58" i="10" s="1"/>
  <c r="B95" i="2"/>
  <c r="C63" i="10" s="1"/>
  <c r="C97" i="2"/>
  <c r="I110" i="7" s="1"/>
  <c r="B119" i="2"/>
  <c r="H121" i="7" s="1"/>
  <c r="B120" i="2"/>
  <c r="B121" i="2"/>
  <c r="B122" i="2"/>
  <c r="B123" i="2"/>
  <c r="B124" i="2"/>
  <c r="B125" i="2"/>
  <c r="B126" i="2"/>
  <c r="B127" i="2"/>
  <c r="B128" i="2"/>
  <c r="B129" i="2"/>
  <c r="B130" i="2"/>
  <c r="B131" i="2"/>
  <c r="B132" i="2"/>
  <c r="B133" i="2"/>
  <c r="B134" i="2"/>
  <c r="B135" i="2"/>
  <c r="C137" i="2"/>
  <c r="I168" i="7" s="1"/>
  <c r="I114" i="7"/>
  <c r="I42" i="7"/>
  <c r="H146" i="45" l="1"/>
  <c r="H145" i="45"/>
  <c r="C53" i="2"/>
  <c r="K27" i="45" s="1"/>
  <c r="C47" i="2"/>
  <c r="I38" i="7" s="1"/>
  <c r="F106" i="7"/>
  <c r="E231" i="7"/>
  <c r="E227" i="7"/>
  <c r="H22" i="7"/>
  <c r="I22" i="7" s="1"/>
  <c r="H30" i="7"/>
  <c r="I30" i="7" s="1"/>
  <c r="U21" i="1"/>
  <c r="U35" i="1"/>
  <c r="H152" i="45"/>
  <c r="H142" i="45"/>
  <c r="H144" i="45"/>
  <c r="F104" i="7"/>
  <c r="H149" i="45"/>
  <c r="H151" i="45"/>
  <c r="F100" i="7"/>
  <c r="J209" i="45"/>
  <c r="K209" i="45" s="1"/>
  <c r="E210" i="7"/>
  <c r="F68" i="7"/>
  <c r="E68" i="7"/>
  <c r="D78" i="7"/>
  <c r="U14" i="1"/>
  <c r="U7" i="1"/>
  <c r="U8" i="1"/>
  <c r="U44" i="1"/>
  <c r="U41" i="1"/>
  <c r="U16" i="1"/>
  <c r="D40" i="49"/>
  <c r="I239" i="45"/>
  <c r="I46" i="45"/>
  <c r="K46" i="45" s="1"/>
  <c r="K167" i="45"/>
  <c r="I121" i="7"/>
  <c r="G104" i="7"/>
  <c r="F94" i="49"/>
  <c r="F93" i="49"/>
  <c r="E102" i="7"/>
  <c r="F102" i="7" s="1"/>
  <c r="D98" i="7"/>
  <c r="E221" i="7" s="1"/>
  <c r="D68" i="7"/>
  <c r="H123" i="7"/>
  <c r="I123" i="7" s="1"/>
  <c r="D101" i="7"/>
  <c r="G101" i="7" s="1"/>
  <c r="E98" i="7"/>
  <c r="E76" i="7"/>
  <c r="H33" i="7"/>
  <c r="H99" i="7"/>
  <c r="H130" i="7"/>
  <c r="I130" i="7" s="1"/>
  <c r="H142" i="7"/>
  <c r="I142" i="7" s="1"/>
  <c r="H148" i="7"/>
  <c r="I148" i="7" s="1"/>
  <c r="H133" i="7"/>
  <c r="I133" i="7" s="1"/>
  <c r="H155" i="7"/>
  <c r="I155" i="7" s="1"/>
  <c r="H97" i="7"/>
  <c r="H127" i="7"/>
  <c r="I127" i="7" s="1"/>
  <c r="H126" i="7"/>
  <c r="I126" i="7" s="1"/>
  <c r="H149" i="7"/>
  <c r="I149" i="7" s="1"/>
  <c r="G100" i="7"/>
  <c r="G102" i="7"/>
  <c r="G105" i="7"/>
  <c r="G106" i="7"/>
  <c r="H122" i="7"/>
  <c r="I122" i="7" s="1"/>
  <c r="H158" i="7"/>
  <c r="I158" i="7" s="1"/>
  <c r="J142" i="45"/>
  <c r="H139" i="7"/>
  <c r="I139" i="7" s="1"/>
  <c r="H136" i="7"/>
  <c r="I136" i="7" s="1"/>
  <c r="H152" i="7"/>
  <c r="I152" i="7" s="1"/>
  <c r="H145" i="7"/>
  <c r="I145" i="7" s="1"/>
  <c r="H161" i="7"/>
  <c r="I161" i="7" s="1"/>
  <c r="H106" i="7"/>
  <c r="J197" i="45"/>
  <c r="K197" i="45" s="1"/>
  <c r="J206" i="45"/>
  <c r="K206" i="45" s="1"/>
  <c r="J176" i="45"/>
  <c r="K176" i="45" s="1"/>
  <c r="J188" i="45"/>
  <c r="K188" i="45" s="1"/>
  <c r="J191" i="45"/>
  <c r="K191" i="45" s="1"/>
  <c r="J185" i="45"/>
  <c r="K185" i="45" s="1"/>
  <c r="J200" i="45"/>
  <c r="K200" i="45" s="1"/>
  <c r="F113" i="45"/>
  <c r="J147" i="45"/>
  <c r="U26" i="1"/>
  <c r="J143" i="45"/>
  <c r="U20" i="1"/>
  <c r="U9" i="1"/>
  <c r="U19" i="1"/>
  <c r="H103" i="7"/>
  <c r="H102" i="7"/>
  <c r="H104" i="7"/>
  <c r="J148" i="45"/>
  <c r="U30" i="1"/>
  <c r="U27" i="1"/>
  <c r="U46" i="1"/>
  <c r="J146" i="45"/>
  <c r="J150" i="45"/>
  <c r="U17" i="1"/>
  <c r="U32" i="1"/>
  <c r="J144" i="45"/>
  <c r="U15" i="1"/>
  <c r="H105" i="7"/>
  <c r="H98" i="7"/>
  <c r="U38" i="1"/>
  <c r="U13" i="1"/>
  <c r="U39" i="1"/>
  <c r="U28" i="1"/>
  <c r="U31" i="1"/>
  <c r="U22" i="1"/>
  <c r="H100" i="7"/>
  <c r="U37" i="1"/>
  <c r="J149" i="45"/>
  <c r="U10" i="1"/>
  <c r="U40" i="1"/>
  <c r="U11" i="1"/>
  <c r="U18" i="1"/>
  <c r="U33" i="1"/>
  <c r="U45" i="1"/>
  <c r="U34" i="1"/>
  <c r="C8" i="10"/>
  <c r="J145" i="45"/>
  <c r="J203" i="45"/>
  <c r="K203" i="45" s="1"/>
  <c r="J179" i="45"/>
  <c r="K179" i="45" s="1"/>
  <c r="J194" i="45"/>
  <c r="K194" i="45" s="1"/>
  <c r="J182" i="45"/>
  <c r="K182" i="45" s="1"/>
  <c r="J170" i="45"/>
  <c r="K170" i="45" s="1"/>
  <c r="J173" i="45"/>
  <c r="K173" i="45" s="1"/>
  <c r="U36" i="1"/>
  <c r="H95" i="7"/>
  <c r="U25" i="1"/>
  <c r="U12" i="1"/>
  <c r="U42" i="1"/>
  <c r="J151" i="45"/>
  <c r="U24" i="1"/>
  <c r="U29" i="1"/>
  <c r="U43" i="1"/>
  <c r="H101" i="7"/>
  <c r="U23" i="1"/>
  <c r="J152" i="45"/>
  <c r="H96" i="7"/>
  <c r="I245" i="45"/>
  <c r="F106" i="45"/>
  <c r="F105" i="45" s="1"/>
  <c r="F102" i="45"/>
  <c r="B251" i="45"/>
  <c r="B8" i="49" s="1"/>
  <c r="F107" i="45"/>
  <c r="B256" i="45"/>
  <c r="I22" i="45" l="1"/>
  <c r="K22" i="45" s="1"/>
  <c r="K25" i="45" s="1"/>
  <c r="K29" i="45" s="1"/>
  <c r="K33" i="45" s="1"/>
  <c r="D226" i="45" s="1"/>
  <c r="F98" i="7"/>
  <c r="D84" i="7"/>
  <c r="D233" i="7" s="1"/>
  <c r="G40" i="49"/>
  <c r="D99" i="7"/>
  <c r="G99" i="7" s="1"/>
  <c r="I99" i="7" s="1"/>
  <c r="G98" i="7"/>
  <c r="I98" i="7" s="1"/>
  <c r="F101" i="7"/>
  <c r="G33" i="7"/>
  <c r="I33" i="7" s="1"/>
  <c r="I104" i="7"/>
  <c r="E102" i="49"/>
  <c r="E78" i="7"/>
  <c r="E84" i="7"/>
  <c r="I106" i="7"/>
  <c r="I100" i="7"/>
  <c r="I102" i="7"/>
  <c r="I101" i="7"/>
  <c r="I166" i="7"/>
  <c r="I105" i="7"/>
  <c r="K213" i="45"/>
  <c r="K217" i="45" s="1"/>
  <c r="E230" i="45" s="1"/>
  <c r="G230" i="45" s="1"/>
  <c r="H25" i="49" s="1"/>
  <c r="I250" i="45"/>
  <c r="F108" i="45"/>
  <c r="F114" i="45" s="1"/>
  <c r="E226" i="45" l="1"/>
  <c r="G226" i="45" s="1"/>
  <c r="H21" i="49" s="1"/>
  <c r="I36" i="7"/>
  <c r="I40" i="7" s="1"/>
  <c r="D95" i="7"/>
  <c r="G95" i="7" s="1"/>
  <c r="I95" i="7" s="1"/>
  <c r="E214" i="7"/>
  <c r="D97" i="7"/>
  <c r="G97" i="7" s="1"/>
  <c r="I97" i="7" s="1"/>
  <c r="D90" i="7"/>
  <c r="D96" i="7"/>
  <c r="G96" i="7" s="1"/>
  <c r="I96" i="7" s="1"/>
  <c r="E218" i="7"/>
  <c r="D80" i="7"/>
  <c r="D103" i="7" s="1"/>
  <c r="G103" i="7" s="1"/>
  <c r="I103" i="7" s="1"/>
  <c r="I170" i="7"/>
  <c r="G181" i="7" s="1"/>
  <c r="I181" i="7" s="1"/>
  <c r="D42" i="49"/>
  <c r="D39" i="49"/>
  <c r="K221" i="45"/>
  <c r="D230" i="45" s="1"/>
  <c r="F92" i="49"/>
  <c r="F102" i="49" s="1"/>
  <c r="E95" i="7"/>
  <c r="F95" i="7" s="1"/>
  <c r="L95" i="7" s="1"/>
  <c r="E97" i="7"/>
  <c r="F97" i="7" s="1"/>
  <c r="E96" i="7"/>
  <c r="F96" i="7" s="1"/>
  <c r="E90" i="7"/>
  <c r="E99" i="7"/>
  <c r="F99" i="7" s="1"/>
  <c r="E80" i="7"/>
  <c r="I44" i="7" l="1"/>
  <c r="F179" i="7" s="1"/>
  <c r="G179" i="7"/>
  <c r="I179" i="7" s="1"/>
  <c r="I108" i="7"/>
  <c r="I112" i="7" s="1"/>
  <c r="G180" i="7" s="1"/>
  <c r="I180" i="7" s="1"/>
  <c r="I174" i="7"/>
  <c r="F181" i="7" s="1"/>
  <c r="D41" i="49"/>
  <c r="I44" i="49"/>
  <c r="G42" i="49" s="1"/>
  <c r="G41" i="49"/>
  <c r="E103" i="7"/>
  <c r="F103" i="7" s="1"/>
  <c r="I116" i="7" l="1"/>
  <c r="F180" i="7" s="1"/>
  <c r="I184" i="7" s="1"/>
  <c r="I182" i="7"/>
  <c r="D11" i="7" l="1"/>
  <c r="D13" i="7" s="1"/>
  <c r="C8" i="7"/>
  <c r="G210" i="7"/>
  <c r="G224" i="7"/>
  <c r="G221" i="7"/>
  <c r="G218" i="7"/>
  <c r="G214" i="7"/>
  <c r="D8" i="7"/>
  <c r="G207" i="7"/>
  <c r="G101" i="45" l="1"/>
  <c r="I101" i="45" l="1"/>
  <c r="H101" i="45"/>
  <c r="D43" i="45" l="1"/>
  <c r="H48" i="45" l="1"/>
  <c r="I48" i="45" s="1"/>
  <c r="K48" i="45" s="1"/>
  <c r="H44" i="45"/>
  <c r="F99" i="45"/>
  <c r="F98" i="45" s="1"/>
  <c r="F103" i="45" s="1"/>
  <c r="D71" i="45" l="1"/>
  <c r="I44" i="45"/>
  <c r="K44" i="45" s="1"/>
  <c r="K50" i="45" s="1"/>
  <c r="K54" i="45" s="1"/>
  <c r="K58" i="45" l="1"/>
  <c r="D227" i="45" s="1"/>
  <c r="E227" i="45"/>
  <c r="G227" i="45" s="1"/>
  <c r="H22" i="49" s="1"/>
  <c r="I116" i="45" l="1"/>
  <c r="H116" i="45"/>
  <c r="H118" i="45"/>
  <c r="I118" i="45"/>
  <c r="C71" i="45"/>
  <c r="G118" i="45"/>
  <c r="H110" i="45"/>
  <c r="G110" i="45"/>
  <c r="G134" i="45" s="1"/>
  <c r="H134" i="45" l="1"/>
  <c r="G151" i="45"/>
  <c r="I151" i="45" s="1"/>
  <c r="K151" i="45" s="1"/>
  <c r="G146" i="45"/>
  <c r="I146" i="45" s="1"/>
  <c r="K146" i="45" s="1"/>
  <c r="F151" i="45"/>
  <c r="G116" i="45"/>
  <c r="F146" i="45" s="1"/>
  <c r="I110" i="45"/>
  <c r="I134" i="45" s="1"/>
  <c r="E146" i="45" l="1"/>
  <c r="E151" i="45"/>
  <c r="H100" i="45"/>
  <c r="F152" i="45" s="1"/>
  <c r="I100" i="45"/>
  <c r="G152" i="45" s="1"/>
  <c r="I152" i="45" s="1"/>
  <c r="K152" i="45" s="1"/>
  <c r="G100" i="45"/>
  <c r="E152" i="45" s="1"/>
  <c r="H117" i="45" l="1"/>
  <c r="H119" i="45" s="1"/>
  <c r="F144" i="45" s="1"/>
  <c r="I117" i="45"/>
  <c r="I119" i="45" s="1"/>
  <c r="G144" i="45" s="1"/>
  <c r="I144" i="45" s="1"/>
  <c r="K144" i="45" s="1"/>
  <c r="I120" i="45"/>
  <c r="H120" i="45"/>
  <c r="I122" i="45" l="1"/>
  <c r="I121" i="45"/>
  <c r="G121" i="45"/>
  <c r="H121" i="45"/>
  <c r="G120" i="45"/>
  <c r="H122" i="45"/>
  <c r="G117" i="45" l="1"/>
  <c r="G119" i="45" s="1"/>
  <c r="G122" i="45" l="1"/>
  <c r="E144" i="45"/>
  <c r="G102" i="45" l="1"/>
  <c r="G131" i="45" s="1"/>
  <c r="H102" i="45" l="1"/>
  <c r="H131" i="45" s="1"/>
  <c r="I102" i="45" l="1"/>
  <c r="I131" i="45" s="1"/>
  <c r="G123" i="45" l="1"/>
  <c r="G124" i="45" s="1"/>
  <c r="G126" i="45" l="1"/>
  <c r="G128" i="45" l="1"/>
  <c r="G125" i="45"/>
  <c r="G130" i="45" s="1"/>
  <c r="G111" i="45"/>
  <c r="G113" i="45" s="1"/>
  <c r="E141" i="45" l="1"/>
  <c r="E142" i="45"/>
  <c r="G259" i="45"/>
  <c r="E149" i="45"/>
  <c r="C72" i="45" l="1"/>
  <c r="D72" i="45"/>
  <c r="B259" i="45" l="1"/>
  <c r="D86" i="49" s="1"/>
  <c r="D73" i="45" l="1"/>
  <c r="C73" i="45"/>
  <c r="D74" i="45" l="1"/>
  <c r="C74" i="45"/>
  <c r="D75" i="45" l="1"/>
  <c r="C75" i="45"/>
  <c r="C76" i="45" l="1"/>
  <c r="D76" i="45"/>
  <c r="D77" i="45" l="1"/>
  <c r="C77" i="45"/>
  <c r="C78" i="45" l="1"/>
  <c r="D78" i="45"/>
  <c r="D79" i="45" l="1"/>
  <c r="C79" i="45"/>
  <c r="C80" i="45" l="1"/>
  <c r="D80" i="45"/>
  <c r="C81" i="45" l="1"/>
  <c r="D81" i="45"/>
  <c r="H123" i="45" l="1"/>
  <c r="H124" i="45" s="1"/>
  <c r="H126" i="45" l="1"/>
  <c r="D82" i="45" l="1"/>
  <c r="C82" i="45"/>
  <c r="H125" i="45"/>
  <c r="H130" i="45" s="1"/>
  <c r="H128" i="45"/>
  <c r="H111" i="45"/>
  <c r="H113" i="45" s="1"/>
  <c r="F149" i="45" l="1"/>
  <c r="F141" i="45"/>
  <c r="F142" i="45"/>
  <c r="G106" i="45"/>
  <c r="G107" i="45" l="1"/>
  <c r="G105" i="45"/>
  <c r="G133" i="45" l="1"/>
  <c r="E143" i="45"/>
  <c r="E147" i="45"/>
  <c r="G108" i="45"/>
  <c r="G114" i="45" s="1"/>
  <c r="G256" i="45"/>
  <c r="C83" i="45" l="1"/>
  <c r="D83" i="45"/>
  <c r="C84" i="45" l="1"/>
  <c r="D84" i="45"/>
  <c r="G99" i="45"/>
  <c r="E150" i="45" s="1"/>
  <c r="G98" i="45"/>
  <c r="G103" i="45" l="1"/>
  <c r="G132" i="45"/>
  <c r="E148" i="45" l="1"/>
  <c r="E145" i="45"/>
  <c r="G136" i="45"/>
  <c r="I123" i="45" l="1"/>
  <c r="I124" i="45" s="1"/>
  <c r="I126" i="45" l="1"/>
  <c r="H106" i="45"/>
  <c r="I128" i="45" l="1"/>
  <c r="I125" i="45"/>
  <c r="I130" i="45" s="1"/>
  <c r="I111" i="45"/>
  <c r="I113" i="45" s="1"/>
  <c r="H107" i="45"/>
  <c r="H105" i="45"/>
  <c r="H133" i="45" l="1"/>
  <c r="F143" i="45"/>
  <c r="H108" i="45"/>
  <c r="H114" i="45" s="1"/>
  <c r="G149" i="45"/>
  <c r="I149" i="45" s="1"/>
  <c r="K149" i="45" s="1"/>
  <c r="G141" i="45"/>
  <c r="I141" i="45" s="1"/>
  <c r="K141" i="45" s="1"/>
  <c r="G142" i="45"/>
  <c r="I142" i="45" s="1"/>
  <c r="K142" i="45" s="1"/>
  <c r="F147" i="45"/>
  <c r="C85" i="45" l="1"/>
  <c r="D85" i="45"/>
  <c r="H99" i="45"/>
  <c r="F150" i="45" s="1"/>
  <c r="H98" i="45"/>
  <c r="H132" i="45" l="1"/>
  <c r="H103" i="45"/>
  <c r="F148" i="45" l="1"/>
  <c r="F145" i="45"/>
  <c r="H136" i="45"/>
  <c r="I106" i="45" l="1"/>
  <c r="I107" i="45" l="1"/>
  <c r="I105" i="45"/>
  <c r="I108" i="45" l="1"/>
  <c r="I114" i="45" s="1"/>
  <c r="I133" i="45"/>
  <c r="G143" i="45"/>
  <c r="I143" i="45" s="1"/>
  <c r="K143" i="45" s="1"/>
  <c r="G147" i="45"/>
  <c r="I147" i="45" s="1"/>
  <c r="K147" i="45" s="1"/>
  <c r="I99" i="45" l="1"/>
  <c r="G150" i="45" s="1"/>
  <c r="I150" i="45" s="1"/>
  <c r="K150" i="45" s="1"/>
  <c r="D86" i="45"/>
  <c r="K88" i="45" s="1"/>
  <c r="K92" i="45" s="1"/>
  <c r="D228" i="45" s="1"/>
  <c r="C86" i="45"/>
  <c r="I98" i="45"/>
  <c r="I132" i="45" l="1"/>
  <c r="I103" i="45"/>
  <c r="G148" i="45" l="1"/>
  <c r="I148" i="45" s="1"/>
  <c r="K148" i="45" s="1"/>
  <c r="G145" i="45"/>
  <c r="I145" i="45" s="1"/>
  <c r="K145" i="45" s="1"/>
  <c r="I136" i="45"/>
  <c r="K154" i="45" l="1"/>
  <c r="K158" i="45" s="1"/>
  <c r="E229" i="45" s="1"/>
  <c r="G229" i="45" s="1"/>
  <c r="K162" i="45" l="1"/>
  <c r="D229" i="45" s="1"/>
  <c r="G233" i="45" s="1"/>
  <c r="D11" i="45" s="1"/>
  <c r="D13" i="45" s="1"/>
  <c r="G231" i="45"/>
  <c r="H24" i="49"/>
  <c r="H23" i="49"/>
  <c r="H27" i="49" l="1"/>
  <c r="G30" i="49" s="1"/>
  <c r="C8" i="45"/>
  <c r="H28" i="49" s="1"/>
  <c r="D8" i="45"/>
</calcChain>
</file>

<file path=xl/comments1.xml><?xml version="1.0" encoding="utf-8"?>
<comments xmlns="http://schemas.openxmlformats.org/spreadsheetml/2006/main">
  <authors>
    <author>tc={FBC85071-C86C-4680-8FE3-6E19A968E91C}</author>
    <author>Mike C</author>
  </authors>
  <commentList>
    <comment ref="C30"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State Office</t>
        </r>
      </text>
    </comment>
    <comment ref="D74" authorId="1" shapeId="0">
      <text>
        <r>
          <rPr>
            <sz val="9"/>
            <color indexed="81"/>
            <rFont val="Tahoma"/>
            <family val="2"/>
          </rPr>
          <t xml:space="preserve">Specify the units in terms of number or volume per unit of time.
</t>
        </r>
      </text>
    </comment>
  </commentList>
</comments>
</file>

<file path=xl/sharedStrings.xml><?xml version="1.0" encoding="utf-8"?>
<sst xmlns="http://schemas.openxmlformats.org/spreadsheetml/2006/main" count="1747" uniqueCount="595">
  <si>
    <t>Date</t>
  </si>
  <si>
    <t>Version</t>
  </si>
  <si>
    <t>Worksheet</t>
  </si>
  <si>
    <t>Cells/ Section</t>
  </si>
  <si>
    <t>Notes</t>
  </si>
  <si>
    <t>Credit</t>
  </si>
  <si>
    <t>v.1.1</t>
  </si>
  <si>
    <t>1. Credit Rating Report</t>
  </si>
  <si>
    <t>D83 - F83</t>
  </si>
  <si>
    <t>Corrected error where movements in called capital not being calculated correctly</t>
  </si>
  <si>
    <t>Mike Coates</t>
  </si>
  <si>
    <t>NOTES</t>
  </si>
  <si>
    <t>(1)</t>
  </si>
  <si>
    <t>It is very important that the regional settings on Windows are set to European date format rather than US.</t>
  </si>
  <si>
    <t>Michael Agidani</t>
  </si>
  <si>
    <t>BASIC SCORE</t>
  </si>
  <si>
    <t>WEIGHTING</t>
  </si>
  <si>
    <t>WEIGHTED SCORE</t>
  </si>
  <si>
    <t>Customer Rating</t>
  </si>
  <si>
    <t>Model Result</t>
  </si>
  <si>
    <t>Invoke Decision Override?</t>
  </si>
  <si>
    <t>Final Result</t>
  </si>
  <si>
    <t>State Office</t>
  </si>
  <si>
    <t>Abuja State Office</t>
  </si>
  <si>
    <t>Project Officer</t>
  </si>
  <si>
    <t>B. CUSTOMER DETAILS</t>
  </si>
  <si>
    <t>Customer's Registered/Incorporated Name</t>
  </si>
  <si>
    <t>Fin. S/ment Peer</t>
  </si>
  <si>
    <t>Manufacturing</t>
  </si>
  <si>
    <t>Industry Sector</t>
  </si>
  <si>
    <t>Fish Farming</t>
  </si>
  <si>
    <t>Total Possible Score</t>
  </si>
  <si>
    <t>Percentage Score</t>
  </si>
  <si>
    <t>Percentage Hurdle Score</t>
  </si>
  <si>
    <t>Pass?</t>
  </si>
  <si>
    <t>PASS</t>
  </si>
  <si>
    <t>Qualification Type</t>
  </si>
  <si>
    <t>Unqualified</t>
  </si>
  <si>
    <t>Period End (dd/mm/yyyy)</t>
  </si>
  <si>
    <t>Balance Sheets</t>
  </si>
  <si>
    <t>ASSETS</t>
  </si>
  <si>
    <t>NGN</t>
  </si>
  <si>
    <t>Current Assets</t>
  </si>
  <si>
    <t>Cash &amp; equiv.</t>
  </si>
  <si>
    <t>Debtors</t>
  </si>
  <si>
    <t>Stock</t>
  </si>
  <si>
    <t>Net Fixed (Non Current) Assets</t>
  </si>
  <si>
    <t>TOTAL ASSETS</t>
  </si>
  <si>
    <t>LIABILITIES &amp; EQUITY</t>
  </si>
  <si>
    <t>Current Liabilities</t>
  </si>
  <si>
    <r>
      <rPr>
        <b/>
        <sz val="9"/>
        <color theme="1"/>
        <rFont val="Wingdings 3"/>
        <family val="1"/>
        <charset val="2"/>
      </rPr>
      <t>9</t>
    </r>
    <r>
      <rPr>
        <b/>
        <sz val="9"/>
        <color theme="1"/>
        <rFont val="Calibri"/>
        <family val="2"/>
      </rPr>
      <t xml:space="preserve">  </t>
    </r>
    <r>
      <rPr>
        <b/>
        <sz val="9"/>
        <color theme="1"/>
        <rFont val="Calibri"/>
        <family val="2"/>
        <scheme val="minor"/>
      </rPr>
      <t>Short-Term Creditors (excl. tax)</t>
    </r>
  </si>
  <si>
    <t>Long-Term Creditors</t>
  </si>
  <si>
    <t>TOTAL LIABILITIES</t>
  </si>
  <si>
    <t>CAPITAL AND RESERVES</t>
  </si>
  <si>
    <t>Called Capital</t>
  </si>
  <si>
    <t>Retained Earnings</t>
  </si>
  <si>
    <t>Consolidated Reserves</t>
  </si>
  <si>
    <t>Total Capital and Reserves</t>
  </si>
  <si>
    <t>TOTAL LIABILITIES AND EQUITY</t>
  </si>
  <si>
    <t>Income Statements</t>
  </si>
  <si>
    <t>Turnover</t>
  </si>
  <si>
    <t>Other Income</t>
  </si>
  <si>
    <t>(Cost of Sales)</t>
  </si>
  <si>
    <t>Gross Profit</t>
  </si>
  <si>
    <t>(Operating Expenses)</t>
  </si>
  <si>
    <r>
      <rPr>
        <b/>
        <sz val="9"/>
        <color rgb="FFFF0000"/>
        <rFont val="Wingdings 3"/>
        <family val="1"/>
        <charset val="2"/>
      </rPr>
      <t>9</t>
    </r>
    <r>
      <rPr>
        <b/>
        <sz val="9"/>
        <color rgb="FFFF0000"/>
        <rFont val="Calibri"/>
        <family val="2"/>
      </rPr>
      <t xml:space="preserve">  </t>
    </r>
    <r>
      <rPr>
        <b/>
        <sz val="9"/>
        <color rgb="FFFF0000"/>
        <rFont val="Calibri"/>
        <family val="2"/>
        <scheme val="minor"/>
      </rPr>
      <t>(Depreciation)</t>
    </r>
  </si>
  <si>
    <t>Operating Profit</t>
  </si>
  <si>
    <t>(Interest)</t>
  </si>
  <si>
    <t>Profit Before Tax</t>
  </si>
  <si>
    <t>(Tax)</t>
  </si>
  <si>
    <t>Net Profit</t>
  </si>
  <si>
    <t>(Dividends)</t>
  </si>
  <si>
    <t>(Earnings Retained)</t>
  </si>
  <si>
    <t>Cash-flow Statements</t>
  </si>
  <si>
    <t>Operating Cash Flow</t>
  </si>
  <si>
    <t>Net Capital Spending</t>
  </si>
  <si>
    <t>Change in Net Working Capital</t>
  </si>
  <si>
    <t>Creditor Cash Flow</t>
  </si>
  <si>
    <t>Owner Cash Flow</t>
  </si>
  <si>
    <t>Reconciled?</t>
  </si>
  <si>
    <t>This is a very important check. These formulae will check that your balance sheets and income statements reconcile. A 'fail' on either check indicates either an error in data entry OR a set of financial statements that don't reconcile.</t>
  </si>
  <si>
    <t>Financial Aspect</t>
  </si>
  <si>
    <t>Ratio</t>
  </si>
  <si>
    <t>Current</t>
  </si>
  <si>
    <t>Previous</t>
  </si>
  <si>
    <t>Cash-Flow</t>
  </si>
  <si>
    <t>Operational Cash/ Interest (ratio)</t>
  </si>
  <si>
    <t>Operational Cash/ Turnover (percentage)</t>
  </si>
  <si>
    <t>Debt Repayment Period (days)</t>
  </si>
  <si>
    <t>Operating Performance</t>
  </si>
  <si>
    <t>Gross Margin (percentage)</t>
  </si>
  <si>
    <t>PBT/ Total Assets (percentage)</t>
  </si>
  <si>
    <t>Sales Growth (percentage)</t>
  </si>
  <si>
    <t>Capital Structure</t>
  </si>
  <si>
    <t>Total Debt/ Capital (ratio)</t>
  </si>
  <si>
    <t>Total Debt/ Total Assets (ratio)</t>
  </si>
  <si>
    <t>Return on Equity (percentage)</t>
  </si>
  <si>
    <t>Liquidity</t>
  </si>
  <si>
    <t>Quick Ratio (ratio)</t>
  </si>
  <si>
    <t>Stock Turnover (days)</t>
  </si>
  <si>
    <t>Receivables Turnover (days)</t>
  </si>
  <si>
    <t>Interpretation and Analysis</t>
  </si>
  <si>
    <t>Aspect</t>
  </si>
  <si>
    <t>Criteria</t>
  </si>
  <si>
    <t>Rating</t>
  </si>
  <si>
    <t>Ownership &amp; Management</t>
  </si>
  <si>
    <t>Character</t>
  </si>
  <si>
    <t>Neutral</t>
  </si>
  <si>
    <t>Comments</t>
  </si>
  <si>
    <t>Ownership &amp; Governance</t>
  </si>
  <si>
    <t>Succession Planning</t>
  </si>
  <si>
    <t>Management Experience</t>
  </si>
  <si>
    <t>Technical Competence</t>
  </si>
  <si>
    <t>Planning &amp; Execution</t>
  </si>
  <si>
    <t>Strategic Management</t>
  </si>
  <si>
    <t>Financial Management</t>
  </si>
  <si>
    <t>Risk Management</t>
  </si>
  <si>
    <t>Marketing &amp; Sales</t>
  </si>
  <si>
    <t>Facilities &amp; Equipment</t>
  </si>
  <si>
    <t>Human Resources</t>
  </si>
  <si>
    <t>History &amp; Reputation</t>
  </si>
  <si>
    <t>Trading History</t>
  </si>
  <si>
    <t>Repayment History</t>
  </si>
  <si>
    <t>Market Positioning</t>
  </si>
  <si>
    <t>Market Share</t>
  </si>
  <si>
    <t>Customer Base</t>
  </si>
  <si>
    <t>Product Range</t>
  </si>
  <si>
    <t>Supply Chain</t>
  </si>
  <si>
    <t>COMPONENT SCORE</t>
  </si>
  <si>
    <t>Component</t>
  </si>
  <si>
    <t>Risk Segment</t>
  </si>
  <si>
    <t>Business Risk</t>
  </si>
  <si>
    <t>Total</t>
  </si>
  <si>
    <t>Term (months)</t>
  </si>
  <si>
    <t>Interest Rate</t>
  </si>
  <si>
    <t>Monthly Repayments</t>
  </si>
  <si>
    <t>Amount</t>
  </si>
  <si>
    <t>Moratorium</t>
  </si>
  <si>
    <t>Appraisal Fee</t>
  </si>
  <si>
    <t>Commitment Fee</t>
  </si>
  <si>
    <t>Monitoring Fee</t>
  </si>
  <si>
    <t>SUMMARY</t>
  </si>
  <si>
    <t>Total Amount</t>
  </si>
  <si>
    <t>Total Monthly Repayments</t>
  </si>
  <si>
    <t>PRUDENTIAL GUIDANCE</t>
  </si>
  <si>
    <t>Hurdle</t>
  </si>
  <si>
    <t>typically less than</t>
  </si>
  <si>
    <t>Debt/ Equity (ratio)</t>
  </si>
  <si>
    <t>Equity Injection</t>
  </si>
  <si>
    <t>Debt Repayment Period</t>
  </si>
  <si>
    <t>Projected</t>
  </si>
  <si>
    <t>Cash/ Interest Cover</t>
  </si>
  <si>
    <t>typically more than</t>
  </si>
  <si>
    <t>No</t>
  </si>
  <si>
    <t>Lagos State Office</t>
  </si>
  <si>
    <t>Customer's Full Name</t>
  </si>
  <si>
    <t>Food Processing (comprising processing of agricultural products)</t>
  </si>
  <si>
    <t>Planned Commercial Operation</t>
  </si>
  <si>
    <t>Cash</t>
  </si>
  <si>
    <t>Accounts Receivable</t>
  </si>
  <si>
    <t>Debt/ Equity Ratio</t>
  </si>
  <si>
    <t>Debt/ Equity</t>
  </si>
  <si>
    <t>Inventory</t>
  </si>
  <si>
    <t>Contingent Liquidity</t>
  </si>
  <si>
    <t>Long-term Assets</t>
  </si>
  <si>
    <t>Liabilities</t>
  </si>
  <si>
    <t>Paid-in Capital</t>
  </si>
  <si>
    <t>Accounts Payable</t>
  </si>
  <si>
    <t>Term Loan</t>
  </si>
  <si>
    <t>Overdraft Balance</t>
  </si>
  <si>
    <t>Period End</t>
  </si>
  <si>
    <t>Cash Balance</t>
  </si>
  <si>
    <t>Month 0</t>
  </si>
  <si>
    <t>Month 1</t>
  </si>
  <si>
    <t>Month 2</t>
  </si>
  <si>
    <t>Month 3</t>
  </si>
  <si>
    <t>Month 4</t>
  </si>
  <si>
    <t>Month 5</t>
  </si>
  <si>
    <t>Month 6</t>
  </si>
  <si>
    <t>Month 7</t>
  </si>
  <si>
    <t>Month 8</t>
  </si>
  <si>
    <t>Month 9</t>
  </si>
  <si>
    <t>Month 10</t>
  </si>
  <si>
    <t>Month 11</t>
  </si>
  <si>
    <t>Month 12</t>
  </si>
  <si>
    <t>Year 1</t>
  </si>
  <si>
    <t>Year 2</t>
  </si>
  <si>
    <t>Year 3</t>
  </si>
  <si>
    <t>Minimum Liquidity</t>
  </si>
  <si>
    <t>Liquidity Hurdle Score</t>
  </si>
  <si>
    <t>YEAR 0</t>
  </si>
  <si>
    <t>YEAR 1</t>
  </si>
  <si>
    <t>YEAR 2</t>
  </si>
  <si>
    <t>YEAR 3</t>
  </si>
  <si>
    <t>Promoter Track Record</t>
  </si>
  <si>
    <t>Quite positive</t>
  </si>
  <si>
    <t>Promoter Credit/ Repayment History</t>
  </si>
  <si>
    <t>Ownership Structure</t>
  </si>
  <si>
    <t>Technical Management</t>
  </si>
  <si>
    <t>Strategic Plan</t>
  </si>
  <si>
    <t>Financial Plan</t>
  </si>
  <si>
    <t>Input Sourcing</t>
  </si>
  <si>
    <t>Processing/ Manufacturing Location</t>
  </si>
  <si>
    <t>Regulatory Compliance</t>
  </si>
  <si>
    <t>Supply Chain Management</t>
  </si>
  <si>
    <t>Sales &amp; Marketing Strategy</t>
  </si>
  <si>
    <t>Actual Feasability Assessment Score</t>
  </si>
  <si>
    <t>Business Plan</t>
  </si>
  <si>
    <t>Est. Drawdown</t>
  </si>
  <si>
    <t>MODEL SOURCE</t>
  </si>
  <si>
    <t>Bank Guarantee</t>
  </si>
  <si>
    <t>Name of Bank</t>
  </si>
  <si>
    <t>Approved Exposure Limit</t>
  </si>
  <si>
    <t>Total Exposure</t>
  </si>
  <si>
    <t>Legal Mortgage/ All Assets Debenture</t>
  </si>
  <si>
    <t xml:space="preserve">Description/Address of Asset </t>
  </si>
  <si>
    <t>Estate Valuer</t>
  </si>
  <si>
    <t>Date of Valuation</t>
  </si>
  <si>
    <t>OMV</t>
  </si>
  <si>
    <t xml:space="preserve">FSV </t>
  </si>
  <si>
    <t>Fixed Asset Coverage</t>
  </si>
  <si>
    <t>TOTAL</t>
  </si>
  <si>
    <t>Contribution</t>
  </si>
  <si>
    <t>Item</t>
  </si>
  <si>
    <t>FX (Naira equivalent)</t>
  </si>
  <si>
    <t>Naira</t>
  </si>
  <si>
    <t>Additional Equity</t>
  </si>
  <si>
    <t>Land &amp; Buildings</t>
  </si>
  <si>
    <t>Plant &amp; Machinery</t>
  </si>
  <si>
    <t>Interest During Construction</t>
  </si>
  <si>
    <t>Legal Fee</t>
  </si>
  <si>
    <t xml:space="preserve">Additional </t>
  </si>
  <si>
    <t>Future Total</t>
  </si>
  <si>
    <t>INDUSTRY SECTOR ANALYSIS</t>
  </si>
  <si>
    <t>NOTES:</t>
  </si>
  <si>
    <t>Economic Sensitivity Risks</t>
  </si>
  <si>
    <t>Political Sensitivity Risks</t>
  </si>
  <si>
    <t>Competitive Risks</t>
  </si>
  <si>
    <t>Supplementary Risks</t>
  </si>
  <si>
    <t>Interest Rate Sensitivity</t>
  </si>
  <si>
    <t>Exchange Rate Sensitivity</t>
  </si>
  <si>
    <t>Business Cycle Sensitivity</t>
  </si>
  <si>
    <t>Inflation Sensitivity</t>
  </si>
  <si>
    <t>Utilities/ Infrastructure Sensitivity</t>
  </si>
  <si>
    <t>Fiscal Policy Sensitivity</t>
  </si>
  <si>
    <t>International Trade Sensitivity</t>
  </si>
  <si>
    <t>Regulatory Sensitivity</t>
  </si>
  <si>
    <t>Environmental Sensitivity</t>
  </si>
  <si>
    <t>Industry Stage Sensitivity</t>
  </si>
  <si>
    <t>Competitive Intensity</t>
  </si>
  <si>
    <t>Value Chain Sophistication</t>
  </si>
  <si>
    <t>Product Subsitution Sensitivity</t>
  </si>
  <si>
    <t>Demographic Sensitivity</t>
  </si>
  <si>
    <t>Climate/Disease Sensitivity</t>
  </si>
  <si>
    <t>Labour Relations Sensitivity</t>
  </si>
  <si>
    <t>Capital Intensity</t>
  </si>
  <si>
    <t>Security Risk</t>
  </si>
  <si>
    <t>Score</t>
  </si>
  <si>
    <t>Adire (Tie and Dye)/Aso Oke</t>
  </si>
  <si>
    <t>Very positive</t>
  </si>
  <si>
    <t>Quite negative</t>
  </si>
  <si>
    <t>Very negative</t>
  </si>
  <si>
    <t>Animal Feeds</t>
  </si>
  <si>
    <t>Aquaculture &amp; Fish Processing</t>
  </si>
  <si>
    <t>Bakery</t>
  </si>
  <si>
    <t>Blocks and Interlocking Stones</t>
  </si>
  <si>
    <t>Bottled Water</t>
  </si>
  <si>
    <t>Ceramics &amp; Tiles</t>
  </si>
  <si>
    <t>Chemicals and Paints</t>
  </si>
  <si>
    <t>Cosmetics/Hair Products</t>
  </si>
  <si>
    <t>Dairy</t>
  </si>
  <si>
    <t>Digital Printing / 3-D Printing / Multimedia Publishing</t>
  </si>
  <si>
    <t>E-Commerce/Information &amp; Communications Technology (ICT)</t>
  </si>
  <si>
    <t>Fashion/Garmenting</t>
  </si>
  <si>
    <t>Foundries/Metal Fabrication</t>
  </si>
  <si>
    <t>Fruit Juice</t>
  </si>
  <si>
    <t>Furniture/Wood Processing</t>
  </si>
  <si>
    <t>Gemstones</t>
  </si>
  <si>
    <t>Greenhouses</t>
  </si>
  <si>
    <t xml:space="preserve">Grocery packaging </t>
  </si>
  <si>
    <t xml:space="preserve">Health Care (Medical Diagnostics Laboratory/Orthodontist/Ophthalmology/Physiotherapy)   </t>
  </si>
  <si>
    <t>Laundry and Dry Cleaning</t>
  </si>
  <si>
    <t xml:space="preserve">Leather/Footwear </t>
  </si>
  <si>
    <t>Light Manufacturing (Paper, Roofing Sheets, lube blending, etc.)</t>
  </si>
  <si>
    <t>Liquefied Petroleum Gas/Compressed Natural Gas</t>
  </si>
  <si>
    <t>Mechatronics and Autocare</t>
  </si>
  <si>
    <t>Movie Production (Nollywood)</t>
  </si>
  <si>
    <t>Plastics</t>
  </si>
  <si>
    <t>Quarries</t>
  </si>
  <si>
    <t>Quick Service Restaurants</t>
  </si>
  <si>
    <t>Recycling</t>
  </si>
  <si>
    <t>Soaps and Detergents</t>
  </si>
  <si>
    <t>Solar (off grid)</t>
  </si>
  <si>
    <t>Technical/Vocational Schools (Offering City &amp; Guild Certificate)</t>
  </si>
  <si>
    <t>Theme Parks</t>
  </si>
  <si>
    <t>Water Transportation</t>
  </si>
  <si>
    <t>FINANCIAL STATEMENT SCORING</t>
  </si>
  <si>
    <t>Financial Statement Peer Groups</t>
  </si>
  <si>
    <t>Calculated</t>
  </si>
  <si>
    <t>Generic</t>
  </si>
  <si>
    <t>Retail-Wholesale</t>
  </si>
  <si>
    <t>Services</t>
  </si>
  <si>
    <t>Between</t>
  </si>
  <si>
    <t>and</t>
  </si>
  <si>
    <t>Start-up</t>
  </si>
  <si>
    <t>Cash Flow</t>
  </si>
  <si>
    <t>∞</t>
  </si>
  <si>
    <t>(∞)</t>
  </si>
  <si>
    <t>MODEL DATA</t>
  </si>
  <si>
    <t>FINANCIAL STATEMENT WEIGHTINGS</t>
  </si>
  <si>
    <t>Weighting - Accred Auditor</t>
  </si>
  <si>
    <t>Weighting</t>
  </si>
  <si>
    <t>Financial Statement</t>
  </si>
  <si>
    <t>Financial Statement Peer Group</t>
  </si>
  <si>
    <t>TOTAL POSSIBLE SCORE</t>
  </si>
  <si>
    <t>PERCENTAGE HURDLE SCORE</t>
  </si>
  <si>
    <t>From</t>
  </si>
  <si>
    <t>To</t>
  </si>
  <si>
    <t>Max Term</t>
  </si>
  <si>
    <t>Max Debt Equity Ratio</t>
  </si>
  <si>
    <t>Max Debt Repayment Period</t>
  </si>
  <si>
    <t>Min Cash/ Interest Cover</t>
  </si>
  <si>
    <t>AAA</t>
  </si>
  <si>
    <t>An obligation rated 'AAA' has the highest rating assigned by BOI. The obligor's capacity to meet its financial commitment on the obligation is extremely strong.</t>
  </si>
  <si>
    <t>AA</t>
  </si>
  <si>
    <t>An obligation rated 'AA' differs from the highest-rated obligations only to a small degree. The obligor's capacity to meet its financial commitment on the obligation is very strong.</t>
  </si>
  <si>
    <t>A</t>
  </si>
  <si>
    <t>An obligation rated 'A' is somewhat more susceptible to the adverse effects of changes in circumstances and economic conditions than obligations in higher-rated categories. However, the obligor's capacity to meet its financial commitment on the obligation is still strong.</t>
  </si>
  <si>
    <t>BBB</t>
  </si>
  <si>
    <t>An obligation rated 'BBB' exhibits adequate protection parameters. However, adverse economic conditions or changing circumstances are more likely to lead to a weakened capacity of the obligor to meet its financial commitment on the obligation.</t>
  </si>
  <si>
    <t>BB</t>
  </si>
  <si>
    <t>Obligations rated 'BB', 'B', 'CCC', 'CC', and 'C' are regarded as having significant speculative characteristics. 'BB' indicates the least degree of speculation and 'C' the highest. While such obligations will likely have some quality and protective characteristics, these may be outweighed by large uncertainties or major exposures to adverse conditions.</t>
  </si>
  <si>
    <t>B</t>
  </si>
  <si>
    <t>CCC</t>
  </si>
  <si>
    <t>CC</t>
  </si>
  <si>
    <t>C</t>
  </si>
  <si>
    <t>D</t>
  </si>
  <si>
    <t>Qualified</t>
  </si>
  <si>
    <t>Adverse</t>
  </si>
  <si>
    <t>Disclaimer</t>
  </si>
  <si>
    <t>Oladipo Mohammed</t>
  </si>
  <si>
    <t>Adenike Olalere</t>
  </si>
  <si>
    <t>Chiamaka Olubowale</t>
  </si>
  <si>
    <t>Ahmed Waziri</t>
  </si>
  <si>
    <t>Ameerah Gidado</t>
  </si>
  <si>
    <t>Amina Isah</t>
  </si>
  <si>
    <t>Boniface Awodi</t>
  </si>
  <si>
    <t>Esther Agoha</t>
  </si>
  <si>
    <t>Ibrahim Ahmed</t>
  </si>
  <si>
    <t>Suher Tukur</t>
  </si>
  <si>
    <t>Suliat Oloriegbe</t>
  </si>
  <si>
    <t>Tolulope Toluwase</t>
  </si>
  <si>
    <t>LIQUIDITY</t>
  </si>
  <si>
    <t>MINIMUM LIQUIDITY HURDLE</t>
  </si>
  <si>
    <t>Very Positive</t>
  </si>
  <si>
    <t>Enter 'Very Positive' definition</t>
  </si>
  <si>
    <t>Quite Positive</t>
  </si>
  <si>
    <t>Enter 'Quite Positive' definition</t>
  </si>
  <si>
    <t>Good</t>
  </si>
  <si>
    <t>Enter 'Good' definition</t>
  </si>
  <si>
    <t>Refer</t>
  </si>
  <si>
    <t>Enter 'Refer' definition</t>
  </si>
  <si>
    <t>Oil &amp; Gas</t>
  </si>
  <si>
    <t>Debt Repayment Period (Y1 projections)</t>
  </si>
  <si>
    <t>Cash/ Interest Cover (Y1 projections)</t>
  </si>
  <si>
    <t>Capitalisation</t>
  </si>
  <si>
    <t>Change</t>
  </si>
  <si>
    <t>Intangible Assets</t>
  </si>
  <si>
    <t>EXPLANATORY NOTE:</t>
  </si>
  <si>
    <t>Insurance</t>
  </si>
  <si>
    <t>Products</t>
  </si>
  <si>
    <t>CONFIDENTIAL</t>
  </si>
  <si>
    <t>DOC NO:</t>
  </si>
  <si>
    <t>REVISION NUMBER:</t>
  </si>
  <si>
    <t>PREPARED BY:</t>
  </si>
  <si>
    <t>SUPERVISED BY:</t>
  </si>
  <si>
    <t>REVIEWED BY:</t>
  </si>
  <si>
    <t>RECOMMENDED BY:</t>
  </si>
  <si>
    <t>FOR CONSIDERATION OF:</t>
  </si>
  <si>
    <t>LAST REVIEW DATE:</t>
  </si>
  <si>
    <t>SCORING RESULT</t>
  </si>
  <si>
    <t>COMPONENT</t>
  </si>
  <si>
    <t>WEIGHT</t>
  </si>
  <si>
    <t>SCORE</t>
  </si>
  <si>
    <t>A CREDIT FACILITY OF</t>
  </si>
  <si>
    <t>ON BEHALF OF</t>
  </si>
  <si>
    <t>CUSTOMER RATING</t>
  </si>
  <si>
    <t>Moratorium (months)</t>
  </si>
  <si>
    <t>Existing Exposure</t>
  </si>
  <si>
    <t>Available Exposure</t>
  </si>
  <si>
    <t>Requested Amount</t>
  </si>
  <si>
    <t>Clearing Estimate</t>
  </si>
  <si>
    <t>Enugu State Office</t>
  </si>
  <si>
    <t>TERM LOAN SCHEDULE</t>
  </si>
  <si>
    <t>WORKING CAPITAL SCHEDULE</t>
  </si>
  <si>
    <t>Total interest of</t>
  </si>
  <si>
    <t>Total payments of</t>
  </si>
  <si>
    <t>Repayment frequency:</t>
  </si>
  <si>
    <t>Max Points</t>
  </si>
  <si>
    <t>Fixed (Non Current) Assets</t>
  </si>
  <si>
    <t>Units/ Time</t>
  </si>
  <si>
    <t>New Customer</t>
  </si>
  <si>
    <t>Ogun State Office</t>
  </si>
  <si>
    <t>Bauchi State Office</t>
  </si>
  <si>
    <t>Kaduna State Office</t>
  </si>
  <si>
    <t>Oyo State Office</t>
  </si>
  <si>
    <t>Asaba State Office</t>
  </si>
  <si>
    <t>Kwara State Office</t>
  </si>
  <si>
    <t>Ondo State Office</t>
  </si>
  <si>
    <t>Niger State Office</t>
  </si>
  <si>
    <t>Benue State Office</t>
  </si>
  <si>
    <t>Borno State Office</t>
  </si>
  <si>
    <t>Kano State Office</t>
  </si>
  <si>
    <t>Gombe State Office</t>
  </si>
  <si>
    <t>Rivers State Office</t>
  </si>
  <si>
    <t>Katsina State Office</t>
  </si>
  <si>
    <t>Abia State Office</t>
  </si>
  <si>
    <t>Anambra State Office</t>
  </si>
  <si>
    <t>Sokoto State Office</t>
  </si>
  <si>
    <t>Taraba State Office</t>
  </si>
  <si>
    <t>Hotels/Hospitality</t>
  </si>
  <si>
    <t xml:space="preserve">Current Assets </t>
  </si>
  <si>
    <t>Total payments of:</t>
  </si>
  <si>
    <t>Total interest of:</t>
  </si>
  <si>
    <t>Term Loan Tenor (months)</t>
  </si>
  <si>
    <t>Working Capital Loan Tenor (months)</t>
  </si>
  <si>
    <t>Financing Requirement</t>
  </si>
  <si>
    <t>Working Capital LTV (Stock plus Receivables)</t>
  </si>
  <si>
    <t>ACC (Days)</t>
  </si>
  <si>
    <t>Operating Cash Cover Period (Days)</t>
  </si>
  <si>
    <t>Paid in Capital</t>
  </si>
  <si>
    <t>Amount Disbursed</t>
  </si>
  <si>
    <t>Date Disbursed</t>
  </si>
  <si>
    <t>Tenor (months)</t>
  </si>
  <si>
    <t>Current Risk Assets</t>
  </si>
  <si>
    <t>TERM LOAN</t>
  </si>
  <si>
    <t>WORKING CAPITAL LOAN</t>
  </si>
  <si>
    <t>Project</t>
  </si>
  <si>
    <t>Credit Policy Limit</t>
  </si>
  <si>
    <t>Turnover Check</t>
  </si>
  <si>
    <t>Curr A/c (NGN)</t>
  </si>
  <si>
    <t>CURRENCY OPTIONS</t>
  </si>
  <si>
    <t>USD</t>
  </si>
  <si>
    <t>Currency</t>
  </si>
  <si>
    <t>EUR</t>
  </si>
  <si>
    <t>GBP</t>
  </si>
  <si>
    <t>Symbol</t>
  </si>
  <si>
    <t>₦</t>
  </si>
  <si>
    <t>$</t>
  </si>
  <si>
    <t>£</t>
  </si>
  <si>
    <t>€</t>
  </si>
  <si>
    <t>Conversion Rate (XXX:NGN)</t>
  </si>
  <si>
    <t>Base Currency (XXX)</t>
  </si>
  <si>
    <t>Accredited Auditor</t>
  </si>
  <si>
    <t>Debt/ Equity (Percentage) *</t>
  </si>
  <si>
    <t>Blended/ Hybrid</t>
  </si>
  <si>
    <t>Fin. S/ment Peer *</t>
  </si>
  <si>
    <t>* Where a firm exhibits a mix of capital intensive characteristics combined with features of a retail-wholesale or service business, you may select the 'Blended/ Hybrid' peer group.</t>
  </si>
  <si>
    <t>Explanatory Note:</t>
  </si>
  <si>
    <t xml:space="preserve">  * Debt includes current short-term and long-term creditors PLUS the proposed facility. Equity is the total shareholders funds PLUS any additional cash equity the customer will commit as part of agreed financing structure. The Debt/ Equity percentage is calculated as follows: Debt/ (Debt + Equity) x 100.</t>
  </si>
  <si>
    <t>Logistics/ Haulage</t>
  </si>
  <si>
    <t>OVERALL SCORE *</t>
  </si>
  <si>
    <t>* Consider this carefully. While from a prudential point-of-view we may want to limit working capital leverage, this must be be nuanced by the Customer's current and planned Business Model. I.e. good Customer's will manage down Stock and Receivables levels. Also we need to make sure we don't leave a Customer short of Working Capital for a planned expansion.</t>
  </si>
  <si>
    <t>Limit</t>
  </si>
  <si>
    <t>Total Score</t>
  </si>
  <si>
    <t>Customer Rating (Existing)</t>
  </si>
  <si>
    <t>Customer Rating Description (Existing)</t>
  </si>
  <si>
    <t>FINANCING OPTIONS MATRIX (EXISTING)</t>
  </si>
  <si>
    <t>Customer Rating (Start-up)</t>
  </si>
  <si>
    <t>Customer Rating Description (Start-up)</t>
  </si>
  <si>
    <t>FINANCING OPTIONS MATRIX (START-UP)</t>
  </si>
  <si>
    <t>A. RATING DETAILS</t>
  </si>
  <si>
    <t>RISK SEGMENT WEIGHTINGS (EXISTING)</t>
  </si>
  <si>
    <t>TRANSACTION ID:</t>
  </si>
  <si>
    <t>STATE OFFICE</t>
  </si>
  <si>
    <t>C. FINANCIAL STATEMENT DATA ENTRY</t>
  </si>
  <si>
    <t>C. COMPANY CAPITALISATION</t>
  </si>
  <si>
    <t>D. CASH FLOW TEST</t>
  </si>
  <si>
    <t>E. FINANCIAL PLAN FEASABILITY ASSESSMENT</t>
  </si>
  <si>
    <t>F. BUSINESS PLAN FEASABILITY ASSESSMENT</t>
  </si>
  <si>
    <t>D. RATIO ANALYSIS</t>
  </si>
  <si>
    <t>Industry Sector Score</t>
  </si>
  <si>
    <t>Customer ID Number</t>
  </si>
  <si>
    <t>1. SOURCE OF REPAYMENT</t>
  </si>
  <si>
    <t>2. PRICING</t>
  </si>
  <si>
    <t>3. COLLATERAL/ SECURITY</t>
  </si>
  <si>
    <t>4. EXISTING/ PROPOSED CAPACITY</t>
  </si>
  <si>
    <t>5. PROJECT CONTRIBUTION</t>
  </si>
  <si>
    <t>6. LEGAL NOTES</t>
  </si>
  <si>
    <t>RISK COMPONENT WEIGHTINGS (EXISTING)</t>
  </si>
  <si>
    <t>Food &amp; Drug Retail (TEST ONLY)</t>
  </si>
  <si>
    <t>Customer Relationship</t>
  </si>
  <si>
    <t>CUSTOMER RELATIONSHIP SCORING</t>
  </si>
  <si>
    <t>MAX RISK SEGMENT WEIGHTED SCORE</t>
  </si>
  <si>
    <t>Plan Start Date</t>
  </si>
  <si>
    <t>Assets (at Plan Start Date)</t>
  </si>
  <si>
    <t>Starting Liquidity</t>
  </si>
  <si>
    <t>Starting Contingent Liquidity</t>
  </si>
  <si>
    <t>BUSINESS RISK REVIEW WEIGHTINGS</t>
  </si>
  <si>
    <t>Industry Sector Risk Criteria</t>
  </si>
  <si>
    <t>INDUSTRY SECTOR RISK CRITERIA WEIGHTING</t>
  </si>
  <si>
    <t>Business Risk Review Criteria</t>
  </si>
  <si>
    <t>Financial Statement Hurdle</t>
  </si>
  <si>
    <t>Financial Statement Hurdle Score</t>
  </si>
  <si>
    <t>Financial Statement Percentage Score</t>
  </si>
  <si>
    <t>Risk Segment Weighted Score</t>
  </si>
  <si>
    <t>Max Risk Segment Weighted Score</t>
  </si>
  <si>
    <t>Risk Segment Percentage Score</t>
  </si>
  <si>
    <t>Risk Segment Hurdle Score</t>
  </si>
  <si>
    <t>Risk Segment Hurdle</t>
  </si>
  <si>
    <t>Financial Statement Weighted Score</t>
  </si>
  <si>
    <t>Max Fin. Statement Weighted Score</t>
  </si>
  <si>
    <t>Business Risk Weighted Score</t>
  </si>
  <si>
    <t>Max Business Risk Weighted Score</t>
  </si>
  <si>
    <t>Busines Risk Percentage Score</t>
  </si>
  <si>
    <t>Business Risk Hurdle Score</t>
  </si>
  <si>
    <t>Business Risk Hurdle</t>
  </si>
  <si>
    <t>E. BUSINESS RISK REVIEW</t>
  </si>
  <si>
    <t>F. CREDIT RATING</t>
  </si>
  <si>
    <t>G. FINANCING OPTIONS</t>
  </si>
  <si>
    <t>Performing (No payment delays)</t>
  </si>
  <si>
    <t>Very doubtful (&lt;= 270 DPD)</t>
  </si>
  <si>
    <t>Loss (&gt; 270 DPD)</t>
  </si>
  <si>
    <t>Doubtful (&lt;= 180 DPD)</t>
  </si>
  <si>
    <t>Watchlist Customer (&lt;= 45 DPD)</t>
  </si>
  <si>
    <t>Sub-standard (&lt;= 90 DPD)</t>
  </si>
  <si>
    <t>DUE DILIGENCE SCORING</t>
  </si>
  <si>
    <t>Politically/ Financially Exposed Person</t>
  </si>
  <si>
    <t>Receivership (AMCON)</t>
  </si>
  <si>
    <t>CBN List of Non-acceptable Borrowers</t>
  </si>
  <si>
    <t>UN Watch List</t>
  </si>
  <si>
    <t>No Issues</t>
  </si>
  <si>
    <t>Due Diligence Issue</t>
  </si>
  <si>
    <t>Discounted QR</t>
  </si>
  <si>
    <t>Additional Shareholders Equity</t>
  </si>
  <si>
    <t>RISK SEGMENT HURDLE SCORE (EXISTING)</t>
  </si>
  <si>
    <t>RISK COMPONENT WEIGHTINGS (START-UP)</t>
  </si>
  <si>
    <t>Financial Statements</t>
  </si>
  <si>
    <t>PERCENTAGE SCORE</t>
  </si>
  <si>
    <t>WEIGHTED PERCENTAGE</t>
  </si>
  <si>
    <t>RISK SEGMENT WEIGHTINGS (START-UP)</t>
  </si>
  <si>
    <t>RISK SEGMENT HURDLE SCORE (START-UP)</t>
  </si>
  <si>
    <t>BUSINESS PLAN FEASABILITY ASSESSMENT</t>
  </si>
  <si>
    <t>Max Financial Feasibility Weighted Score</t>
  </si>
  <si>
    <t>Financial Feasibility Weighted Score</t>
  </si>
  <si>
    <t>Financial Feasibility Percentage Score</t>
  </si>
  <si>
    <t>Financial Feasibility Hurdle Score</t>
  </si>
  <si>
    <t>Starting Debt/ Capital Ratio</t>
  </si>
  <si>
    <t>COMPANY CAPITALISATION</t>
  </si>
  <si>
    <t>Company Capitalisation Weighted Score</t>
  </si>
  <si>
    <t>Max Company Capitalisation Weighted Score</t>
  </si>
  <si>
    <t>Company Capitalisation Percentage Score</t>
  </si>
  <si>
    <t>Company Capitalisation Hurdle</t>
  </si>
  <si>
    <t>Company Capitalisation Hurdle Score</t>
  </si>
  <si>
    <t>Liquidity Hurdle</t>
  </si>
  <si>
    <t>Financial Feasibility Hurdle</t>
  </si>
  <si>
    <t>Monthly</t>
  </si>
  <si>
    <t>Quarterly</t>
  </si>
  <si>
    <t>FAIL</t>
  </si>
  <si>
    <t>Hurdle Options</t>
  </si>
  <si>
    <t>G. CREDIT RATING</t>
  </si>
  <si>
    <t>H. FINANCING OPTIONS</t>
  </si>
  <si>
    <t>(2)</t>
  </si>
  <si>
    <t>Password is 'Project007'</t>
  </si>
  <si>
    <t>CREDIT RATING REPORT (Summary) v.4.0.0</t>
  </si>
  <si>
    <t>CREDIT RATING MODEL (EXISTING) v.4.0.0</t>
  </si>
  <si>
    <t>CREDIT RATING MODEL (START-UP) v.4.0.0</t>
  </si>
  <si>
    <t>BUSINESS TRANSACTION OF THE COMPANY</t>
  </si>
  <si>
    <t>CORONATION BANK</t>
  </si>
  <si>
    <t>SME CREDIT</t>
  </si>
  <si>
    <t>DH SME</t>
  </si>
  <si>
    <t>EMC</t>
  </si>
  <si>
    <t>SANDRA O. YOROH</t>
  </si>
  <si>
    <t>0000012528</t>
  </si>
  <si>
    <t xml:space="preserve">AGO AND ATK Products will be purchased from PPMC </t>
  </si>
  <si>
    <t xml:space="preserve">They have strong finacial plan to fund their trading line. </t>
  </si>
  <si>
    <t>They have complied to all regulatry requirements.</t>
  </si>
  <si>
    <t xml:space="preserve">The CEO and the board of directors has over 40years experience put together in this industry. Both in the sourcing, trading and technical management and operation of a tanfk farm. The Company will also enter into necessary service level agreements with suitable counterparties for the provision of specialized managerial and technical services required to operate the business
</t>
  </si>
  <si>
    <t xml:space="preserve">The company has a good succession plane in place. With corporate shareholding structure.The Board structure will be designed to ensure effective management of the business and ensure the Company is being run in the best interest of shareholders at all times </t>
  </si>
  <si>
    <t xml:space="preserve">The location is close to the source of products and distributoion network from that point is good.The major value proposition of the Terminal is its unique location which enables:
Efficient and reliable delivery/off-take (including convenient railway access) in a safe environment within acceptable international HSE Standards for the storage and transportation of petroleum products; Exceptional and critical additional coastal storage for ATK in the area; and Provision of customized hedging solutions to its customers through marketing and trading activities.  </t>
  </si>
  <si>
    <t>The products (AGO  and ATK) they distribute are in high demand.</t>
  </si>
  <si>
    <t>The bearer to entry to this business (high cost of establishing the business) creates room for few number of companies going into the business thereby resulting to huge profit and customer base. Their customer base is made up of companies like Enyo and other independent marketers and also importers of AGO and ATK  who would require the services of a storage facility. though an open market appraoch but the demand is huge.</t>
  </si>
  <si>
    <t>With a strong sales and management team with over 23 years of the industry knowlegde. Their ability to put together a good sales and marketing strategy is not in question. Also the products are in high demand and with their knowledge of the industry, they can easily penitarte the market.</t>
  </si>
  <si>
    <t xml:space="preserve">One Terminals Limited is an indigenous company incorporated to provide strategic storage, marketing and logistics solutions for the downstream oil &amp; gas sector in Nigeria. The Company intends to exploit the huge opportunities in the value chain for storage of petroleum products in the South-West region of Nigeria by pursuing a long term integrated strategy. In a bid to achieve this objective, OTL has acquired a coastal storage facility terminal located at Dockyard Road Apapa, Lagos worth over N2.4b. The Terminal is a mini storage facility strategically located in the commercial hub of the Lagos port with access to a jetty which can comfortably berth a 15,000 MT product vessel .The Asset provides a platform for the creation of a perpetual inventory of petroleum products, namely Automotive Gasoil (“AGO”, i.e. Diesel) and Aviation Turbine Kerosene (”ATK”, i.e. Jet A1 fuel), to enhance profit from throughput fees and an import-focused strategy of trading, supplying and marketing of both products.The Company seeks opportunities that offer excellent access for the distribution of products into the Lagos and South-West market by providing AGO and ATK for marketers and residents of the region as well as achieving the underlying objective of providing attractive returns on investment for its shareholders. OTL’s CEO is a seasoned professional with vast experience, spanning over 23 years, in the supply, trading, distribution and sales of petroleum products in Nigeria and West Africa and deep understanding of hydrocarbon product flows within the continent. The company has a strong corporate governance chaired by a seasoned professional in refining, trading, distribution, marketing and sales of petroleum products with over 41 years experience in the downstream sector of the Petroleum Industry and a past MD of PPMC.  
</t>
  </si>
  <si>
    <t>They have good cash flow projections and strong ability to repay their loan exposure. Their term loan with the commercial bank is also performing.</t>
  </si>
  <si>
    <t xml:space="preserve">100% owned by Nigerians. The company has on board good corporate companies as share holders such companies as Wapic Assurance, Trust and Venture capital etc
</t>
  </si>
  <si>
    <t xml:space="preserve">There shall be 5 Members nominated as Board of Directors of the Company responsible for the overall management and supervision of the affairs of the business with the management team responsible for the day-to-day management of the business operations.The Board structure will be designed to ensure effective management of the business and ensure the Company is being run in the best interest of shareholders at all times. </t>
  </si>
  <si>
    <t>OTL has also put in place steps to reduce and mitigate against various risks by ensuring external accountability and reporting on risks and risk management. The facility upon take off will insure the entire facity against fire and theft also.</t>
  </si>
  <si>
    <t>The supply of the product will come from PPMC, in alternate months. The months when the company does not have an allocation from PPMC, they will lease the facility to other companys to store their AGO and ATK, which cycles out in 30days maximum. This keeps the facility on optimal use all through the year and the demand for this service is high.</t>
  </si>
  <si>
    <t>BOI/SME/LRO/EMC/CAR/300/2020/01/02</t>
  </si>
  <si>
    <t>ATK</t>
  </si>
  <si>
    <t>AGO</t>
  </si>
  <si>
    <t>30 days</t>
  </si>
  <si>
    <t>30days</t>
  </si>
  <si>
    <t>As at 31/01/2020, approved BG Limit for Coronation bank is N30,000,000,000; Exposure stands N343,000,000.00 Differential is N29,657,000,000. Requested Amount is N1,000,000,000.00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</si>
</sst>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_([$NGN]\ * #,##0_);_([$NGN]\ * \(#,##0\);_([$NGN]\ * &quot;-&quot;??_);_(@_)"/>
    <numFmt numFmtId="166" formatCode="_(* #,##0_);_(* \(#,##0\);_(* &quot;-&quot;??_);_(@_)"/>
    <numFmt numFmtId="167" formatCode="0.0%"/>
    <numFmt numFmtId="168" formatCode="_-[$₦-46A]\ * #,##0_-;\-[$₦-46A]\ * #,##0_-;_-[$₦-46A]\ * &quot;-&quot;??_-;_-@_-"/>
    <numFmt numFmtId="169" formatCode="mmmm\,\ yyyy"/>
    <numFmt numFmtId="170" formatCode="0;;;@"/>
    <numFmt numFmtId="171" formatCode="_-[$₦-46A]\ * #,##0_-;\-[$₦-46A]\ * #,##0_-;_-[$₦-46A]\ * &quot;-&quot;_-;_-@_-"/>
    <numFmt numFmtId="172" formatCode="0.000%"/>
    <numFmt numFmtId="173" formatCode="_-[$₦-46A]\ * #,##0.00_-;\-[$₦-46A]\ * #,##0.00_-;_-[$₦-46A]\ * &quot;-&quot;??_-;_-@_-"/>
    <numFmt numFmtId="174" formatCode="0.00;;;@"/>
  </numFmts>
  <fonts count="71">
    <font>
      <sz val="11"/>
      <color theme="1"/>
      <name val="Calibri"/>
      <family val="2"/>
      <scheme val="minor"/>
    </font>
    <font>
      <sz val="11"/>
      <color theme="1"/>
      <name val="Calibri"/>
      <family val="2"/>
      <scheme val="minor"/>
    </font>
    <font>
      <sz val="11"/>
      <color rgb="FF3F3F76"/>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sz val="26"/>
      <color theme="0"/>
      <name val="Calibri"/>
      <family val="2"/>
      <scheme val="minor"/>
    </font>
    <font>
      <b/>
      <sz val="36"/>
      <color theme="0"/>
      <name val="Calibri"/>
      <family val="2"/>
      <scheme val="minor"/>
    </font>
    <font>
      <b/>
      <sz val="16"/>
      <color theme="1"/>
      <name val="Calibri"/>
      <family val="2"/>
      <scheme val="minor"/>
    </font>
    <font>
      <b/>
      <sz val="11"/>
      <color rgb="FFFA7D00"/>
      <name val="Calibri"/>
      <family val="2"/>
      <scheme val="minor"/>
    </font>
    <font>
      <b/>
      <sz val="11"/>
      <color theme="1"/>
      <name val="Calibri"/>
      <family val="2"/>
      <scheme val="minor"/>
    </font>
    <font>
      <b/>
      <sz val="9"/>
      <color theme="0"/>
      <name val="Calibri"/>
      <family val="2"/>
      <scheme val="minor"/>
    </font>
    <font>
      <b/>
      <sz val="10"/>
      <color theme="1"/>
      <name val="Calibri"/>
      <family val="2"/>
      <scheme val="minor"/>
    </font>
    <font>
      <b/>
      <sz val="12"/>
      <color theme="0"/>
      <name val="Calibri"/>
      <family val="2"/>
      <scheme val="minor"/>
    </font>
    <font>
      <b/>
      <sz val="10"/>
      <color theme="0"/>
      <name val="Calibri"/>
      <family val="2"/>
      <scheme val="minor"/>
    </font>
    <font>
      <sz val="10"/>
      <color rgb="FF3F3F76"/>
      <name val="Calibri"/>
      <family val="2"/>
      <scheme val="minor"/>
    </font>
    <font>
      <sz val="10"/>
      <color theme="1"/>
      <name val="Calibri"/>
      <family val="2"/>
      <scheme val="minor"/>
    </font>
    <font>
      <sz val="10"/>
      <color rgb="FFFF0000"/>
      <name val="Calibri"/>
      <family val="2"/>
      <scheme val="minor"/>
    </font>
    <font>
      <b/>
      <sz val="9"/>
      <color theme="1"/>
      <name val="Calibri"/>
      <family val="1"/>
      <charset val="2"/>
      <scheme val="minor"/>
    </font>
    <font>
      <b/>
      <sz val="9"/>
      <color theme="1"/>
      <name val="Wingdings 3"/>
      <family val="1"/>
      <charset val="2"/>
    </font>
    <font>
      <b/>
      <sz val="9"/>
      <color theme="1"/>
      <name val="Calibri"/>
      <family val="2"/>
    </font>
    <font>
      <b/>
      <sz val="9"/>
      <color theme="1"/>
      <name val="Calibri"/>
      <family val="2"/>
      <scheme val="minor"/>
    </font>
    <font>
      <b/>
      <sz val="9"/>
      <color rgb="FFFF0000"/>
      <name val="Calibri"/>
      <family val="1"/>
      <charset val="2"/>
      <scheme val="minor"/>
    </font>
    <font>
      <b/>
      <sz val="9"/>
      <color rgb="FFFF0000"/>
      <name val="Wingdings 3"/>
      <family val="1"/>
      <charset val="2"/>
    </font>
    <font>
      <b/>
      <sz val="9"/>
      <color rgb="FFFF0000"/>
      <name val="Calibri"/>
      <family val="2"/>
    </font>
    <font>
      <b/>
      <sz val="9"/>
      <color rgb="FFFF0000"/>
      <name val="Calibri"/>
      <family val="2"/>
      <scheme val="minor"/>
    </font>
    <font>
      <b/>
      <sz val="10"/>
      <color rgb="FFFA7D00"/>
      <name val="Calibri"/>
      <family val="2"/>
      <scheme val="minor"/>
    </font>
    <font>
      <b/>
      <sz val="10"/>
      <color rgb="FF3F3F76"/>
      <name val="Calibri"/>
      <family val="2"/>
      <scheme val="minor"/>
    </font>
    <font>
      <sz val="11"/>
      <color rgb="FFFF0000"/>
      <name val="Calibri"/>
      <family val="2"/>
      <scheme val="minor"/>
    </font>
    <font>
      <b/>
      <sz val="28"/>
      <color theme="0"/>
      <name val="Calibri"/>
      <family val="2"/>
      <scheme val="minor"/>
    </font>
    <font>
      <sz val="11"/>
      <name val="Calibri"/>
      <family val="2"/>
      <scheme val="minor"/>
    </font>
    <font>
      <b/>
      <sz val="10"/>
      <name val="Calibri"/>
      <family val="2"/>
      <scheme val="minor"/>
    </font>
    <font>
      <b/>
      <sz val="12"/>
      <color theme="1"/>
      <name val="Calibri"/>
      <family val="2"/>
      <scheme val="minor"/>
    </font>
    <font>
      <sz val="10"/>
      <color rgb="FFFA7D00"/>
      <name val="Calibri"/>
      <family val="2"/>
      <scheme val="minor"/>
    </font>
    <font>
      <sz val="9"/>
      <color indexed="81"/>
      <name val="Tahoma"/>
      <family val="2"/>
    </font>
    <font>
      <b/>
      <sz val="18"/>
      <color theme="0"/>
      <name val="Calibri"/>
      <family val="2"/>
      <scheme val="minor"/>
    </font>
    <font>
      <b/>
      <sz val="18"/>
      <color theme="1"/>
      <name val="Calibri"/>
      <family val="2"/>
      <scheme val="minor"/>
    </font>
    <font>
      <b/>
      <sz val="14"/>
      <color rgb="FFFA7D00"/>
      <name val="Century Gothic"/>
      <family val="2"/>
    </font>
    <font>
      <b/>
      <sz val="14"/>
      <color rgb="FF3F3F76"/>
      <name val="Century Gothic"/>
      <family val="2"/>
    </font>
    <font>
      <b/>
      <sz val="20"/>
      <color theme="3"/>
      <name val="Century Gothic"/>
      <family val="2"/>
    </font>
    <font>
      <b/>
      <sz val="14"/>
      <color theme="3"/>
      <name val="Century Gothic"/>
      <family val="2"/>
    </font>
    <font>
      <sz val="11"/>
      <color rgb="FFFA7D0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b/>
      <sz val="10"/>
      <color theme="0"/>
      <name val="Century Gothic"/>
      <family val="2"/>
    </font>
    <font>
      <b/>
      <sz val="10"/>
      <color theme="0"/>
      <name val="Century Gothic"/>
      <family val="2"/>
    </font>
    <font>
      <sz val="11"/>
      <color theme="1"/>
      <name val="Calibri"/>
      <family val="2"/>
      <scheme val="minor"/>
    </font>
    <font>
      <sz val="26"/>
      <color theme="0"/>
      <name val="Calibri"/>
      <family val="2"/>
      <scheme val="minor"/>
    </font>
    <font>
      <b/>
      <sz val="22"/>
      <color theme="0"/>
      <name val="Century Gothic"/>
      <family val="2"/>
    </font>
    <font>
      <b/>
      <sz val="20"/>
      <color theme="1"/>
      <name val="Century Gothic"/>
      <family val="2"/>
    </font>
    <font>
      <b/>
      <sz val="11"/>
      <color theme="1"/>
      <name val="Century Gothic"/>
      <family val="2"/>
    </font>
    <font>
      <b/>
      <sz val="8"/>
      <color theme="1"/>
      <name val="Century Gothic"/>
      <family val="2"/>
    </font>
    <font>
      <b/>
      <sz val="10"/>
      <color theme="0"/>
      <name val="Century Gothic"/>
      <family val="2"/>
    </font>
    <font>
      <b/>
      <sz val="14"/>
      <color rgb="FF3F3F76"/>
      <name val="Century Gothic"/>
      <family val="2"/>
    </font>
    <font>
      <b/>
      <sz val="36"/>
      <color theme="1"/>
      <name val="Century Gothic"/>
      <family val="2"/>
    </font>
    <font>
      <b/>
      <sz val="14"/>
      <color rgb="FFFA7D00"/>
      <name val="Century Gothic"/>
      <family val="2"/>
    </font>
    <font>
      <sz val="11"/>
      <color theme="1"/>
      <name val="Century Gothic"/>
      <family val="2"/>
    </font>
    <font>
      <b/>
      <sz val="20"/>
      <color theme="3"/>
      <name val="Century Gothic"/>
      <family val="2"/>
    </font>
    <font>
      <b/>
      <sz val="28"/>
      <color theme="1"/>
      <name val="Century Gothic"/>
      <family val="2"/>
    </font>
    <font>
      <sz val="10"/>
      <color theme="1"/>
      <name val="Calibri"/>
      <family val="2"/>
      <scheme val="minor"/>
    </font>
    <font>
      <b/>
      <sz val="14"/>
      <color theme="1"/>
      <name val="Calibri"/>
      <family val="2"/>
      <scheme val="minor"/>
    </font>
    <font>
      <b/>
      <sz val="14"/>
      <color theme="3"/>
      <name val="Century Gothic"/>
      <family val="2"/>
    </font>
    <font>
      <b/>
      <sz val="14"/>
      <color theme="1"/>
      <name val="Century Gothic"/>
      <family val="2"/>
    </font>
    <font>
      <b/>
      <sz val="14"/>
      <color theme="0"/>
      <name val="Calibri"/>
      <family val="2"/>
      <scheme val="minor"/>
    </font>
    <font>
      <sz val="11"/>
      <color theme="0"/>
      <name val="Calibri"/>
      <family val="2"/>
      <scheme val="minor"/>
    </font>
    <font>
      <b/>
      <sz val="12"/>
      <color theme="0"/>
      <name val="Calibri"/>
      <family val="2"/>
      <scheme val="minor"/>
    </font>
    <font>
      <sz val="12"/>
      <color theme="2" tint="-0.249977111117893"/>
      <name val="Calibri"/>
      <family val="2"/>
      <scheme val="minor"/>
    </font>
    <font>
      <sz val="12"/>
      <color theme="0"/>
      <name val="Calibri"/>
      <family val="2"/>
      <scheme val="minor"/>
    </font>
    <font>
      <sz val="12"/>
      <color theme="6"/>
      <name val="Calibri"/>
      <family val="2"/>
      <scheme val="minor"/>
    </font>
  </fonts>
  <fills count="43">
    <fill>
      <patternFill patternType="none"/>
    </fill>
    <fill>
      <patternFill patternType="gray125"/>
    </fill>
    <fill>
      <patternFill patternType="solid">
        <fgColor rgb="FFFFCC99"/>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tint="0.79998168889431442"/>
        <bgColor theme="8" tint="0.79998168889431442"/>
      </patternFill>
    </fill>
    <fill>
      <patternFill patternType="solid">
        <fgColor theme="4"/>
        <bgColor indexed="64"/>
      </patternFill>
    </fill>
    <fill>
      <patternFill patternType="solid">
        <fgColor rgb="FFF2F2F2"/>
      </patternFill>
    </fill>
    <fill>
      <patternFill patternType="solid">
        <fgColor theme="8"/>
      </patternFill>
    </fill>
    <fill>
      <patternFill patternType="solid">
        <fgColor theme="3" tint="0.89996032593768116"/>
        <bgColor indexed="64"/>
      </patternFill>
    </fill>
    <fill>
      <patternFill patternType="solid">
        <fgColor theme="6"/>
        <bgColor theme="6"/>
      </patternFill>
    </fill>
    <fill>
      <patternFill patternType="solid">
        <fgColor theme="8"/>
        <bgColor indexed="64"/>
      </patternFill>
    </fill>
    <fill>
      <patternFill patternType="solid">
        <fgColor theme="8" tint="0.79998168889431442"/>
        <bgColor indexed="64"/>
      </patternFill>
    </fill>
    <fill>
      <patternFill patternType="solid">
        <fgColor theme="3"/>
        <bgColor indexed="64"/>
      </patternFill>
    </fill>
    <fill>
      <patternFill patternType="solid">
        <fgColor theme="0" tint="-4.9989318521683403E-2"/>
        <bgColor indexed="64"/>
      </patternFill>
    </fill>
    <fill>
      <patternFill patternType="solid">
        <fgColor theme="5"/>
        <bgColor theme="8"/>
      </patternFill>
    </fill>
    <fill>
      <patternFill patternType="solid">
        <fgColor theme="5"/>
        <bgColor indexed="64"/>
      </patternFill>
    </fill>
    <fill>
      <patternFill patternType="solid">
        <fgColor theme="6"/>
        <bgColor indexed="64"/>
      </patternFill>
    </fill>
    <fill>
      <patternFill patternType="solid">
        <fgColor theme="1"/>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tint="0.89999084444715716"/>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7" tint="-4.9989318521683403E-2"/>
        <bgColor indexed="64"/>
      </patternFill>
    </fill>
    <fill>
      <patternFill patternType="solid">
        <fgColor theme="7" tint="0.89999084444715716"/>
        <bgColor indexed="64"/>
      </patternFill>
    </fill>
    <fill>
      <patternFill patternType="solid">
        <fgColor theme="3" tint="0.79998168889431442"/>
        <bgColor indexed="64"/>
      </patternFill>
    </fill>
    <fill>
      <patternFill patternType="solid">
        <fgColor theme="4" tint="0.79998168889431442"/>
        <bgColor theme="8" tint="0.79998168889431442"/>
      </patternFill>
    </fill>
    <fill>
      <patternFill patternType="solid">
        <fgColor theme="6" tint="0.79998168889431442"/>
        <bgColor theme="8" tint="0.79998168889431442"/>
      </patternFill>
    </fill>
    <fill>
      <patternFill patternType="solid">
        <fgColor theme="7" tint="0.79998168889431442"/>
        <bgColor theme="7" tint="0.79998168889431442"/>
      </patternFill>
    </fill>
    <fill>
      <patternFill patternType="solid">
        <fgColor theme="1" tint="0.89996032593768116"/>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0"/>
        <bgColor indexed="64"/>
      </patternFill>
    </fill>
    <fill>
      <patternFill patternType="solid">
        <fgColor theme="5" tint="0.599963377788628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s>
  <borders count="105">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theme="8"/>
      </left>
      <right style="thin">
        <color theme="8"/>
      </right>
      <top style="thin">
        <color theme="8"/>
      </top>
      <bottom style="medium">
        <color indexed="64"/>
      </bottom>
      <diagonal/>
    </border>
    <border>
      <left style="thin">
        <color theme="8"/>
      </left>
      <right style="medium">
        <color indexed="64"/>
      </right>
      <top style="thin">
        <color theme="8"/>
      </top>
      <bottom style="medium">
        <color indexed="64"/>
      </bottom>
      <diagonal/>
    </border>
    <border>
      <left style="thin">
        <color rgb="FF7F7F7F"/>
      </left>
      <right style="thin">
        <color rgb="FF7F7F7F"/>
      </right>
      <top style="medium">
        <color indexed="64"/>
      </top>
      <bottom style="thin">
        <color rgb="FF7F7F7F"/>
      </bottom>
      <diagonal/>
    </border>
    <border>
      <left style="thin">
        <color rgb="FF7F7F7F"/>
      </left>
      <right style="thin">
        <color rgb="FF7F7F7F"/>
      </right>
      <top style="thin">
        <color rgb="FF7F7F7F"/>
      </top>
      <bottom style="medium">
        <color indexed="64"/>
      </bottom>
      <diagonal/>
    </border>
    <border>
      <left/>
      <right/>
      <top style="thin">
        <color theme="8" tint="0.39997558519241921"/>
      </top>
      <bottom/>
      <diagonal/>
    </border>
    <border>
      <left style="thin">
        <color theme="0"/>
      </left>
      <right/>
      <top style="thin">
        <color theme="8" tint="0.39997558519241921"/>
      </top>
      <bottom/>
      <diagonal/>
    </border>
    <border>
      <left style="thin">
        <color theme="0"/>
      </left>
      <right/>
      <top/>
      <bottom/>
      <diagonal/>
    </border>
    <border>
      <left style="medium">
        <color indexed="64"/>
      </left>
      <right style="medium">
        <color indexed="64"/>
      </right>
      <top style="medium">
        <color indexed="64"/>
      </top>
      <bottom style="medium">
        <color indexed="64"/>
      </bottom>
      <diagonal/>
    </border>
    <border>
      <left/>
      <right/>
      <top style="medium">
        <color theme="1"/>
      </top>
      <bottom/>
      <diagonal/>
    </border>
    <border>
      <left style="thin">
        <color rgb="FF7F7F7F"/>
      </left>
      <right style="thin">
        <color rgb="FF7F7F7F"/>
      </right>
      <top style="thin">
        <color rgb="FF7F7F7F"/>
      </top>
      <bottom/>
      <diagonal/>
    </border>
    <border>
      <left style="thin">
        <color rgb="FF7F7F7F"/>
      </left>
      <right style="thin">
        <color rgb="FF7F7F7F"/>
      </right>
      <top style="thin">
        <color indexed="64"/>
      </top>
      <bottom style="double">
        <color indexed="64"/>
      </bottom>
      <diagonal/>
    </border>
    <border>
      <left style="thin">
        <color rgb="FF7F7F7F"/>
      </left>
      <right style="thin">
        <color rgb="FF7F7F7F"/>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style="medium">
        <color indexed="64"/>
      </left>
      <right/>
      <top style="medium">
        <color indexed="64"/>
      </top>
      <bottom style="thin">
        <color theme="8"/>
      </bottom>
      <diagonal/>
    </border>
    <border>
      <left style="medium">
        <color indexed="64"/>
      </left>
      <right/>
      <top style="thin">
        <color theme="8"/>
      </top>
      <bottom style="thin">
        <color theme="8"/>
      </bottom>
      <diagonal/>
    </border>
    <border>
      <left style="medium">
        <color indexed="64"/>
      </left>
      <right/>
      <top style="thin">
        <color theme="8"/>
      </top>
      <bottom style="medium">
        <color indexed="64"/>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right/>
      <top/>
      <bottom style="thick">
        <color theme="4" tint="0.499984740745262"/>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style="medium">
        <color theme="6"/>
      </right>
      <top style="medium">
        <color theme="6"/>
      </top>
      <bottom style="medium">
        <color theme="6"/>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style="thin">
        <color theme="8"/>
      </left>
      <right style="thin">
        <color theme="8"/>
      </right>
      <top/>
      <bottom/>
      <diagonal/>
    </border>
    <border>
      <left/>
      <right style="thin">
        <color theme="8"/>
      </right>
      <top/>
      <bottom/>
      <diagonal/>
    </border>
    <border>
      <left style="medium">
        <color indexed="64"/>
      </left>
      <right style="thin">
        <color theme="8"/>
      </right>
      <top style="thin">
        <color theme="8"/>
      </top>
      <bottom style="medium">
        <color indexed="64"/>
      </bottom>
      <diagonal/>
    </border>
    <border>
      <left style="thin">
        <color rgb="FF7F7F7F"/>
      </left>
      <right/>
      <top style="medium">
        <color indexed="64"/>
      </top>
      <bottom style="thin">
        <color rgb="FF7F7F7F"/>
      </bottom>
      <diagonal/>
    </border>
    <border>
      <left style="thin">
        <color rgb="FF7F7F7F"/>
      </left>
      <right/>
      <top style="thin">
        <color rgb="FF7F7F7F"/>
      </top>
      <bottom style="thin">
        <color rgb="FF7F7F7F"/>
      </bottom>
      <diagonal/>
    </border>
    <border>
      <left style="thin">
        <color rgb="FF7F7F7F"/>
      </left>
      <right/>
      <top style="thin">
        <color rgb="FF7F7F7F"/>
      </top>
      <bottom style="medium">
        <color indexed="64"/>
      </bottom>
      <diagonal/>
    </border>
    <border>
      <left/>
      <right style="thin">
        <color rgb="FF7F7F7F"/>
      </right>
      <top/>
      <bottom/>
      <diagonal/>
    </border>
    <border>
      <left/>
      <right/>
      <top style="thin">
        <color theme="7"/>
      </top>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right style="thin">
        <color rgb="FF7F7F7F"/>
      </right>
      <top style="medium">
        <color theme="1"/>
      </top>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bottom style="thin">
        <color rgb="FF7F7F7F"/>
      </bottom>
      <diagonal/>
    </border>
    <border>
      <left/>
      <right style="medium">
        <color theme="4"/>
      </right>
      <top/>
      <bottom/>
      <diagonal/>
    </border>
    <border>
      <left style="thin">
        <color theme="3"/>
      </left>
      <right style="thin">
        <color theme="3"/>
      </right>
      <top style="thin">
        <color theme="3"/>
      </top>
      <bottom style="thin">
        <color theme="3"/>
      </bottom>
      <diagonal/>
    </border>
    <border>
      <left/>
      <right style="thin">
        <color theme="3"/>
      </right>
      <top style="thin">
        <color theme="3"/>
      </top>
      <bottom style="thin">
        <color theme="3"/>
      </bottom>
      <diagonal/>
    </border>
    <border>
      <left style="medium">
        <color indexed="64"/>
      </left>
      <right/>
      <top/>
      <bottom/>
      <diagonal/>
    </border>
    <border>
      <left style="thin">
        <color theme="3"/>
      </left>
      <right/>
      <top style="thin">
        <color theme="3"/>
      </top>
      <bottom style="thin">
        <color theme="3"/>
      </bottom>
      <diagonal/>
    </border>
    <border>
      <left style="medium">
        <color indexed="64"/>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medium">
        <color indexed="64"/>
      </left>
      <right/>
      <top/>
      <bottom style="medium">
        <color indexed="64"/>
      </bottom>
      <diagonal/>
    </border>
    <border>
      <left style="medium">
        <color indexed="64"/>
      </left>
      <right style="thin">
        <color theme="3"/>
      </right>
      <top style="medium">
        <color indexed="64"/>
      </top>
      <bottom style="thin">
        <color theme="3"/>
      </bottom>
      <diagonal/>
    </border>
    <border>
      <left style="thin">
        <color theme="3"/>
      </left>
      <right style="thin">
        <color theme="3"/>
      </right>
      <top style="medium">
        <color indexed="64"/>
      </top>
      <bottom style="thin">
        <color theme="3"/>
      </bottom>
      <diagonal/>
    </border>
    <border>
      <left style="thin">
        <color theme="3"/>
      </left>
      <right style="medium">
        <color indexed="64"/>
      </right>
      <top style="medium">
        <color indexed="64"/>
      </top>
      <bottom style="thin">
        <color theme="3"/>
      </bottom>
      <diagonal/>
    </border>
    <border>
      <left style="medium">
        <color indexed="64"/>
      </left>
      <right style="thin">
        <color theme="3"/>
      </right>
      <top style="thin">
        <color theme="3"/>
      </top>
      <bottom style="medium">
        <color indexed="64"/>
      </bottom>
      <diagonal/>
    </border>
    <border>
      <left style="thin">
        <color theme="3"/>
      </left>
      <right style="thin">
        <color theme="3"/>
      </right>
      <top style="thin">
        <color theme="3"/>
      </top>
      <bottom style="medium">
        <color indexed="64"/>
      </bottom>
      <diagonal/>
    </border>
    <border>
      <left style="thin">
        <color theme="3"/>
      </left>
      <right style="medium">
        <color indexed="64"/>
      </right>
      <top style="thin">
        <color theme="3"/>
      </top>
      <bottom style="medium">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right/>
      <top style="thin">
        <color theme="3"/>
      </top>
      <bottom style="thin">
        <color theme="3"/>
      </bottom>
      <diagonal/>
    </border>
    <border>
      <left/>
      <right/>
      <top style="medium">
        <color theme="1"/>
      </top>
      <bottom style="thin">
        <color rgb="FF7F7F7F"/>
      </bottom>
      <diagonal/>
    </border>
    <border>
      <left/>
      <right style="thin">
        <color theme="3"/>
      </right>
      <top style="medium">
        <color indexed="64"/>
      </top>
      <bottom style="thin">
        <color theme="3"/>
      </bottom>
      <diagonal/>
    </border>
    <border>
      <left/>
      <right style="thin">
        <color theme="3"/>
      </right>
      <top style="thin">
        <color theme="3"/>
      </top>
      <bottom style="medium">
        <color indexed="64"/>
      </bottom>
      <diagonal/>
    </border>
    <border>
      <left style="medium">
        <color indexed="64"/>
      </left>
      <right style="medium">
        <color indexed="64"/>
      </right>
      <top style="medium">
        <color indexed="64"/>
      </top>
      <bottom style="thin">
        <color theme="3"/>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style="thin">
        <color theme="3"/>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7"/>
      </top>
      <bottom style="thin">
        <color theme="7"/>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theme="3"/>
      </right>
      <top/>
      <bottom/>
      <diagonal/>
    </border>
    <border>
      <left style="thick">
        <color theme="3"/>
      </left>
      <right/>
      <top/>
      <bottom/>
      <diagonal/>
    </border>
    <border>
      <left/>
      <right/>
      <top/>
      <bottom style="medium">
        <color theme="1"/>
      </bottom>
      <diagonal/>
    </border>
    <border>
      <left style="thin">
        <color rgb="FF7F7F7F"/>
      </left>
      <right/>
      <top/>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right/>
      <top style="thin">
        <color rgb="FF7F7F7F"/>
      </top>
      <bottom style="medium">
        <color indexed="64"/>
      </bottom>
      <diagonal/>
    </border>
    <border>
      <left/>
      <right/>
      <top style="medium">
        <color indexed="64"/>
      </top>
      <bottom style="thin">
        <color rgb="FF7F7F7F"/>
      </bottom>
      <diagonal/>
    </border>
    <border>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s>
  <cellStyleXfs count="26">
    <xf numFmtId="0" fontId="0" fillId="0" borderId="0"/>
    <xf numFmtId="0" fontId="39" fillId="0" borderId="1" applyNumberFormat="0" applyFill="0" applyAlignment="0" applyProtection="0"/>
    <xf numFmtId="0" fontId="15" fillId="2" borderId="2" applyNumberFormat="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9" fontId="1" fillId="0" borderId="0" applyFont="0" applyFill="0" applyBorder="0" applyAlignment="0" applyProtection="0"/>
    <xf numFmtId="0" fontId="9" fillId="9" borderId="2" applyNumberFormat="0" applyAlignment="0" applyProtection="0"/>
    <xf numFmtId="0" fontId="4" fillId="10" borderId="0" applyNumberFormat="0" applyBorder="0" applyAlignment="0" applyProtection="0"/>
    <xf numFmtId="0" fontId="15" fillId="11" borderId="2"/>
    <xf numFmtId="0" fontId="40" fillId="0" borderId="26" applyNumberFormat="0" applyFill="0" applyAlignment="0" applyProtection="0"/>
    <xf numFmtId="43" fontId="1" fillId="0" borderId="0" applyFont="0" applyFill="0" applyBorder="0" applyAlignment="0" applyProtection="0"/>
    <xf numFmtId="0" fontId="15" fillId="34" borderId="2">
      <protection locked="0"/>
    </xf>
    <xf numFmtId="44" fontId="1" fillId="0" borderId="0" applyFont="0" applyFill="0" applyBorder="0" applyAlignment="0" applyProtection="0"/>
    <xf numFmtId="0" fontId="38" fillId="38" borderId="2" applyAlignment="0">
      <alignment horizontal="right" vertical="center" wrapText="1"/>
      <protection locked="0"/>
    </xf>
    <xf numFmtId="0" fontId="37" fillId="9" borderId="2" applyNumberFormat="0" applyProtection="0">
      <alignment vertical="center"/>
    </xf>
    <xf numFmtId="0" fontId="42" fillId="39" borderId="0" applyNumberFormat="0" applyBorder="0" applyAlignment="0" applyProtection="0"/>
    <xf numFmtId="0" fontId="43" fillId="40" borderId="0" applyNumberFormat="0" applyBorder="0" applyAlignment="0" applyProtection="0"/>
    <xf numFmtId="0" fontId="44" fillId="41" borderId="0" applyNumberFormat="0" applyBorder="0" applyAlignment="0" applyProtection="0"/>
    <xf numFmtId="0" fontId="45" fillId="9" borderId="91" applyNumberFormat="0" applyAlignment="0" applyProtection="0"/>
    <xf numFmtId="0" fontId="41" fillId="0" borderId="92" applyNumberFormat="0" applyFill="0" applyAlignment="0" applyProtection="0"/>
    <xf numFmtId="0" fontId="3" fillId="42" borderId="93" applyNumberFormat="0" applyAlignment="0" applyProtection="0"/>
    <xf numFmtId="0" fontId="28" fillId="0" borderId="0" applyNumberFormat="0" applyFill="0" applyBorder="0" applyAlignment="0" applyProtection="0"/>
    <xf numFmtId="0" fontId="46" fillId="20" borderId="0" applyAlignment="0">
      <alignment horizontal="right" vertical="center" wrapText="1"/>
    </xf>
    <xf numFmtId="0" fontId="47" fillId="12" borderId="11">
      <alignment wrapText="1"/>
    </xf>
  </cellStyleXfs>
  <cellXfs count="612">
    <xf numFmtId="0" fontId="0" fillId="0" borderId="0" xfId="0"/>
    <xf numFmtId="0" fontId="10" fillId="0" borderId="0" xfId="0" applyFont="1"/>
    <xf numFmtId="164" fontId="26" fillId="9" borderId="5" xfId="8" applyNumberFormat="1" applyFont="1" applyBorder="1" applyAlignment="1">
      <alignment wrapText="1"/>
    </xf>
    <xf numFmtId="164" fontId="26" fillId="9" borderId="2" xfId="8" applyNumberFormat="1" applyFont="1" applyAlignment="1">
      <alignment wrapText="1"/>
    </xf>
    <xf numFmtId="1" fontId="26" fillId="9" borderId="6" xfId="8" applyNumberFormat="1" applyFont="1" applyBorder="1" applyAlignment="1">
      <alignment wrapText="1"/>
    </xf>
    <xf numFmtId="164" fontId="26" fillId="9" borderId="6" xfId="8" applyNumberFormat="1" applyFont="1" applyBorder="1" applyAlignment="1">
      <alignment wrapText="1"/>
    </xf>
    <xf numFmtId="1" fontId="26" fillId="9" borderId="2" xfId="8" applyNumberFormat="1" applyFont="1" applyAlignment="1">
      <alignment wrapText="1"/>
    </xf>
    <xf numFmtId="0" fontId="11" fillId="20" borderId="0" xfId="6" applyFont="1" applyFill="1" applyAlignment="1">
      <alignment horizontal="center" vertical="center" wrapText="1"/>
    </xf>
    <xf numFmtId="0" fontId="15" fillId="2" borderId="2" xfId="2"/>
    <xf numFmtId="0" fontId="9" fillId="9" borderId="2" xfId="8"/>
    <xf numFmtId="0" fontId="15" fillId="22" borderId="2" xfId="2" applyFill="1"/>
    <xf numFmtId="9" fontId="26" fillId="9" borderId="5" xfId="7" applyFont="1" applyFill="1" applyBorder="1" applyAlignment="1">
      <alignment wrapText="1"/>
    </xf>
    <xf numFmtId="9" fontId="26" fillId="9" borderId="2" xfId="7" applyFont="1" applyFill="1" applyBorder="1" applyAlignment="1">
      <alignment wrapText="1"/>
    </xf>
    <xf numFmtId="9" fontId="26" fillId="9" borderId="6" xfId="7" applyFont="1" applyFill="1" applyBorder="1" applyAlignment="1">
      <alignment wrapText="1"/>
    </xf>
    <xf numFmtId="1" fontId="26" fillId="9" borderId="5" xfId="8" applyNumberFormat="1" applyFont="1" applyBorder="1" applyAlignment="1">
      <alignment wrapText="1"/>
    </xf>
    <xf numFmtId="16" fontId="16" fillId="0" borderId="0" xfId="0" applyNumberFormat="1" applyFont="1"/>
    <xf numFmtId="0" fontId="16" fillId="0" borderId="0" xfId="0" applyFont="1"/>
    <xf numFmtId="0" fontId="15" fillId="22" borderId="12" xfId="2" applyFill="1" applyBorder="1"/>
    <xf numFmtId="0" fontId="0" fillId="0" borderId="0" xfId="0" quotePrefix="1"/>
    <xf numFmtId="0" fontId="0" fillId="8" borderId="0" xfId="0" applyFill="1"/>
    <xf numFmtId="0" fontId="12" fillId="0" borderId="0" xfId="0" applyFont="1" applyAlignment="1">
      <alignment horizontal="right" vertical="top"/>
    </xf>
    <xf numFmtId="0" fontId="5" fillId="6" borderId="0" xfId="6" applyFont="1" applyAlignment="1">
      <alignment vertical="center" wrapText="1"/>
    </xf>
    <xf numFmtId="0" fontId="4" fillId="4" borderId="0" xfId="4" applyAlignment="1">
      <alignment vertical="top" wrapText="1"/>
    </xf>
    <xf numFmtId="0" fontId="4" fillId="15" borderId="0" xfId="5" applyFill="1" applyAlignment="1">
      <alignment vertical="top" wrapText="1"/>
    </xf>
    <xf numFmtId="0" fontId="0" fillId="0" borderId="0" xfId="0" applyAlignment="1">
      <alignment horizontal="left" vertical="center" wrapText="1"/>
    </xf>
    <xf numFmtId="0" fontId="11" fillId="6" borderId="0" xfId="6" applyFont="1" applyAlignment="1">
      <alignment horizontal="left" vertical="center" wrapText="1"/>
    </xf>
    <xf numFmtId="0" fontId="14" fillId="6" borderId="0" xfId="6" applyFont="1" applyAlignment="1">
      <alignment horizontal="left" vertical="center" wrapText="1"/>
    </xf>
    <xf numFmtId="0" fontId="0" fillId="0" borderId="0" xfId="0" applyAlignment="1">
      <alignment horizontal="left" vertical="center"/>
    </xf>
    <xf numFmtId="0" fontId="28" fillId="0" borderId="0" xfId="0" applyFont="1" applyAlignment="1">
      <alignment horizontal="left" vertical="center" wrapText="1"/>
    </xf>
    <xf numFmtId="0" fontId="12" fillId="0" borderId="10" xfId="0" applyFont="1" applyBorder="1" applyAlignment="1">
      <alignment horizontal="left" vertical="center" wrapText="1"/>
    </xf>
    <xf numFmtId="0" fontId="17" fillId="0" borderId="0" xfId="0" applyFont="1" applyAlignment="1">
      <alignment horizontal="left" vertical="center" wrapText="1"/>
    </xf>
    <xf numFmtId="14" fontId="27" fillId="25" borderId="2" xfId="2" applyNumberFormat="1" applyFont="1" applyFill="1" applyAlignment="1" applyProtection="1">
      <alignment horizontal="left" vertical="center" wrapText="1"/>
      <protection locked="0"/>
    </xf>
    <xf numFmtId="14" fontId="27" fillId="2" borderId="2" xfId="2" applyNumberFormat="1" applyFont="1" applyAlignment="1" applyProtection="1">
      <alignment horizontal="left" vertical="center" wrapText="1"/>
      <protection locked="0"/>
    </xf>
    <xf numFmtId="0" fontId="16" fillId="13" borderId="0" xfId="0" applyFont="1" applyFill="1" applyAlignment="1">
      <alignment horizontal="left" vertical="center" wrapText="1"/>
    </xf>
    <xf numFmtId="165" fontId="15" fillId="2" borderId="2" xfId="2" applyNumberFormat="1" applyAlignment="1" applyProtection="1">
      <alignment horizontal="left" vertical="center" wrapText="1"/>
      <protection locked="0"/>
    </xf>
    <xf numFmtId="165" fontId="26" fillId="9" borderId="13" xfId="8" applyNumberFormat="1" applyFont="1" applyBorder="1" applyAlignment="1">
      <alignment horizontal="left" vertical="center" wrapText="1"/>
    </xf>
    <xf numFmtId="165" fontId="26" fillId="9" borderId="14" xfId="8" applyNumberFormat="1" applyFont="1" applyBorder="1" applyAlignment="1">
      <alignment horizontal="left" vertical="center" wrapText="1"/>
    </xf>
    <xf numFmtId="0" fontId="14" fillId="10" borderId="0" xfId="9" applyFont="1" applyAlignment="1">
      <alignment horizontal="left" vertical="center" wrapText="1"/>
    </xf>
    <xf numFmtId="0" fontId="16" fillId="0" borderId="0" xfId="0" applyFont="1" applyAlignment="1">
      <alignment horizontal="left" vertical="center"/>
    </xf>
    <xf numFmtId="0" fontId="22" fillId="0" borderId="0" xfId="0" applyFont="1" applyAlignment="1">
      <alignment horizontal="left" vertical="center" wrapText="1"/>
    </xf>
    <xf numFmtId="165" fontId="26" fillId="9" borderId="2" xfId="8" applyNumberFormat="1" applyFont="1" applyAlignment="1">
      <alignment horizontal="left" vertical="center" wrapText="1"/>
    </xf>
    <xf numFmtId="0" fontId="14" fillId="0" borderId="0" xfId="6" applyFont="1" applyFill="1" applyAlignment="1">
      <alignment horizontal="left" vertical="center" wrapText="1"/>
    </xf>
    <xf numFmtId="0" fontId="12"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right" vertical="center" wrapText="1"/>
    </xf>
    <xf numFmtId="0" fontId="31" fillId="9" borderId="5" xfId="8" applyFont="1" applyBorder="1" applyAlignment="1">
      <alignment horizontal="right" vertical="center" wrapText="1"/>
    </xf>
    <xf numFmtId="164" fontId="26" fillId="9" borderId="5" xfId="8" applyNumberFormat="1" applyFont="1" applyBorder="1" applyAlignment="1">
      <alignment horizontal="right" vertical="center" wrapText="1"/>
    </xf>
    <xf numFmtId="164" fontId="26" fillId="9" borderId="17" xfId="8" applyNumberFormat="1" applyFont="1" applyBorder="1" applyAlignment="1">
      <alignment horizontal="right" vertical="center" wrapText="1"/>
    </xf>
    <xf numFmtId="9" fontId="26" fillId="9" borderId="2" xfId="8" applyNumberFormat="1" applyFont="1" applyAlignment="1">
      <alignment horizontal="right" vertical="center" wrapText="1"/>
    </xf>
    <xf numFmtId="0" fontId="31" fillId="9" borderId="2" xfId="8" applyFont="1" applyAlignment="1">
      <alignment horizontal="right" vertical="center" wrapText="1"/>
    </xf>
    <xf numFmtId="164" fontId="26" fillId="9" borderId="2" xfId="8" applyNumberFormat="1" applyFont="1" applyAlignment="1">
      <alignment horizontal="right" vertical="center" wrapText="1"/>
    </xf>
    <xf numFmtId="164" fontId="26" fillId="9" borderId="18" xfId="8" applyNumberFormat="1" applyFont="1" applyBorder="1" applyAlignment="1">
      <alignment horizontal="right" vertical="center" wrapText="1"/>
    </xf>
    <xf numFmtId="9" fontId="26" fillId="9" borderId="6" xfId="8" applyNumberFormat="1" applyFont="1" applyBorder="1" applyAlignment="1">
      <alignment horizontal="right" vertical="center" wrapText="1"/>
    </xf>
    <xf numFmtId="0" fontId="31" fillId="9" borderId="6" xfId="8" applyFont="1" applyBorder="1" applyAlignment="1">
      <alignment horizontal="right" vertical="center" wrapText="1"/>
    </xf>
    <xf numFmtId="164" fontId="26" fillId="9" borderId="6" xfId="8" applyNumberFormat="1" applyFont="1" applyBorder="1" applyAlignment="1">
      <alignment horizontal="right" vertical="center" wrapText="1"/>
    </xf>
    <xf numFmtId="164" fontId="26" fillId="9" borderId="19" xfId="8" applyNumberFormat="1" applyFont="1" applyBorder="1" applyAlignment="1">
      <alignment horizontal="right" vertical="center" wrapText="1"/>
    </xf>
    <xf numFmtId="0" fontId="26" fillId="9" borderId="2" xfId="8" applyFont="1" applyAlignment="1">
      <alignment horizontal="right" vertical="center" wrapText="1"/>
    </xf>
    <xf numFmtId="1" fontId="9" fillId="9" borderId="2" xfId="8" applyNumberFormat="1" applyAlignment="1">
      <alignment horizontal="right" vertical="center" wrapText="1"/>
    </xf>
    <xf numFmtId="165" fontId="9" fillId="9" borderId="2" xfId="8" applyNumberFormat="1" applyAlignment="1">
      <alignment horizontal="right" vertical="center" wrapText="1"/>
    </xf>
    <xf numFmtId="165" fontId="9" fillId="9" borderId="2" xfId="8" applyNumberFormat="1" applyAlignment="1">
      <alignment horizontal="left" vertical="center" wrapText="1"/>
    </xf>
    <xf numFmtId="164" fontId="9" fillId="9" borderId="2" xfId="8" applyNumberFormat="1" applyAlignment="1">
      <alignment horizontal="right" vertical="center" wrapText="1"/>
    </xf>
    <xf numFmtId="49" fontId="15" fillId="2" borderId="2" xfId="2" applyNumberFormat="1" applyAlignment="1" applyProtection="1">
      <alignment horizontal="left" vertical="center" wrapText="1"/>
      <protection locked="0"/>
    </xf>
    <xf numFmtId="0" fontId="16" fillId="0" borderId="0" xfId="0" applyFont="1" applyAlignment="1">
      <alignment horizontal="left" vertical="top" wrapText="1"/>
    </xf>
    <xf numFmtId="166" fontId="9" fillId="9" borderId="2" xfId="8" applyNumberFormat="1"/>
    <xf numFmtId="164" fontId="26" fillId="16" borderId="58" xfId="8" applyNumberFormat="1" applyFont="1" applyFill="1" applyBorder="1" applyAlignment="1">
      <alignment horizontal="right" vertical="center" wrapText="1"/>
    </xf>
    <xf numFmtId="164" fontId="26" fillId="9" borderId="58" xfId="8" applyNumberFormat="1" applyFont="1" applyBorder="1" applyAlignment="1">
      <alignment horizontal="right" vertical="center" wrapText="1"/>
    </xf>
    <xf numFmtId="164" fontId="26" fillId="16" borderId="66" xfId="8" applyNumberFormat="1" applyFont="1" applyFill="1" applyBorder="1" applyAlignment="1">
      <alignment horizontal="right" vertical="center" wrapText="1"/>
    </xf>
    <xf numFmtId="164" fontId="26" fillId="16" borderId="67" xfId="8" applyNumberFormat="1" applyFont="1" applyFill="1" applyBorder="1" applyAlignment="1">
      <alignment horizontal="right" vertical="center" wrapText="1"/>
    </xf>
    <xf numFmtId="164" fontId="26" fillId="16" borderId="63" xfId="8" applyNumberFormat="1" applyFont="1" applyFill="1" applyBorder="1" applyAlignment="1">
      <alignment horizontal="right" vertical="center" wrapText="1"/>
    </xf>
    <xf numFmtId="164" fontId="26" fillId="16" borderId="69" xfId="8" applyNumberFormat="1" applyFont="1" applyFill="1" applyBorder="1" applyAlignment="1">
      <alignment horizontal="right" vertical="center" wrapText="1"/>
    </xf>
    <xf numFmtId="164" fontId="26" fillId="16" borderId="70" xfId="8" applyNumberFormat="1" applyFont="1" applyFill="1" applyBorder="1" applyAlignment="1">
      <alignment horizontal="right" vertical="center" wrapText="1"/>
    </xf>
    <xf numFmtId="164" fontId="26" fillId="9" borderId="66" xfId="8" applyNumberFormat="1" applyFont="1" applyBorder="1" applyAlignment="1">
      <alignment horizontal="right" vertical="center" wrapText="1"/>
    </xf>
    <xf numFmtId="164" fontId="26" fillId="9" borderId="67" xfId="8" applyNumberFormat="1" applyFont="1" applyBorder="1" applyAlignment="1">
      <alignment horizontal="right" vertical="center" wrapText="1"/>
    </xf>
    <xf numFmtId="164" fontId="26" fillId="9" borderId="63" xfId="8" applyNumberFormat="1" applyFont="1" applyBorder="1" applyAlignment="1">
      <alignment horizontal="right" vertical="center" wrapText="1"/>
    </xf>
    <xf numFmtId="164" fontId="26" fillId="9" borderId="69" xfId="8" applyNumberFormat="1" applyFont="1" applyBorder="1" applyAlignment="1">
      <alignment horizontal="right" vertical="center" wrapText="1"/>
    </xf>
    <xf numFmtId="164" fontId="26" fillId="9" borderId="70" xfId="8" applyNumberFormat="1" applyFont="1" applyBorder="1" applyAlignment="1">
      <alignment horizontal="right" vertical="center" wrapText="1"/>
    </xf>
    <xf numFmtId="165" fontId="14" fillId="18" borderId="0" xfId="2" applyNumberFormat="1" applyFont="1" applyFill="1" applyBorder="1" applyAlignment="1">
      <alignment horizontal="center" wrapText="1"/>
    </xf>
    <xf numFmtId="165" fontId="14" fillId="8" borderId="0" xfId="2" applyNumberFormat="1" applyFont="1" applyFill="1" applyBorder="1" applyAlignment="1">
      <alignment horizontal="center" wrapText="1"/>
    </xf>
    <xf numFmtId="165" fontId="26" fillId="9" borderId="2" xfId="8" applyNumberFormat="1" applyFont="1" applyAlignment="1">
      <alignment wrapText="1"/>
    </xf>
    <xf numFmtId="165" fontId="33" fillId="9" borderId="2" xfId="8" applyNumberFormat="1" applyFont="1" applyAlignment="1">
      <alignment wrapText="1"/>
    </xf>
    <xf numFmtId="165" fontId="33" fillId="9" borderId="2" xfId="8" applyNumberFormat="1" applyFont="1" applyAlignment="1">
      <alignment horizontal="left" vertical="center" wrapText="1"/>
    </xf>
    <xf numFmtId="1" fontId="26" fillId="16" borderId="69" xfId="8" applyNumberFormat="1" applyFont="1" applyFill="1" applyBorder="1" applyAlignment="1">
      <alignment horizontal="right" vertical="center" wrapText="1"/>
    </xf>
    <xf numFmtId="9" fontId="26" fillId="9" borderId="66" xfId="7" applyFont="1" applyFill="1" applyBorder="1" applyAlignment="1">
      <alignment horizontal="right" vertical="center" wrapText="1"/>
    </xf>
    <xf numFmtId="167" fontId="26" fillId="9" borderId="58" xfId="8" applyNumberFormat="1" applyFont="1" applyBorder="1" applyAlignment="1">
      <alignment horizontal="right" vertical="center" wrapText="1"/>
    </xf>
    <xf numFmtId="9" fontId="26" fillId="9" borderId="69" xfId="8" applyNumberFormat="1" applyFont="1" applyBorder="1" applyAlignment="1">
      <alignment horizontal="right" vertical="center" wrapText="1"/>
    </xf>
    <xf numFmtId="9" fontId="26" fillId="16" borderId="69" xfId="7" applyFont="1" applyFill="1" applyBorder="1" applyAlignment="1">
      <alignment horizontal="right" vertical="center" wrapText="1"/>
    </xf>
    <xf numFmtId="2" fontId="26" fillId="16" borderId="66" xfId="8" applyNumberFormat="1" applyFont="1" applyFill="1" applyBorder="1" applyAlignment="1">
      <alignment horizontal="right" vertical="center" wrapText="1"/>
    </xf>
    <xf numFmtId="1" fontId="26" fillId="16" borderId="58" xfId="8" applyNumberFormat="1" applyFont="1" applyFill="1" applyBorder="1" applyAlignment="1">
      <alignment horizontal="right" vertical="center" wrapText="1"/>
    </xf>
    <xf numFmtId="0" fontId="15" fillId="2" borderId="2" xfId="2" applyAlignment="1" applyProtection="1">
      <alignment horizontal="left" vertical="center"/>
      <protection locked="0"/>
    </xf>
    <xf numFmtId="17" fontId="9" fillId="9" borderId="2" xfId="8" applyNumberFormat="1"/>
    <xf numFmtId="9" fontId="9" fillId="9" borderId="2" xfId="7" applyFont="1" applyFill="1" applyBorder="1"/>
    <xf numFmtId="164" fontId="9" fillId="9" borderId="40" xfId="7" applyNumberFormat="1" applyFont="1" applyFill="1" applyBorder="1"/>
    <xf numFmtId="0" fontId="3" fillId="35" borderId="73" xfId="0" applyFont="1" applyFill="1" applyBorder="1" applyAlignment="1">
      <alignment horizontal="left" vertical="center" wrapText="1"/>
    </xf>
    <xf numFmtId="0" fontId="3" fillId="35" borderId="74" xfId="0" applyFont="1" applyFill="1" applyBorder="1" applyAlignment="1">
      <alignment horizontal="left" vertical="center" wrapText="1"/>
    </xf>
    <xf numFmtId="0" fontId="0" fillId="36" borderId="73" xfId="0" applyFill="1" applyBorder="1" applyAlignment="1">
      <alignment horizontal="left" vertical="center" wrapText="1"/>
    </xf>
    <xf numFmtId="166" fontId="0" fillId="36" borderId="74" xfId="0" applyNumberFormat="1" applyFill="1" applyBorder="1" applyAlignment="1">
      <alignment horizontal="left" vertical="center" wrapText="1"/>
    </xf>
    <xf numFmtId="0" fontId="0" fillId="0" borderId="73" xfId="0" applyBorder="1" applyAlignment="1">
      <alignment horizontal="left" vertical="center" wrapText="1"/>
    </xf>
    <xf numFmtId="166" fontId="0" fillId="0" borderId="74" xfId="0" applyNumberFormat="1" applyBorder="1" applyAlignment="1">
      <alignment horizontal="left" vertical="center" wrapText="1"/>
    </xf>
    <xf numFmtId="0" fontId="0" fillId="0" borderId="71" xfId="0" applyBorder="1" applyAlignment="1">
      <alignment horizontal="left" vertical="center" wrapText="1"/>
    </xf>
    <xf numFmtId="166" fontId="0" fillId="0" borderId="72" xfId="0" applyNumberFormat="1" applyBorder="1" applyAlignment="1">
      <alignment horizontal="left" vertical="center" wrapText="1"/>
    </xf>
    <xf numFmtId="164" fontId="26" fillId="16" borderId="77" xfId="8" applyNumberFormat="1" applyFont="1" applyFill="1" applyBorder="1" applyAlignment="1">
      <alignment horizontal="right" vertical="center" wrapText="1"/>
    </xf>
    <xf numFmtId="9" fontId="26" fillId="16" borderId="59" xfId="8" applyNumberFormat="1" applyFont="1" applyFill="1" applyBorder="1" applyAlignment="1">
      <alignment horizontal="right" vertical="center" wrapText="1"/>
    </xf>
    <xf numFmtId="1" fontId="26" fillId="16" borderId="78" xfId="8" applyNumberFormat="1" applyFont="1" applyFill="1" applyBorder="1" applyAlignment="1">
      <alignment horizontal="right" vertical="center" wrapText="1"/>
    </xf>
    <xf numFmtId="9" fontId="26" fillId="9" borderId="77" xfId="7" applyFont="1" applyFill="1" applyBorder="1" applyAlignment="1">
      <alignment horizontal="right" vertical="center" wrapText="1"/>
    </xf>
    <xf numFmtId="167" fontId="26" fillId="9" borderId="59" xfId="8" applyNumberFormat="1" applyFont="1" applyBorder="1" applyAlignment="1">
      <alignment horizontal="right" vertical="center" wrapText="1"/>
    </xf>
    <xf numFmtId="9" fontId="26" fillId="9" borderId="78" xfId="8" applyNumberFormat="1" applyFont="1" applyBorder="1" applyAlignment="1">
      <alignment horizontal="right" vertical="center" wrapText="1"/>
    </xf>
    <xf numFmtId="164" fontId="26" fillId="16" borderId="59" xfId="8" applyNumberFormat="1" applyFont="1" applyFill="1" applyBorder="1" applyAlignment="1">
      <alignment horizontal="right" vertical="center" wrapText="1"/>
    </xf>
    <xf numFmtId="9" fontId="26" fillId="16" borderId="78" xfId="7" applyFont="1" applyFill="1" applyBorder="1" applyAlignment="1">
      <alignment horizontal="right" vertical="center" wrapText="1"/>
    </xf>
    <xf numFmtId="2" fontId="26" fillId="16" borderId="77" xfId="8" applyNumberFormat="1" applyFont="1" applyFill="1" applyBorder="1" applyAlignment="1">
      <alignment horizontal="right" vertical="center" wrapText="1"/>
    </xf>
    <xf numFmtId="1" fontId="26" fillId="16" borderId="59" xfId="8" applyNumberFormat="1" applyFont="1" applyFill="1" applyBorder="1" applyAlignment="1">
      <alignment horizontal="right" vertical="center" wrapText="1"/>
    </xf>
    <xf numFmtId="0" fontId="16" fillId="14" borderId="79" xfId="0" applyFont="1" applyFill="1" applyBorder="1" applyAlignment="1">
      <alignment horizontal="left" vertical="center" wrapText="1"/>
    </xf>
    <xf numFmtId="0" fontId="16" fillId="0" borderId="80" xfId="0" applyFont="1" applyBorder="1" applyAlignment="1">
      <alignment horizontal="left" vertical="center" wrapText="1"/>
    </xf>
    <xf numFmtId="0" fontId="16" fillId="14" borderId="81" xfId="0" applyFont="1" applyFill="1" applyBorder="1" applyAlignment="1">
      <alignment horizontal="left" vertical="center" wrapText="1"/>
    </xf>
    <xf numFmtId="0" fontId="16" fillId="0" borderId="79" xfId="0" applyFont="1" applyBorder="1" applyAlignment="1">
      <alignment horizontal="left" vertical="center" wrapText="1"/>
    </xf>
    <xf numFmtId="0" fontId="16" fillId="14" borderId="80" xfId="0" applyFont="1" applyFill="1" applyBorder="1" applyAlignment="1">
      <alignment horizontal="left" vertical="center" wrapText="1"/>
    </xf>
    <xf numFmtId="0" fontId="16" fillId="0" borderId="81" xfId="0" applyFont="1" applyBorder="1" applyAlignment="1">
      <alignment horizontal="left" vertical="center" wrapText="1"/>
    </xf>
    <xf numFmtId="9" fontId="26" fillId="15" borderId="2" xfId="8" applyNumberFormat="1" applyFont="1" applyFill="1" applyAlignment="1">
      <alignment horizontal="right" vertical="center" wrapText="1"/>
    </xf>
    <xf numFmtId="0" fontId="14" fillId="20" borderId="0" xfId="6" applyFont="1" applyFill="1" applyAlignment="1">
      <alignment horizontal="center" vertical="center" wrapText="1"/>
    </xf>
    <xf numFmtId="0" fontId="9" fillId="9" borderId="2" xfId="8" applyAlignment="1">
      <alignment horizontal="right" vertical="center"/>
    </xf>
    <xf numFmtId="166" fontId="16" fillId="0" borderId="0" xfId="12" applyNumberFormat="1" applyFont="1" applyAlignment="1">
      <alignment horizontal="left" vertical="center"/>
    </xf>
    <xf numFmtId="0" fontId="16" fillId="0" borderId="0" xfId="0" applyFont="1" applyAlignment="1">
      <alignment horizontal="center" vertical="center"/>
    </xf>
    <xf numFmtId="0" fontId="0" fillId="0" borderId="0" xfId="0" applyAlignment="1">
      <alignment horizontal="center" vertical="center"/>
    </xf>
    <xf numFmtId="0" fontId="15" fillId="2" borderId="2" xfId="2" applyAlignment="1" applyProtection="1">
      <alignment horizontal="right" vertical="center"/>
      <protection locked="0"/>
    </xf>
    <xf numFmtId="9" fontId="15" fillId="2" borderId="2" xfId="2" applyNumberFormat="1" applyAlignment="1" applyProtection="1">
      <alignment horizontal="right" vertical="center"/>
      <protection locked="0"/>
    </xf>
    <xf numFmtId="9" fontId="0" fillId="36" borderId="74" xfId="7" applyFont="1" applyFill="1" applyBorder="1" applyAlignment="1">
      <alignment horizontal="right" vertical="center" wrapText="1"/>
    </xf>
    <xf numFmtId="9" fontId="0" fillId="0" borderId="83" xfId="7" applyFont="1" applyBorder="1" applyAlignment="1">
      <alignment horizontal="right" vertical="center" wrapText="1"/>
    </xf>
    <xf numFmtId="9" fontId="0" fillId="36" borderId="83" xfId="7" applyFont="1" applyFill="1" applyBorder="1" applyAlignment="1">
      <alignment horizontal="right" vertical="center" wrapText="1"/>
    </xf>
    <xf numFmtId="9" fontId="0" fillId="0" borderId="82" xfId="7" applyFont="1" applyBorder="1" applyAlignment="1">
      <alignment horizontal="right" vertical="center" wrapText="1"/>
    </xf>
    <xf numFmtId="1" fontId="9" fillId="9" borderId="2" xfId="8" applyNumberFormat="1" applyAlignment="1">
      <alignment horizontal="right" vertical="top" wrapText="1"/>
    </xf>
    <xf numFmtId="9" fontId="9" fillId="9" borderId="2" xfId="8" applyNumberFormat="1" applyAlignment="1">
      <alignment horizontal="right" vertical="top" wrapText="1"/>
    </xf>
    <xf numFmtId="0" fontId="14" fillId="19" borderId="0" xfId="0" applyFont="1" applyFill="1" applyAlignment="1">
      <alignment horizontal="left" vertical="center"/>
    </xf>
    <xf numFmtId="0" fontId="35" fillId="12" borderId="11" xfId="0" applyFont="1" applyFill="1" applyBorder="1" applyAlignment="1">
      <alignment horizontal="left" vertical="center" wrapText="1"/>
    </xf>
    <xf numFmtId="41" fontId="15" fillId="2" borderId="2" xfId="2" applyNumberFormat="1" applyAlignment="1" applyProtection="1">
      <alignment wrapText="1"/>
      <protection locked="0"/>
    </xf>
    <xf numFmtId="41" fontId="15" fillId="2" borderId="2" xfId="2" applyNumberFormat="1" applyAlignment="1" applyProtection="1">
      <alignment horizontal="left" vertical="center" wrapText="1"/>
      <protection locked="0"/>
    </xf>
    <xf numFmtId="41" fontId="26" fillId="9" borderId="14" xfId="8" applyNumberFormat="1" applyFont="1" applyBorder="1" applyAlignment="1">
      <alignment horizontal="left" vertical="center" wrapText="1"/>
    </xf>
    <xf numFmtId="41" fontId="26" fillId="9" borderId="2" xfId="8" applyNumberFormat="1" applyFont="1" applyAlignment="1">
      <alignment horizontal="left" vertical="center" wrapText="1"/>
    </xf>
    <xf numFmtId="41" fontId="26" fillId="9" borderId="13" xfId="8" applyNumberFormat="1" applyFont="1" applyBorder="1" applyAlignment="1">
      <alignment horizontal="left" vertical="center" wrapText="1"/>
    </xf>
    <xf numFmtId="41" fontId="27" fillId="2" borderId="2" xfId="2" applyNumberFormat="1" applyFont="1" applyAlignment="1" applyProtection="1">
      <alignment wrapText="1"/>
      <protection locked="0"/>
    </xf>
    <xf numFmtId="0" fontId="21" fillId="13" borderId="0" xfId="0" applyFont="1" applyFill="1" applyAlignment="1">
      <alignment horizontal="left" vertical="center" wrapText="1"/>
    </xf>
    <xf numFmtId="0" fontId="12" fillId="0" borderId="10" xfId="0" applyFont="1" applyBorder="1" applyAlignment="1" applyProtection="1">
      <alignment horizontal="left" vertical="center" wrapText="1"/>
      <protection locked="0"/>
    </xf>
    <xf numFmtId="0" fontId="9" fillId="9" borderId="12" xfId="8" applyBorder="1"/>
    <xf numFmtId="0" fontId="14" fillId="20" borderId="0" xfId="0" applyFont="1" applyFill="1"/>
    <xf numFmtId="43" fontId="9" fillId="9" borderId="2" xfId="12" applyFont="1" applyFill="1" applyBorder="1"/>
    <xf numFmtId="0" fontId="7" fillId="8" borderId="0" xfId="0" applyFont="1" applyFill="1" applyAlignment="1">
      <alignment vertical="center"/>
    </xf>
    <xf numFmtId="0" fontId="16" fillId="0" borderId="38" xfId="0" applyFont="1" applyBorder="1"/>
    <xf numFmtId="0" fontId="16" fillId="0" borderId="3" xfId="0" applyFont="1" applyBorder="1"/>
    <xf numFmtId="0" fontId="16" fillId="0" borderId="4" xfId="0" applyFont="1" applyBorder="1"/>
    <xf numFmtId="0" fontId="16" fillId="0" borderId="37" xfId="0" applyFont="1" applyBorder="1"/>
    <xf numFmtId="0" fontId="16" fillId="0" borderId="36" xfId="0" applyFont="1" applyBorder="1"/>
    <xf numFmtId="1" fontId="15" fillId="16" borderId="33" xfId="2" applyNumberFormat="1" applyFill="1" applyBorder="1"/>
    <xf numFmtId="164" fontId="15" fillId="23" borderId="23" xfId="2" applyNumberFormat="1" applyFill="1" applyBorder="1" applyAlignment="1">
      <alignment horizontal="right"/>
    </xf>
    <xf numFmtId="164" fontId="15" fillId="23" borderId="39" xfId="2" quotePrefix="1" applyNumberFormat="1" applyFill="1" applyBorder="1" applyAlignment="1">
      <alignment horizontal="right"/>
    </xf>
    <xf numFmtId="164" fontId="15" fillId="2" borderId="23" xfId="2" applyNumberFormat="1" applyBorder="1" applyAlignment="1">
      <alignment horizontal="right"/>
    </xf>
    <xf numFmtId="164" fontId="15" fillId="2" borderId="17" xfId="2" quotePrefix="1" applyNumberFormat="1" applyBorder="1" applyAlignment="1">
      <alignment horizontal="right"/>
    </xf>
    <xf numFmtId="1" fontId="15" fillId="16" borderId="34" xfId="2" applyNumberFormat="1" applyFill="1" applyBorder="1"/>
    <xf numFmtId="164" fontId="15" fillId="23" borderId="24" xfId="2" applyNumberFormat="1" applyFill="1" applyBorder="1"/>
    <xf numFmtId="164" fontId="15" fillId="23" borderId="40" xfId="2" applyNumberFormat="1" applyFill="1" applyBorder="1"/>
    <xf numFmtId="164" fontId="15" fillId="2" borderId="24" xfId="2" applyNumberFormat="1" applyBorder="1"/>
    <xf numFmtId="164" fontId="15" fillId="2" borderId="18" xfId="2" applyNumberFormat="1" applyBorder="1"/>
    <xf numFmtId="1" fontId="15" fillId="16" borderId="35" xfId="2" applyNumberFormat="1" applyFill="1" applyBorder="1"/>
    <xf numFmtId="164" fontId="15" fillId="23" borderId="25" xfId="2" applyNumberFormat="1" applyFill="1" applyBorder="1" applyAlignment="1">
      <alignment horizontal="right"/>
    </xf>
    <xf numFmtId="164" fontId="15" fillId="23" borderId="41" xfId="2" applyNumberFormat="1" applyFill="1" applyBorder="1"/>
    <xf numFmtId="164" fontId="15" fillId="2" borderId="25" xfId="2" applyNumberFormat="1" applyBorder="1" applyAlignment="1">
      <alignment horizontal="right"/>
    </xf>
    <xf numFmtId="164" fontId="15" fillId="2" borderId="19" xfId="2" applyNumberFormat="1" applyBorder="1"/>
    <xf numFmtId="0" fontId="15" fillId="16" borderId="33" xfId="2" applyFill="1" applyBorder="1"/>
    <xf numFmtId="9" fontId="15" fillId="23" borderId="23" xfId="2" applyNumberFormat="1" applyFill="1" applyBorder="1"/>
    <xf numFmtId="164" fontId="15" fillId="23" borderId="5" xfId="2" quotePrefix="1" applyNumberFormat="1" applyFill="1" applyBorder="1" applyAlignment="1">
      <alignment horizontal="right"/>
    </xf>
    <xf numFmtId="9" fontId="15" fillId="26" borderId="23" xfId="2" applyNumberFormat="1" applyFill="1" applyBorder="1"/>
    <xf numFmtId="164" fontId="15" fillId="26" borderId="17" xfId="2" quotePrefix="1" applyNumberFormat="1" applyFill="1" applyBorder="1" applyAlignment="1">
      <alignment horizontal="right"/>
    </xf>
    <xf numFmtId="0" fontId="15" fillId="16" borderId="34" xfId="2" applyFill="1" applyBorder="1"/>
    <xf numFmtId="9" fontId="15" fillId="23" borderId="24" xfId="2" applyNumberFormat="1" applyFill="1" applyBorder="1"/>
    <xf numFmtId="9" fontId="15" fillId="23" borderId="2" xfId="2" applyNumberFormat="1" applyFill="1"/>
    <xf numFmtId="9" fontId="15" fillId="26" borderId="24" xfId="2" applyNumberFormat="1" applyFill="1" applyBorder="1"/>
    <xf numFmtId="9" fontId="15" fillId="26" borderId="18" xfId="2" applyNumberFormat="1" applyFill="1" applyBorder="1"/>
    <xf numFmtId="0" fontId="15" fillId="16" borderId="35" xfId="2" applyFill="1" applyBorder="1"/>
    <xf numFmtId="9" fontId="15" fillId="23" borderId="6" xfId="2" applyNumberFormat="1" applyFill="1" applyBorder="1"/>
    <xf numFmtId="164" fontId="15" fillId="26" borderId="25" xfId="2" applyNumberFormat="1" applyFill="1" applyBorder="1" applyAlignment="1">
      <alignment horizontal="right"/>
    </xf>
    <xf numFmtId="9" fontId="15" fillId="26" borderId="19" xfId="2" applyNumberFormat="1" applyFill="1" applyBorder="1"/>
    <xf numFmtId="0" fontId="15" fillId="23" borderId="23" xfId="2" applyFill="1" applyBorder="1"/>
    <xf numFmtId="0" fontId="15" fillId="24" borderId="23" xfId="2" applyFill="1" applyBorder="1"/>
    <xf numFmtId="164" fontId="15" fillId="24" borderId="5" xfId="2" quotePrefix="1" applyNumberFormat="1" applyFill="1" applyBorder="1" applyAlignment="1">
      <alignment horizontal="right"/>
    </xf>
    <xf numFmtId="0" fontId="15" fillId="22" borderId="23" xfId="2" applyFill="1" applyBorder="1"/>
    <xf numFmtId="164" fontId="15" fillId="22" borderId="5" xfId="2" quotePrefix="1" applyNumberFormat="1" applyFill="1" applyBorder="1" applyAlignment="1">
      <alignment horizontal="right"/>
    </xf>
    <xf numFmtId="164" fontId="15" fillId="22" borderId="17" xfId="2" quotePrefix="1" applyNumberFormat="1" applyFill="1" applyBorder="1" applyAlignment="1">
      <alignment horizontal="right"/>
    </xf>
    <xf numFmtId="0" fontId="15" fillId="30" borderId="23" xfId="2" applyFill="1" applyBorder="1"/>
    <xf numFmtId="164" fontId="15" fillId="30" borderId="5" xfId="2" quotePrefix="1" applyNumberFormat="1" applyFill="1" applyBorder="1" applyAlignment="1">
      <alignment horizontal="right"/>
    </xf>
    <xf numFmtId="0" fontId="15" fillId="23" borderId="24" xfId="2" applyFill="1" applyBorder="1"/>
    <xf numFmtId="0" fontId="15" fillId="23" borderId="2" xfId="2" applyFill="1"/>
    <xf numFmtId="0" fontId="15" fillId="24" borderId="24" xfId="2" applyFill="1" applyBorder="1"/>
    <xf numFmtId="0" fontId="15" fillId="24" borderId="2" xfId="2" applyFill="1"/>
    <xf numFmtId="0" fontId="15" fillId="22" borderId="24" xfId="2" applyFill="1" applyBorder="1"/>
    <xf numFmtId="0" fontId="15" fillId="22" borderId="18" xfId="2" applyFill="1" applyBorder="1"/>
    <xf numFmtId="0" fontId="15" fillId="30" borderId="24" xfId="2" applyFill="1" applyBorder="1"/>
    <xf numFmtId="0" fontId="15" fillId="30" borderId="2" xfId="2" applyFill="1"/>
    <xf numFmtId="0" fontId="15" fillId="23" borderId="6" xfId="2" applyFill="1" applyBorder="1"/>
    <xf numFmtId="164" fontId="15" fillId="24" borderId="25" xfId="2" applyNumberFormat="1" applyFill="1" applyBorder="1" applyAlignment="1">
      <alignment horizontal="right"/>
    </xf>
    <xf numFmtId="0" fontId="15" fillId="24" borderId="6" xfId="2" applyFill="1" applyBorder="1"/>
    <xf numFmtId="164" fontId="15" fillId="22" borderId="25" xfId="2" applyNumberFormat="1" applyFill="1" applyBorder="1" applyAlignment="1">
      <alignment horizontal="right"/>
    </xf>
    <xf numFmtId="0" fontId="15" fillId="22" borderId="6" xfId="2" applyFill="1" applyBorder="1"/>
    <xf numFmtId="0" fontId="15" fillId="22" borderId="19" xfId="2" applyFill="1" applyBorder="1"/>
    <xf numFmtId="164" fontId="15" fillId="30" borderId="25" xfId="2" applyNumberFormat="1" applyFill="1" applyBorder="1" applyAlignment="1">
      <alignment horizontal="right"/>
    </xf>
    <xf numFmtId="0" fontId="15" fillId="30" borderId="6" xfId="2" applyFill="1" applyBorder="1"/>
    <xf numFmtId="9" fontId="15" fillId="25" borderId="23" xfId="2" applyNumberFormat="1" applyFill="1" applyBorder="1"/>
    <xf numFmtId="164" fontId="15" fillId="25" borderId="17" xfId="2" quotePrefix="1" applyNumberFormat="1" applyFill="1" applyBorder="1" applyAlignment="1">
      <alignment horizontal="right"/>
    </xf>
    <xf numFmtId="9" fontId="15" fillId="29" borderId="23" xfId="2" applyNumberFormat="1" applyFill="1" applyBorder="1"/>
    <xf numFmtId="164" fontId="15" fillId="29" borderId="17" xfId="2" quotePrefix="1" applyNumberFormat="1" applyFill="1" applyBorder="1" applyAlignment="1">
      <alignment horizontal="right"/>
    </xf>
    <xf numFmtId="9" fontId="15" fillId="23" borderId="40" xfId="2" applyNumberFormat="1" applyFill="1" applyBorder="1"/>
    <xf numFmtId="9" fontId="15" fillId="25" borderId="24" xfId="2" applyNumberFormat="1" applyFill="1" applyBorder="1"/>
    <xf numFmtId="9" fontId="15" fillId="25" borderId="18" xfId="2" applyNumberFormat="1" applyFill="1" applyBorder="1"/>
    <xf numFmtId="9" fontId="15" fillId="29" borderId="24" xfId="2" applyNumberFormat="1" applyFill="1" applyBorder="1"/>
    <xf numFmtId="9" fontId="15" fillId="29" borderId="18" xfId="2" applyNumberFormat="1" applyFill="1" applyBorder="1"/>
    <xf numFmtId="9" fontId="15" fillId="23" borderId="41" xfId="2" applyNumberFormat="1" applyFill="1" applyBorder="1"/>
    <xf numFmtId="164" fontId="15" fillId="25" borderId="25" xfId="2" applyNumberFormat="1" applyFill="1" applyBorder="1" applyAlignment="1">
      <alignment horizontal="right"/>
    </xf>
    <xf numFmtId="9" fontId="15" fillId="25" borderId="19" xfId="2" applyNumberFormat="1" applyFill="1" applyBorder="1"/>
    <xf numFmtId="164" fontId="15" fillId="29" borderId="25" xfId="2" applyNumberFormat="1" applyFill="1" applyBorder="1" applyAlignment="1">
      <alignment horizontal="right"/>
    </xf>
    <xf numFmtId="9" fontId="15" fillId="29" borderId="19" xfId="2" applyNumberFormat="1" applyFill="1" applyBorder="1"/>
    <xf numFmtId="9" fontId="15" fillId="22" borderId="23" xfId="2" applyNumberFormat="1" applyFill="1" applyBorder="1"/>
    <xf numFmtId="9" fontId="15" fillId="24" borderId="23" xfId="2" applyNumberFormat="1" applyFill="1" applyBorder="1"/>
    <xf numFmtId="164" fontId="15" fillId="24" borderId="17" xfId="2" quotePrefix="1" applyNumberFormat="1" applyFill="1" applyBorder="1" applyAlignment="1">
      <alignment horizontal="right"/>
    </xf>
    <xf numFmtId="9" fontId="15" fillId="22" borderId="24" xfId="2" applyNumberFormat="1" applyFill="1" applyBorder="1"/>
    <xf numFmtId="9" fontId="15" fillId="22" borderId="18" xfId="2" applyNumberFormat="1" applyFill="1" applyBorder="1"/>
    <xf numFmtId="9" fontId="15" fillId="24" borderId="24" xfId="2" applyNumberFormat="1" applyFill="1" applyBorder="1"/>
    <xf numFmtId="9" fontId="15" fillId="24" borderId="2" xfId="2" applyNumberFormat="1" applyFill="1"/>
    <xf numFmtId="9" fontId="15" fillId="24" borderId="18" xfId="2" applyNumberFormat="1" applyFill="1" applyBorder="1"/>
    <xf numFmtId="9" fontId="15" fillId="22" borderId="2" xfId="2" applyNumberFormat="1" applyFill="1"/>
    <xf numFmtId="9" fontId="15" fillId="22" borderId="19" xfId="2" applyNumberFormat="1" applyFill="1" applyBorder="1"/>
    <xf numFmtId="9" fontId="15" fillId="24" borderId="6" xfId="2" applyNumberFormat="1" applyFill="1" applyBorder="1"/>
    <xf numFmtId="9" fontId="15" fillId="24" borderId="19" xfId="2" applyNumberFormat="1" applyFill="1" applyBorder="1"/>
    <xf numFmtId="9" fontId="15" fillId="22" borderId="6" xfId="2" applyNumberFormat="1" applyFill="1" applyBorder="1"/>
    <xf numFmtId="9" fontId="15" fillId="21" borderId="23" xfId="2" applyNumberFormat="1" applyFill="1" applyBorder="1"/>
    <xf numFmtId="164" fontId="15" fillId="21" borderId="5" xfId="2" quotePrefix="1" applyNumberFormat="1" applyFill="1" applyBorder="1" applyAlignment="1">
      <alignment horizontal="right"/>
    </xf>
    <xf numFmtId="9" fontId="15" fillId="21" borderId="24" xfId="2" applyNumberFormat="1" applyFill="1" applyBorder="1"/>
    <xf numFmtId="9" fontId="15" fillId="21" borderId="2" xfId="2" applyNumberFormat="1" applyFill="1"/>
    <xf numFmtId="164" fontId="15" fillId="21" borderId="25" xfId="2" applyNumberFormat="1" applyFill="1" applyBorder="1" applyAlignment="1">
      <alignment horizontal="right"/>
    </xf>
    <xf numFmtId="9" fontId="15" fillId="21" borderId="6" xfId="2" applyNumberFormat="1" applyFill="1" applyBorder="1"/>
    <xf numFmtId="164" fontId="15" fillId="23" borderId="23" xfId="2" applyNumberFormat="1" applyFill="1" applyBorder="1"/>
    <xf numFmtId="164" fontId="15" fillId="24" borderId="23" xfId="2" applyNumberFormat="1" applyFill="1" applyBorder="1"/>
    <xf numFmtId="164" fontId="15" fillId="28" borderId="23" xfId="2" applyNumberFormat="1" applyFill="1" applyBorder="1"/>
    <xf numFmtId="164" fontId="15" fillId="28" borderId="5" xfId="2" quotePrefix="1" applyNumberFormat="1" applyFill="1" applyBorder="1" applyAlignment="1">
      <alignment horizontal="right"/>
    </xf>
    <xf numFmtId="164" fontId="15" fillId="28" borderId="17" xfId="2" quotePrefix="1" applyNumberFormat="1" applyFill="1" applyBorder="1" applyAlignment="1">
      <alignment horizontal="right"/>
    </xf>
    <xf numFmtId="164" fontId="15" fillId="22" borderId="23" xfId="2" applyNumberFormat="1" applyFill="1" applyBorder="1"/>
    <xf numFmtId="164" fontId="15" fillId="23" borderId="2" xfId="2" applyNumberFormat="1" applyFill="1"/>
    <xf numFmtId="164" fontId="15" fillId="24" borderId="24" xfId="2" applyNumberFormat="1" applyFill="1" applyBorder="1"/>
    <xf numFmtId="164" fontId="15" fillId="24" borderId="2" xfId="2" applyNumberFormat="1" applyFill="1"/>
    <xf numFmtId="164" fontId="15" fillId="28" borderId="24" xfId="2" applyNumberFormat="1" applyFill="1" applyBorder="1"/>
    <xf numFmtId="164" fontId="15" fillId="28" borderId="2" xfId="2" applyNumberFormat="1" applyFill="1"/>
    <xf numFmtId="164" fontId="15" fillId="28" borderId="18" xfId="2" applyNumberFormat="1" applyFill="1" applyBorder="1"/>
    <xf numFmtId="164" fontId="15" fillId="22" borderId="24" xfId="2" applyNumberFormat="1" applyFill="1" applyBorder="1"/>
    <xf numFmtId="164" fontId="15" fillId="22" borderId="2" xfId="2" applyNumberFormat="1" applyFill="1"/>
    <xf numFmtId="164" fontId="15" fillId="23" borderId="25" xfId="2" applyNumberFormat="1" applyFill="1" applyBorder="1"/>
    <xf numFmtId="164" fontId="15" fillId="23" borderId="6" xfId="2" applyNumberFormat="1" applyFill="1" applyBorder="1"/>
    <xf numFmtId="164" fontId="15" fillId="24" borderId="25" xfId="2" applyNumberFormat="1" applyFill="1" applyBorder="1"/>
    <xf numFmtId="164" fontId="15" fillId="24" borderId="6" xfId="2" applyNumberFormat="1" applyFill="1" applyBorder="1"/>
    <xf numFmtId="164" fontId="15" fillId="28" borderId="25" xfId="2" applyNumberFormat="1" applyFill="1" applyBorder="1"/>
    <xf numFmtId="164" fontId="15" fillId="28" borderId="6" xfId="2" applyNumberFormat="1" applyFill="1" applyBorder="1"/>
    <xf numFmtId="164" fontId="15" fillId="28" borderId="19" xfId="2" applyNumberFormat="1" applyFill="1" applyBorder="1"/>
    <xf numFmtId="164" fontId="15" fillId="22" borderId="25" xfId="2" applyNumberFormat="1" applyFill="1" applyBorder="1"/>
    <xf numFmtId="164" fontId="15" fillId="22" borderId="6" xfId="2" applyNumberFormat="1" applyFill="1" applyBorder="1"/>
    <xf numFmtId="164" fontId="15" fillId="23" borderId="5" xfId="2" applyNumberFormat="1" applyFill="1" applyBorder="1"/>
    <xf numFmtId="164" fontId="15" fillId="21" borderId="23" xfId="2" applyNumberFormat="1" applyFill="1" applyBorder="1"/>
    <xf numFmtId="164" fontId="15" fillId="21" borderId="24" xfId="2" applyNumberFormat="1" applyFill="1" applyBorder="1"/>
    <xf numFmtId="164" fontId="15" fillId="21" borderId="2" xfId="2" applyNumberFormat="1" applyFill="1"/>
    <xf numFmtId="164" fontId="15" fillId="22" borderId="18" xfId="2" applyNumberFormat="1" applyFill="1" applyBorder="1"/>
    <xf numFmtId="164" fontId="15" fillId="21" borderId="25" xfId="2" applyNumberFormat="1" applyFill="1" applyBorder="1"/>
    <xf numFmtId="164" fontId="15" fillId="21" borderId="6" xfId="2" applyNumberFormat="1" applyFill="1" applyBorder="1"/>
    <xf numFmtId="164" fontId="15" fillId="22" borderId="19" xfId="2" applyNumberFormat="1" applyFill="1" applyBorder="1"/>
    <xf numFmtId="0" fontId="15" fillId="25" borderId="23" xfId="2" applyFill="1" applyBorder="1"/>
    <xf numFmtId="164" fontId="15" fillId="25" borderId="5" xfId="2" quotePrefix="1" applyNumberFormat="1" applyFill="1" applyBorder="1" applyAlignment="1">
      <alignment horizontal="right"/>
    </xf>
    <xf numFmtId="0" fontId="15" fillId="25" borderId="24" xfId="2" applyFill="1" applyBorder="1"/>
    <xf numFmtId="0" fontId="15" fillId="25" borderId="2" xfId="2" applyFill="1"/>
    <xf numFmtId="0" fontId="15" fillId="23" borderId="25" xfId="2" applyFill="1" applyBorder="1"/>
    <xf numFmtId="0" fontId="15" fillId="22" borderId="25" xfId="2" applyFill="1" applyBorder="1"/>
    <xf numFmtId="0" fontId="15" fillId="25" borderId="25" xfId="2" applyFill="1" applyBorder="1"/>
    <xf numFmtId="0" fontId="15" fillId="25" borderId="6" xfId="2" applyFill="1" applyBorder="1"/>
    <xf numFmtId="0" fontId="15" fillId="24" borderId="25" xfId="2" applyFill="1" applyBorder="1"/>
    <xf numFmtId="0" fontId="15" fillId="2" borderId="23" xfId="2" applyBorder="1"/>
    <xf numFmtId="164" fontId="15" fillId="2" borderId="5" xfId="2" quotePrefix="1" applyNumberFormat="1" applyBorder="1" applyAlignment="1">
      <alignment horizontal="right"/>
    </xf>
    <xf numFmtId="0" fontId="15" fillId="27" borderId="23" xfId="2" applyFill="1" applyBorder="1"/>
    <xf numFmtId="164" fontId="15" fillId="27" borderId="5" xfId="2" quotePrefix="1" applyNumberFormat="1" applyFill="1" applyBorder="1" applyAlignment="1">
      <alignment horizontal="right"/>
    </xf>
    <xf numFmtId="164" fontId="15" fillId="27" borderId="17" xfId="2" quotePrefix="1" applyNumberFormat="1" applyFill="1" applyBorder="1" applyAlignment="1">
      <alignment horizontal="right"/>
    </xf>
    <xf numFmtId="0" fontId="15" fillId="2" borderId="24" xfId="2" applyBorder="1"/>
    <xf numFmtId="0" fontId="15" fillId="27" borderId="24" xfId="2" applyFill="1" applyBorder="1"/>
    <xf numFmtId="0" fontId="15" fillId="27" borderId="2" xfId="2" applyFill="1"/>
    <xf numFmtId="0" fontId="15" fillId="27" borderId="18" xfId="2" applyFill="1" applyBorder="1"/>
    <xf numFmtId="0" fontId="15" fillId="2" borderId="25" xfId="2" applyBorder="1"/>
    <xf numFmtId="0" fontId="15" fillId="2" borderId="6" xfId="2" applyBorder="1"/>
    <xf numFmtId="0" fontId="15" fillId="27" borderId="25" xfId="2" applyFill="1" applyBorder="1"/>
    <xf numFmtId="0" fontId="15" fillId="27" borderId="6" xfId="2" applyFill="1" applyBorder="1"/>
    <xf numFmtId="0" fontId="15" fillId="27" borderId="19" xfId="2" applyFill="1" applyBorder="1"/>
    <xf numFmtId="9" fontId="15" fillId="26" borderId="65" xfId="2" applyNumberFormat="1" applyFill="1" applyBorder="1"/>
    <xf numFmtId="9" fontId="15" fillId="26" borderId="67" xfId="2" applyNumberFormat="1" applyFill="1" applyBorder="1"/>
    <xf numFmtId="9" fontId="15" fillId="26" borderId="62" xfId="2" applyNumberFormat="1" applyFill="1" applyBorder="1"/>
    <xf numFmtId="9" fontId="15" fillId="26" borderId="63" xfId="2" applyNumberFormat="1" applyFill="1" applyBorder="1"/>
    <xf numFmtId="9" fontId="15" fillId="26" borderId="68" xfId="2" applyNumberFormat="1" applyFill="1" applyBorder="1"/>
    <xf numFmtId="9" fontId="15" fillId="26" borderId="70" xfId="2" applyNumberFormat="1" applyFill="1" applyBorder="1"/>
    <xf numFmtId="0" fontId="3" fillId="17" borderId="0" xfId="0" applyFont="1" applyFill="1"/>
    <xf numFmtId="0" fontId="3" fillId="17" borderId="9" xfId="0" applyFont="1" applyFill="1" applyBorder="1"/>
    <xf numFmtId="164" fontId="15" fillId="2" borderId="2" xfId="2" applyNumberFormat="1"/>
    <xf numFmtId="9" fontId="2" fillId="2" borderId="2" xfId="7" applyFont="1" applyFill="1" applyBorder="1"/>
    <xf numFmtId="0" fontId="3" fillId="17" borderId="84" xfId="0" applyFont="1" applyFill="1" applyBorder="1"/>
    <xf numFmtId="0" fontId="30" fillId="31" borderId="7" xfId="0" applyFont="1" applyFill="1" applyBorder="1"/>
    <xf numFmtId="9" fontId="30" fillId="31" borderId="7" xfId="7" applyFont="1" applyFill="1" applyBorder="1"/>
    <xf numFmtId="164" fontId="30" fillId="31" borderId="7" xfId="0" applyNumberFormat="1" applyFont="1" applyFill="1" applyBorder="1"/>
    <xf numFmtId="164" fontId="30" fillId="31" borderId="7" xfId="0" applyNumberFormat="1" applyFont="1" applyFill="1" applyBorder="1" applyAlignment="1">
      <alignment horizontal="right"/>
    </xf>
    <xf numFmtId="0" fontId="30" fillId="32" borderId="7" xfId="0" applyFont="1" applyFill="1" applyBorder="1"/>
    <xf numFmtId="9" fontId="30" fillId="32" borderId="7" xfId="7" applyFont="1" applyFill="1" applyBorder="1"/>
    <xf numFmtId="164" fontId="30" fillId="32" borderId="7" xfId="0" applyNumberFormat="1" applyFont="1" applyFill="1" applyBorder="1"/>
    <xf numFmtId="164" fontId="30" fillId="32" borderId="7" xfId="0" quotePrefix="1" applyNumberFormat="1" applyFont="1" applyFill="1" applyBorder="1" applyAlignment="1">
      <alignment horizontal="right"/>
    </xf>
    <xf numFmtId="0" fontId="0" fillId="7" borderId="0" xfId="0" applyFill="1"/>
    <xf numFmtId="0" fontId="0" fillId="7" borderId="8" xfId="0" applyFill="1" applyBorder="1"/>
    <xf numFmtId="0" fontId="0" fillId="7" borderId="7" xfId="0" applyFill="1" applyBorder="1"/>
    <xf numFmtId="0" fontId="30" fillId="7" borderId="7" xfId="0" applyFont="1" applyFill="1" applyBorder="1"/>
    <xf numFmtId="0" fontId="0" fillId="0" borderId="7" xfId="0" applyBorder="1"/>
    <xf numFmtId="0" fontId="0" fillId="18" borderId="0" xfId="0" applyFill="1"/>
    <xf numFmtId="0" fontId="3" fillId="18" borderId="0" xfId="0" applyFont="1" applyFill="1"/>
    <xf numFmtId="0" fontId="30" fillId="33" borderId="43" xfId="0" applyFont="1" applyFill="1" applyBorder="1"/>
    <xf numFmtId="0" fontId="30" fillId="0" borderId="0" xfId="0" applyFont="1"/>
    <xf numFmtId="0" fontId="30" fillId="33" borderId="0" xfId="0" applyFont="1" applyFill="1"/>
    <xf numFmtId="0" fontId="14" fillId="20" borderId="0" xfId="6" applyFont="1" applyFill="1" applyAlignment="1">
      <alignment horizontal="right" vertical="center" wrapText="1"/>
    </xf>
    <xf numFmtId="0" fontId="14" fillId="12" borderId="11" xfId="0" applyFont="1" applyFill="1" applyBorder="1" applyAlignment="1">
      <alignment horizontal="left" vertical="center" wrapText="1"/>
    </xf>
    <xf numFmtId="0" fontId="6" fillId="8" borderId="0" xfId="0" applyFont="1" applyFill="1" applyAlignment="1">
      <alignment horizontal="left" vertical="center" wrapText="1"/>
    </xf>
    <xf numFmtId="0" fontId="14" fillId="5" borderId="0" xfId="5" applyFont="1" applyAlignment="1">
      <alignment horizontal="left" vertical="center" wrapText="1"/>
    </xf>
    <xf numFmtId="0" fontId="10" fillId="0" borderId="0" xfId="0" applyFont="1" applyAlignment="1">
      <alignment horizontal="left" vertical="center" wrapText="1"/>
    </xf>
    <xf numFmtId="0" fontId="14" fillId="20" borderId="0" xfId="0" applyFont="1" applyFill="1" applyAlignment="1">
      <alignment horizontal="left" vertical="center" wrapText="1"/>
    </xf>
    <xf numFmtId="0" fontId="32" fillId="0" borderId="0" xfId="0" applyFont="1" applyAlignment="1">
      <alignment horizontal="left" vertical="center" wrapText="1"/>
    </xf>
    <xf numFmtId="0" fontId="18" fillId="0" borderId="0" xfId="0" applyFont="1" applyAlignment="1">
      <alignment horizontal="left" vertical="center" wrapText="1"/>
    </xf>
    <xf numFmtId="0" fontId="5" fillId="3" borderId="0" xfId="3" applyFont="1" applyAlignment="1">
      <alignment horizontal="center" wrapText="1"/>
    </xf>
    <xf numFmtId="0" fontId="5" fillId="5" borderId="0" xfId="5" applyFont="1" applyAlignment="1">
      <alignment horizontal="center" wrapText="1"/>
    </xf>
    <xf numFmtId="0" fontId="29" fillId="8" borderId="0" xfId="0" applyFont="1" applyFill="1" applyAlignment="1">
      <alignment vertical="center"/>
    </xf>
    <xf numFmtId="164" fontId="15" fillId="21" borderId="17" xfId="2" quotePrefix="1" applyNumberFormat="1" applyFill="1" applyBorder="1" applyAlignment="1">
      <alignment horizontal="right"/>
    </xf>
    <xf numFmtId="9" fontId="15" fillId="21" borderId="18" xfId="2" applyNumberFormat="1" applyFill="1" applyBorder="1"/>
    <xf numFmtId="9" fontId="15" fillId="21" borderId="19" xfId="2" applyNumberFormat="1" applyFill="1" applyBorder="1"/>
    <xf numFmtId="164" fontId="15" fillId="23" borderId="17" xfId="2" quotePrefix="1" applyNumberFormat="1" applyFill="1" applyBorder="1" applyAlignment="1">
      <alignment horizontal="right"/>
    </xf>
    <xf numFmtId="9" fontId="15" fillId="23" borderId="18" xfId="2" applyNumberFormat="1" applyFill="1" applyBorder="1"/>
    <xf numFmtId="9" fontId="15" fillId="23" borderId="19" xfId="2" applyNumberFormat="1" applyFill="1" applyBorder="1"/>
    <xf numFmtId="164" fontId="15" fillId="24" borderId="18" xfId="2" applyNumberFormat="1" applyFill="1" applyBorder="1"/>
    <xf numFmtId="164" fontId="15" fillId="24" borderId="19" xfId="2" applyNumberFormat="1" applyFill="1" applyBorder="1"/>
    <xf numFmtId="0" fontId="15" fillId="2" borderId="18" xfId="2" applyBorder="1"/>
    <xf numFmtId="0" fontId="15" fillId="2" borderId="19" xfId="2" applyBorder="1"/>
    <xf numFmtId="164" fontId="15" fillId="30" borderId="17" xfId="2" quotePrefix="1" applyNumberFormat="1" applyFill="1" applyBorder="1" applyAlignment="1">
      <alignment horizontal="right"/>
    </xf>
    <xf numFmtId="0" fontId="15" fillId="30" borderId="18" xfId="2" applyFill="1" applyBorder="1"/>
    <xf numFmtId="0" fontId="15" fillId="30" borderId="19" xfId="2" applyFill="1" applyBorder="1"/>
    <xf numFmtId="164" fontId="15" fillId="21" borderId="18" xfId="2" applyNumberFormat="1" applyFill="1" applyBorder="1"/>
    <xf numFmtId="164" fontId="15" fillId="21" borderId="19" xfId="2" applyNumberFormat="1" applyFill="1" applyBorder="1"/>
    <xf numFmtId="2" fontId="15" fillId="2" borderId="2" xfId="2" applyNumberFormat="1"/>
    <xf numFmtId="0" fontId="40" fillId="0" borderId="26" xfId="11"/>
    <xf numFmtId="0" fontId="3" fillId="9" borderId="66" xfId="8" applyFont="1" applyBorder="1" applyAlignment="1">
      <alignment horizontal="right" vertical="center" wrapText="1"/>
    </xf>
    <xf numFmtId="0" fontId="3" fillId="9" borderId="58" xfId="8" applyFont="1" applyBorder="1" applyAlignment="1">
      <alignment horizontal="right" vertical="center" wrapText="1"/>
    </xf>
    <xf numFmtId="0" fontId="3" fillId="9" borderId="69" xfId="8" applyFont="1" applyBorder="1" applyAlignment="1">
      <alignment horizontal="right" vertical="center" wrapText="1"/>
    </xf>
    <xf numFmtId="1" fontId="15" fillId="2" borderId="2" xfId="2" applyNumberFormat="1" applyAlignment="1" applyProtection="1">
      <alignment horizontal="right" vertical="top" wrapText="1"/>
      <protection locked="0"/>
    </xf>
    <xf numFmtId="9" fontId="26" fillId="16" borderId="59" xfId="7" applyFont="1" applyFill="1" applyBorder="1" applyAlignment="1">
      <alignment horizontal="right" vertical="center" wrapText="1"/>
    </xf>
    <xf numFmtId="172" fontId="15" fillId="2" borderId="2" xfId="2" applyNumberFormat="1" applyAlignment="1" applyProtection="1">
      <alignment horizontal="right" vertical="center"/>
      <protection locked="0"/>
    </xf>
    <xf numFmtId="167" fontId="26" fillId="9" borderId="2" xfId="8" applyNumberFormat="1" applyFont="1" applyAlignment="1">
      <alignment horizontal="right" vertical="center" wrapText="1"/>
    </xf>
    <xf numFmtId="9" fontId="9" fillId="9" borderId="2" xfId="7" applyFont="1" applyFill="1" applyBorder="1" applyAlignment="1">
      <alignment horizontal="right" vertical="center" wrapText="1"/>
    </xf>
    <xf numFmtId="164" fontId="9" fillId="9" borderId="2" xfId="8" applyNumberFormat="1" applyAlignment="1">
      <alignment horizontal="right" vertical="center"/>
    </xf>
    <xf numFmtId="43" fontId="0" fillId="0" borderId="0" xfId="0" applyNumberFormat="1"/>
    <xf numFmtId="0" fontId="48" fillId="0" borderId="0" xfId="0" applyFont="1" applyAlignment="1">
      <alignment wrapText="1"/>
    </xf>
    <xf numFmtId="0" fontId="49" fillId="8" borderId="0" xfId="0" applyFont="1" applyFill="1" applyAlignment="1">
      <alignment vertical="center" wrapText="1"/>
    </xf>
    <xf numFmtId="0" fontId="48" fillId="0" borderId="0" xfId="0" applyFont="1"/>
    <xf numFmtId="0" fontId="52" fillId="0" borderId="0" xfId="0" applyFont="1" applyAlignment="1">
      <alignment wrapText="1"/>
    </xf>
    <xf numFmtId="168" fontId="53" fillId="0" borderId="0" xfId="0" applyNumberFormat="1" applyFont="1" applyAlignment="1">
      <alignment horizontal="center" wrapText="1"/>
    </xf>
    <xf numFmtId="0" fontId="54" fillId="20" borderId="0" xfId="24" applyFont="1">
      <alignment horizontal="right" vertical="center" wrapText="1"/>
    </xf>
    <xf numFmtId="0" fontId="58" fillId="0" borderId="0" xfId="0" applyFont="1" applyAlignment="1">
      <alignment wrapText="1"/>
    </xf>
    <xf numFmtId="0" fontId="51" fillId="0" borderId="0" xfId="0" applyFont="1" applyAlignment="1">
      <alignment horizontal="center" wrapText="1"/>
    </xf>
    <xf numFmtId="0" fontId="55" fillId="38" borderId="2" xfId="15" applyFont="1">
      <alignment horizontal="right" vertical="center" wrapText="1"/>
      <protection locked="0"/>
    </xf>
    <xf numFmtId="0" fontId="54" fillId="20" borderId="0" xfId="24" applyFont="1" applyAlignment="1">
      <alignment horizontal="center" vertical="center" wrapText="1"/>
    </xf>
    <xf numFmtId="0" fontId="57" fillId="9" borderId="2" xfId="16" applyFont="1" applyAlignment="1">
      <alignment wrapText="1"/>
    </xf>
    <xf numFmtId="0" fontId="57" fillId="9" borderId="2" xfId="16" applyFont="1" applyAlignment="1">
      <alignment horizontal="right" vertical="center" wrapText="1"/>
    </xf>
    <xf numFmtId="9" fontId="57" fillId="9" borderId="2" xfId="7" applyFont="1" applyFill="1" applyBorder="1" applyAlignment="1">
      <alignment horizontal="right" vertical="center" wrapText="1"/>
    </xf>
    <xf numFmtId="0" fontId="61" fillId="0" borderId="0" xfId="0" applyFont="1"/>
    <xf numFmtId="170" fontId="62" fillId="0" borderId="0" xfId="0" applyNumberFormat="1" applyFont="1"/>
    <xf numFmtId="8" fontId="48" fillId="0" borderId="0" xfId="12" applyNumberFormat="1" applyFont="1"/>
    <xf numFmtId="0" fontId="66" fillId="0" borderId="0" xfId="0" applyFont="1"/>
    <xf numFmtId="8" fontId="61" fillId="0" borderId="0" xfId="0" applyNumberFormat="1" applyFont="1"/>
    <xf numFmtId="0" fontId="61" fillId="0" borderId="0" xfId="0" applyFont="1" applyAlignment="1">
      <alignment horizontal="left" vertical="top"/>
    </xf>
    <xf numFmtId="0" fontId="48" fillId="0" borderId="0" xfId="0" applyFont="1" applyAlignment="1">
      <alignment horizontal="left" vertical="top"/>
    </xf>
    <xf numFmtId="0" fontId="54" fillId="12" borderId="11" xfId="25" applyFont="1">
      <alignment wrapText="1"/>
    </xf>
    <xf numFmtId="0" fontId="55" fillId="38" borderId="2" xfId="15" applyFont="1" applyAlignment="1">
      <alignment horizontal="left" vertical="center" wrapText="1"/>
      <protection locked="0"/>
    </xf>
    <xf numFmtId="171" fontId="55" fillId="38" borderId="2" xfId="15" applyNumberFormat="1" applyFont="1">
      <alignment horizontal="right" vertical="center" wrapText="1"/>
      <protection locked="0"/>
    </xf>
    <xf numFmtId="0" fontId="48" fillId="0" borderId="0" xfId="0" applyFont="1" applyProtection="1">
      <protection locked="0"/>
    </xf>
    <xf numFmtId="14" fontId="55" fillId="38" borderId="2" xfId="15" applyNumberFormat="1" applyFont="1" applyAlignment="1">
      <alignment horizontal="left" vertical="center" wrapText="1"/>
      <protection locked="0"/>
    </xf>
    <xf numFmtId="9" fontId="55" fillId="38" borderId="2" xfId="15" applyNumberFormat="1" applyFont="1">
      <alignment horizontal="right" vertical="center" wrapText="1"/>
      <protection locked="0"/>
    </xf>
    <xf numFmtId="173" fontId="57" fillId="9" borderId="2" xfId="16" applyNumberFormat="1" applyFont="1" applyAlignment="1">
      <alignment wrapText="1"/>
    </xf>
    <xf numFmtId="0" fontId="48" fillId="0" borderId="0" xfId="0" applyFont="1" applyAlignment="1" applyProtection="1">
      <alignment vertical="top" wrapText="1"/>
      <protection locked="0"/>
    </xf>
    <xf numFmtId="0" fontId="48" fillId="0" borderId="0" xfId="0" applyFont="1" applyAlignment="1">
      <alignment vertical="top" wrapText="1"/>
    </xf>
    <xf numFmtId="164" fontId="30" fillId="31" borderId="0" xfId="0" applyNumberFormat="1" applyFont="1" applyFill="1" applyAlignment="1">
      <alignment horizontal="left"/>
    </xf>
    <xf numFmtId="164" fontId="30" fillId="32" borderId="0" xfId="0" quotePrefix="1" applyNumberFormat="1" applyFont="1" applyFill="1" applyAlignment="1">
      <alignment horizontal="left"/>
    </xf>
    <xf numFmtId="9" fontId="30" fillId="31" borderId="0" xfId="7" applyFont="1" applyFill="1" applyAlignment="1">
      <alignment horizontal="right"/>
    </xf>
    <xf numFmtId="9" fontId="30" fillId="32" borderId="0" xfId="7" quotePrefix="1" applyFont="1" applyFill="1" applyAlignment="1">
      <alignment horizontal="right"/>
    </xf>
    <xf numFmtId="1" fontId="30" fillId="31" borderId="0" xfId="0" applyNumberFormat="1" applyFont="1" applyFill="1" applyAlignment="1">
      <alignment horizontal="right"/>
    </xf>
    <xf numFmtId="1" fontId="30" fillId="32" borderId="0" xfId="0" quotePrefix="1" applyNumberFormat="1" applyFont="1" applyFill="1" applyAlignment="1">
      <alignment horizontal="right"/>
    </xf>
    <xf numFmtId="9" fontId="38" fillId="0" borderId="2" xfId="7" applyFont="1" applyBorder="1"/>
    <xf numFmtId="14" fontId="15" fillId="2" borderId="2" xfId="2" applyNumberFormat="1" applyAlignment="1" applyProtection="1">
      <alignment horizontal="right" vertical="center" wrapText="1"/>
      <protection locked="0"/>
    </xf>
    <xf numFmtId="1" fontId="15" fillId="2" borderId="2" xfId="2" applyNumberFormat="1" applyAlignment="1" applyProtection="1">
      <alignment horizontal="right" vertical="center" wrapText="1"/>
      <protection locked="0"/>
    </xf>
    <xf numFmtId="43" fontId="55" fillId="38" borderId="2" xfId="12" applyFont="1" applyFill="1" applyBorder="1" applyAlignment="1" applyProtection="1">
      <alignment horizontal="right" vertical="center" wrapText="1"/>
      <protection locked="0"/>
    </xf>
    <xf numFmtId="43" fontId="57" fillId="9" borderId="2" xfId="12" applyFont="1" applyFill="1" applyBorder="1" applyAlignment="1">
      <alignment vertical="center"/>
    </xf>
    <xf numFmtId="0" fontId="54" fillId="12" borderId="11" xfId="25" applyFont="1" applyProtection="1">
      <alignment wrapText="1"/>
      <protection locked="0"/>
    </xf>
    <xf numFmtId="168" fontId="57" fillId="9" borderId="2" xfId="16" applyNumberFormat="1" applyFont="1" applyProtection="1">
      <alignment vertical="center"/>
      <protection locked="0"/>
    </xf>
    <xf numFmtId="0" fontId="57" fillId="9" borderId="2" xfId="16" applyFont="1" applyProtection="1">
      <alignment vertical="center"/>
      <protection locked="0"/>
    </xf>
    <xf numFmtId="0" fontId="57" fillId="9" borderId="2" xfId="16" applyFont="1" applyAlignment="1" applyProtection="1">
      <alignment vertical="center" wrapText="1"/>
      <protection locked="0"/>
    </xf>
    <xf numFmtId="0" fontId="54" fillId="20" borderId="0" xfId="24" applyFont="1" applyAlignment="1" applyProtection="1">
      <alignment horizontal="right" wrapText="1"/>
      <protection locked="0"/>
    </xf>
    <xf numFmtId="0" fontId="4" fillId="18" borderId="0" xfId="0" applyFont="1" applyFill="1"/>
    <xf numFmtId="0" fontId="9" fillId="9" borderId="2" xfId="8" applyAlignment="1">
      <alignment horizontal="left" vertical="center"/>
    </xf>
    <xf numFmtId="0" fontId="37" fillId="9" borderId="2" xfId="16" applyAlignment="1">
      <alignment horizontal="right" vertical="center"/>
    </xf>
    <xf numFmtId="41" fontId="15" fillId="2" borderId="40" xfId="2" applyNumberFormat="1" applyBorder="1" applyAlignment="1" applyProtection="1">
      <alignment wrapText="1"/>
      <protection locked="0"/>
    </xf>
    <xf numFmtId="41" fontId="15" fillId="24" borderId="2" xfId="2" applyNumberFormat="1" applyFill="1" applyAlignment="1" applyProtection="1">
      <alignment wrapText="1"/>
      <protection locked="0"/>
    </xf>
    <xf numFmtId="167" fontId="57" fillId="9" borderId="2" xfId="16" applyNumberFormat="1" applyFont="1">
      <alignment vertical="center"/>
    </xf>
    <xf numFmtId="2" fontId="68" fillId="0" borderId="0" xfId="0" applyNumberFormat="1" applyFont="1"/>
    <xf numFmtId="0" fontId="70" fillId="0" borderId="0" xfId="0" applyFont="1"/>
    <xf numFmtId="174" fontId="69" fillId="37" borderId="0" xfId="0" applyNumberFormat="1" applyFont="1" applyFill="1" applyAlignment="1">
      <alignment horizontal="right"/>
    </xf>
    <xf numFmtId="174" fontId="69" fillId="0" borderId="0" xfId="0" applyNumberFormat="1" applyFont="1"/>
    <xf numFmtId="2" fontId="69" fillId="0" borderId="0" xfId="0" applyNumberFormat="1" applyFont="1"/>
    <xf numFmtId="171" fontId="57" fillId="9" borderId="2" xfId="16" applyNumberFormat="1" applyFont="1" applyAlignment="1">
      <alignment vertical="center" wrapText="1"/>
    </xf>
    <xf numFmtId="171" fontId="57" fillId="9" borderId="2" xfId="16" applyNumberFormat="1" applyFont="1" applyAlignment="1" applyProtection="1">
      <alignment vertical="center" wrapText="1"/>
      <protection locked="0"/>
    </xf>
    <xf numFmtId="0" fontId="16" fillId="0" borderId="0" xfId="0" applyFont="1" applyAlignment="1">
      <alignment vertical="top" wrapText="1"/>
    </xf>
    <xf numFmtId="0" fontId="59" fillId="0" borderId="1" xfId="1" applyFont="1" applyAlignment="1">
      <alignment wrapText="1"/>
    </xf>
    <xf numFmtId="0" fontId="46" fillId="20" borderId="0" xfId="24">
      <alignment horizontal="right" vertical="center" wrapText="1"/>
    </xf>
    <xf numFmtId="0" fontId="26" fillId="9" borderId="55" xfId="8" applyFont="1" applyBorder="1" applyAlignment="1">
      <alignment horizontal="right" vertical="center" wrapText="1"/>
    </xf>
    <xf numFmtId="9" fontId="26" fillId="9" borderId="99" xfId="8" applyNumberFormat="1" applyFont="1" applyBorder="1" applyAlignment="1">
      <alignment horizontal="right" vertical="center" wrapText="1"/>
    </xf>
    <xf numFmtId="9" fontId="26" fillId="9" borderId="100" xfId="8" applyNumberFormat="1" applyFont="1" applyBorder="1" applyAlignment="1">
      <alignment horizontal="right" vertical="center" wrapText="1"/>
    </xf>
    <xf numFmtId="0" fontId="14" fillId="35" borderId="74" xfId="0" applyFont="1" applyFill="1" applyBorder="1" applyAlignment="1">
      <alignment horizontal="left" vertical="center" wrapText="1"/>
    </xf>
    <xf numFmtId="49" fontId="36" fillId="0" borderId="0" xfId="0" applyNumberFormat="1" applyFont="1" applyAlignment="1">
      <alignment horizontal="left" vertical="center" wrapText="1"/>
    </xf>
    <xf numFmtId="49" fontId="12" fillId="0" borderId="10" xfId="0" applyNumberFormat="1" applyFont="1" applyBorder="1" applyAlignment="1">
      <alignment horizontal="left" vertical="center" wrapText="1"/>
    </xf>
    <xf numFmtId="0" fontId="30" fillId="31" borderId="0" xfId="0" applyFont="1" applyFill="1" applyAlignment="1">
      <alignment horizontal="left" vertical="center" wrapText="1"/>
    </xf>
    <xf numFmtId="0" fontId="30" fillId="32" borderId="0" xfId="0" applyFont="1" applyFill="1" applyAlignment="1">
      <alignment horizontal="left" vertical="center" wrapText="1"/>
    </xf>
    <xf numFmtId="0" fontId="14" fillId="12" borderId="76" xfId="0" applyFont="1" applyFill="1" applyBorder="1" applyAlignment="1">
      <alignment horizontal="left" vertical="center" wrapText="1"/>
    </xf>
    <xf numFmtId="0" fontId="14" fillId="12" borderId="53" xfId="0" applyFont="1" applyFill="1" applyBorder="1" applyAlignment="1">
      <alignment horizontal="left" vertical="center" wrapText="1"/>
    </xf>
    <xf numFmtId="0" fontId="55" fillId="38" borderId="55" xfId="15" applyFont="1" applyBorder="1" applyAlignment="1">
      <alignment horizontal="left" vertical="center" wrapText="1"/>
      <protection locked="0"/>
    </xf>
    <xf numFmtId="14" fontId="9" fillId="9" borderId="2" xfId="8" applyNumberFormat="1" applyAlignment="1">
      <alignment horizontal="left" vertical="center" wrapText="1"/>
    </xf>
    <xf numFmtId="0" fontId="62" fillId="6" borderId="0" xfId="6" applyFont="1"/>
    <xf numFmtId="0" fontId="15" fillId="25" borderId="2" xfId="2" applyFill="1" applyAlignment="1" applyProtection="1">
      <alignment horizontal="left" vertical="center"/>
      <protection locked="0"/>
    </xf>
    <xf numFmtId="0" fontId="3" fillId="8" borderId="0" xfId="6" applyFont="1" applyFill="1" applyAlignment="1">
      <alignment vertical="center" wrapText="1"/>
    </xf>
    <xf numFmtId="49" fontId="15" fillId="2" borderId="2" xfId="2" applyNumberFormat="1" applyAlignment="1">
      <alignment horizontal="left" vertical="center" wrapText="1"/>
    </xf>
    <xf numFmtId="164" fontId="26" fillId="9" borderId="55" xfId="8" applyNumberFormat="1" applyFont="1" applyBorder="1" applyAlignment="1">
      <alignment horizontal="right" vertical="center" wrapText="1"/>
    </xf>
    <xf numFmtId="167" fontId="26" fillId="9" borderId="101" xfId="8" applyNumberFormat="1" applyFont="1" applyBorder="1" applyAlignment="1">
      <alignment horizontal="right" vertical="center" wrapText="1"/>
    </xf>
    <xf numFmtId="164" fontId="26" fillId="9" borderId="102" xfId="8" applyNumberFormat="1" applyFont="1" applyBorder="1" applyAlignment="1">
      <alignment horizontal="right" vertical="center" wrapText="1"/>
    </xf>
    <xf numFmtId="9" fontId="26" fillId="9" borderId="55" xfId="8" applyNumberFormat="1" applyFont="1" applyBorder="1" applyAlignment="1">
      <alignment horizontal="right" vertical="center" wrapText="1"/>
    </xf>
    <xf numFmtId="1" fontId="26" fillId="9" borderId="103" xfId="8" applyNumberFormat="1" applyFont="1" applyBorder="1" applyAlignment="1">
      <alignment horizontal="right" vertical="center" wrapText="1"/>
    </xf>
    <xf numFmtId="9" fontId="26" fillId="9" borderId="104" xfId="8" applyNumberFormat="1" applyFont="1" applyBorder="1" applyAlignment="1">
      <alignment horizontal="right" vertical="center" wrapText="1"/>
    </xf>
    <xf numFmtId="2" fontId="26" fillId="16" borderId="104" xfId="8" applyNumberFormat="1" applyFont="1" applyFill="1" applyBorder="1" applyAlignment="1">
      <alignment horizontal="right" vertical="center" wrapText="1"/>
    </xf>
    <xf numFmtId="2" fontId="26" fillId="16" borderId="55" xfId="8" applyNumberFormat="1" applyFont="1" applyFill="1" applyBorder="1" applyAlignment="1">
      <alignment horizontal="right" vertical="center" wrapText="1"/>
    </xf>
    <xf numFmtId="9" fontId="26" fillId="16" borderId="103" xfId="7" applyFont="1" applyFill="1" applyBorder="1" applyAlignment="1">
      <alignment horizontal="right" vertical="center" wrapText="1"/>
    </xf>
    <xf numFmtId="1" fontId="26" fillId="16" borderId="55" xfId="8" applyNumberFormat="1" applyFont="1" applyFill="1" applyBorder="1" applyAlignment="1">
      <alignment horizontal="right" vertical="center" wrapText="1"/>
    </xf>
    <xf numFmtId="1" fontId="26" fillId="16" borderId="103" xfId="8" applyNumberFormat="1" applyFont="1" applyFill="1" applyBorder="1" applyAlignment="1">
      <alignment horizontal="right" vertical="center" wrapText="1"/>
    </xf>
    <xf numFmtId="164" fontId="26" fillId="9" borderId="23" xfId="8" applyNumberFormat="1" applyFont="1" applyBorder="1" applyAlignment="1">
      <alignment horizontal="right" vertical="center" wrapText="1"/>
    </xf>
    <xf numFmtId="9" fontId="26" fillId="9" borderId="24" xfId="8" applyNumberFormat="1" applyFont="1" applyBorder="1" applyAlignment="1">
      <alignment horizontal="right" vertical="center" wrapText="1"/>
    </xf>
    <xf numFmtId="1" fontId="26" fillId="9" borderId="25" xfId="8" applyNumberFormat="1" applyFont="1" applyBorder="1" applyAlignment="1">
      <alignment horizontal="right" vertical="center" wrapText="1"/>
    </xf>
    <xf numFmtId="9" fontId="26" fillId="9" borderId="23" xfId="8" applyNumberFormat="1" applyFont="1" applyBorder="1" applyAlignment="1">
      <alignment horizontal="right" vertical="center" wrapText="1"/>
    </xf>
    <xf numFmtId="167" fontId="26" fillId="9" borderId="25" xfId="8" applyNumberFormat="1" applyFont="1" applyBorder="1" applyAlignment="1">
      <alignment horizontal="right" vertical="center" wrapText="1"/>
    </xf>
    <xf numFmtId="2" fontId="26" fillId="16" borderId="23" xfId="8" applyNumberFormat="1" applyFont="1" applyFill="1" applyBorder="1" applyAlignment="1">
      <alignment horizontal="right" vertical="center" wrapText="1"/>
    </xf>
    <xf numFmtId="2" fontId="26" fillId="16" borderId="24" xfId="8" applyNumberFormat="1" applyFont="1" applyFill="1" applyBorder="1" applyAlignment="1">
      <alignment horizontal="right" vertical="center" wrapText="1"/>
    </xf>
    <xf numFmtId="9" fontId="26" fillId="16" borderId="25" xfId="7" applyFont="1" applyFill="1" applyBorder="1" applyAlignment="1">
      <alignment horizontal="right" vertical="center" wrapText="1"/>
    </xf>
    <xf numFmtId="1" fontId="26" fillId="16" borderId="24" xfId="8" applyNumberFormat="1" applyFont="1" applyFill="1" applyBorder="1" applyAlignment="1">
      <alignment horizontal="right" vertical="center" wrapText="1"/>
    </xf>
    <xf numFmtId="1" fontId="26" fillId="16" borderId="25" xfId="8" applyNumberFormat="1" applyFont="1" applyFill="1" applyBorder="1" applyAlignment="1">
      <alignment horizontal="right" vertical="center" wrapText="1"/>
    </xf>
    <xf numFmtId="0" fontId="38" fillId="38" borderId="2" xfId="15" applyFont="1">
      <alignment horizontal="right" vertical="center" wrapText="1"/>
      <protection locked="0"/>
    </xf>
    <xf numFmtId="0" fontId="38" fillId="38" borderId="40" xfId="15" applyFont="1" applyBorder="1" applyAlignment="1">
      <alignment horizontal="left" vertical="center" wrapText="1"/>
      <protection locked="0"/>
    </xf>
    <xf numFmtId="0" fontId="38" fillId="38" borderId="2" xfId="15" applyFont="1" applyAlignment="1">
      <alignment horizontal="left" vertical="center" wrapText="1"/>
      <protection locked="0"/>
    </xf>
    <xf numFmtId="0" fontId="14" fillId="20" borderId="0" xfId="6" applyFont="1" applyFill="1" applyAlignment="1">
      <alignment horizontal="right" vertical="center" wrapText="1"/>
    </xf>
    <xf numFmtId="0" fontId="15" fillId="25" borderId="40" xfId="2" applyFill="1" applyBorder="1" applyAlignment="1" applyProtection="1">
      <alignment horizontal="left" vertical="center"/>
      <protection locked="0"/>
    </xf>
    <xf numFmtId="0" fontId="15" fillId="25" borderId="55" xfId="2" applyFill="1" applyBorder="1" applyAlignment="1" applyProtection="1">
      <alignment horizontal="left" vertical="center"/>
      <protection locked="0"/>
    </xf>
    <xf numFmtId="0" fontId="15" fillId="2" borderId="40" xfId="2" applyBorder="1" applyAlignment="1" applyProtection="1">
      <alignment horizontal="left" vertical="center" wrapText="1"/>
      <protection locked="0"/>
    </xf>
    <xf numFmtId="0" fontId="15" fillId="2" borderId="54" xfId="2" applyBorder="1" applyAlignment="1" applyProtection="1">
      <alignment horizontal="left" vertical="center" wrapText="1"/>
      <protection locked="0"/>
    </xf>
    <xf numFmtId="0" fontId="15" fillId="2" borderId="55" xfId="2" applyBorder="1" applyAlignment="1" applyProtection="1">
      <alignment horizontal="left" vertical="center" wrapText="1"/>
      <protection locked="0"/>
    </xf>
    <xf numFmtId="0" fontId="14" fillId="5" borderId="56" xfId="5" applyFont="1" applyBorder="1" applyAlignment="1">
      <alignment horizontal="left" vertical="center" wrapText="1"/>
    </xf>
    <xf numFmtId="0" fontId="15" fillId="2" borderId="2" xfId="2" applyAlignment="1" applyProtection="1">
      <alignment horizontal="left" vertical="center" wrapText="1"/>
      <protection locked="0"/>
    </xf>
    <xf numFmtId="0" fontId="39" fillId="0" borderId="1" xfId="1" applyAlignment="1">
      <alignment horizontal="left" vertical="center" wrapText="1"/>
    </xf>
    <xf numFmtId="0" fontId="13" fillId="15" borderId="0" xfId="0" applyFont="1" applyFill="1" applyAlignment="1">
      <alignment horizontal="center" vertical="center" wrapText="1"/>
    </xf>
    <xf numFmtId="0" fontId="14" fillId="20" borderId="0" xfId="6" applyFont="1" applyFill="1" applyAlignment="1">
      <alignment horizontal="left" vertical="center" wrapText="1"/>
    </xf>
    <xf numFmtId="0" fontId="15" fillId="2" borderId="94" xfId="2" quotePrefix="1" applyBorder="1" applyAlignment="1" applyProtection="1">
      <alignment vertical="top" wrapText="1"/>
      <protection locked="0"/>
    </xf>
    <xf numFmtId="0" fontId="15" fillId="2" borderId="95" xfId="2" applyBorder="1" applyAlignment="1" applyProtection="1">
      <alignment vertical="top" wrapText="1"/>
      <protection locked="0"/>
    </xf>
    <xf numFmtId="0" fontId="15" fillId="2" borderId="96" xfId="2" applyBorder="1" applyAlignment="1" applyProtection="1">
      <alignment vertical="top" wrapText="1"/>
      <protection locked="0"/>
    </xf>
    <xf numFmtId="0" fontId="15" fillId="2" borderId="90" xfId="2" applyBorder="1" applyAlignment="1" applyProtection="1">
      <alignment vertical="top" wrapText="1"/>
      <protection locked="0"/>
    </xf>
    <xf numFmtId="0" fontId="15" fillId="2" borderId="0" xfId="2" applyBorder="1" applyAlignment="1" applyProtection="1">
      <alignment vertical="top" wrapText="1"/>
      <protection locked="0"/>
    </xf>
    <xf numFmtId="0" fontId="15" fillId="2" borderId="42" xfId="2" applyBorder="1" applyAlignment="1" applyProtection="1">
      <alignment vertical="top" wrapText="1"/>
      <protection locked="0"/>
    </xf>
    <xf numFmtId="0" fontId="15" fillId="2" borderId="97" xfId="2" applyBorder="1" applyAlignment="1" applyProtection="1">
      <alignment vertical="top" wrapText="1"/>
      <protection locked="0"/>
    </xf>
    <xf numFmtId="0" fontId="15" fillId="2" borderId="56" xfId="2" applyBorder="1" applyAlignment="1" applyProtection="1">
      <alignment vertical="top" wrapText="1"/>
      <protection locked="0"/>
    </xf>
    <xf numFmtId="0" fontId="15" fillId="2" borderId="98" xfId="2" applyBorder="1" applyAlignment="1" applyProtection="1">
      <alignment vertical="top" wrapText="1"/>
      <protection locked="0"/>
    </xf>
    <xf numFmtId="0" fontId="16" fillId="23" borderId="47" xfId="0" applyFont="1" applyFill="1" applyBorder="1" applyAlignment="1">
      <alignment horizontal="left" vertical="center" wrapText="1"/>
    </xf>
    <xf numFmtId="0" fontId="16" fillId="23" borderId="48" xfId="0" applyFont="1" applyFill="1" applyBorder="1" applyAlignment="1">
      <alignment horizontal="left" vertical="center" wrapText="1"/>
    </xf>
    <xf numFmtId="0" fontId="16" fillId="23" borderId="49" xfId="0" applyFont="1" applyFill="1" applyBorder="1" applyAlignment="1">
      <alignment horizontal="left" vertical="center" wrapText="1"/>
    </xf>
    <xf numFmtId="0" fontId="16" fillId="23" borderId="50" xfId="0" applyFont="1" applyFill="1" applyBorder="1" applyAlignment="1">
      <alignment horizontal="left" vertical="center" wrapText="1"/>
    </xf>
    <xf numFmtId="0" fontId="16" fillId="23" borderId="51" xfId="0" applyFont="1" applyFill="1" applyBorder="1" applyAlignment="1">
      <alignment horizontal="left" vertical="center" wrapText="1"/>
    </xf>
    <xf numFmtId="0" fontId="16" fillId="23" borderId="52" xfId="0" applyFont="1" applyFill="1" applyBorder="1" applyAlignment="1">
      <alignment horizontal="left" vertical="center" wrapText="1"/>
    </xf>
    <xf numFmtId="0" fontId="6" fillId="8" borderId="0" xfId="0" applyFont="1" applyFill="1" applyAlignment="1">
      <alignment horizontal="left" vertical="center" wrapText="1"/>
    </xf>
    <xf numFmtId="0" fontId="16" fillId="23" borderId="44" xfId="0" applyFont="1" applyFill="1" applyBorder="1" applyAlignment="1">
      <alignment horizontal="left" vertical="center" wrapText="1"/>
    </xf>
    <xf numFmtId="0" fontId="16" fillId="23" borderId="45" xfId="0" applyFont="1" applyFill="1" applyBorder="1" applyAlignment="1">
      <alignment horizontal="left" vertical="center" wrapText="1"/>
    </xf>
    <xf numFmtId="0" fontId="16" fillId="23" borderId="46" xfId="0" applyFont="1" applyFill="1" applyBorder="1" applyAlignment="1">
      <alignment horizontal="left" vertical="center" wrapText="1"/>
    </xf>
    <xf numFmtId="0" fontId="16" fillId="0" borderId="0" xfId="0" applyFont="1" applyAlignment="1">
      <alignment vertical="top" wrapText="1"/>
    </xf>
    <xf numFmtId="49" fontId="9" fillId="9" borderId="2" xfId="8" applyNumberFormat="1" applyAlignment="1">
      <alignment horizontal="left" vertical="center" wrapText="1"/>
    </xf>
    <xf numFmtId="0" fontId="13" fillId="18" borderId="0" xfId="0" applyFont="1" applyFill="1" applyAlignment="1">
      <alignment horizontal="center" vertical="center" wrapText="1"/>
    </xf>
    <xf numFmtId="0" fontId="15" fillId="2" borderId="94" xfId="2" applyBorder="1" applyAlignment="1" applyProtection="1">
      <alignment horizontal="left" vertical="center" wrapText="1"/>
      <protection locked="0"/>
    </xf>
    <xf numFmtId="0" fontId="15" fillId="2" borderId="96" xfId="2" applyBorder="1" applyAlignment="1" applyProtection="1">
      <alignment horizontal="left" vertical="center" wrapText="1"/>
      <protection locked="0"/>
    </xf>
    <xf numFmtId="0" fontId="15" fillId="2" borderId="97" xfId="2" applyBorder="1" applyAlignment="1" applyProtection="1">
      <alignment horizontal="left" vertical="center" wrapText="1"/>
      <protection locked="0"/>
    </xf>
    <xf numFmtId="0" fontId="15" fillId="2" borderId="98" xfId="2" applyBorder="1" applyAlignment="1" applyProtection="1">
      <alignment horizontal="left" vertical="center" wrapText="1"/>
      <protection locked="0"/>
    </xf>
    <xf numFmtId="0" fontId="14" fillId="12" borderId="76" xfId="0" applyFont="1" applyFill="1" applyBorder="1" applyAlignment="1">
      <alignment horizontal="left" vertical="center" wrapText="1"/>
    </xf>
    <xf numFmtId="0" fontId="13" fillId="8" borderId="0" xfId="0" applyFont="1" applyFill="1" applyAlignment="1">
      <alignment horizontal="center" vertical="center" wrapText="1"/>
    </xf>
    <xf numFmtId="0" fontId="14" fillId="20" borderId="56" xfId="0" applyFont="1" applyFill="1" applyBorder="1" applyAlignment="1">
      <alignment horizontal="left" vertical="center" wrapText="1"/>
    </xf>
    <xf numFmtId="0" fontId="13" fillId="8" borderId="31" xfId="0" applyFont="1" applyFill="1" applyBorder="1" applyAlignment="1">
      <alignment horizontal="center" vertical="center" wrapText="1"/>
    </xf>
    <xf numFmtId="0" fontId="13" fillId="8" borderId="32" xfId="0" applyFont="1" applyFill="1" applyBorder="1" applyAlignment="1">
      <alignment horizontal="center" vertical="center" wrapText="1"/>
    </xf>
    <xf numFmtId="0" fontId="13" fillId="8" borderId="30" xfId="0" applyFont="1" applyFill="1" applyBorder="1" applyAlignment="1">
      <alignment horizontal="center" vertical="center" wrapText="1"/>
    </xf>
    <xf numFmtId="0" fontId="13" fillId="18" borderId="31" xfId="0" applyFont="1" applyFill="1" applyBorder="1" applyAlignment="1">
      <alignment horizontal="center" vertical="center" wrapText="1"/>
    </xf>
    <xf numFmtId="0" fontId="13" fillId="18" borderId="32" xfId="0" applyFont="1" applyFill="1" applyBorder="1" applyAlignment="1">
      <alignment horizontal="center" vertical="center" wrapText="1"/>
    </xf>
    <xf numFmtId="0" fontId="13" fillId="18" borderId="30" xfId="0" applyFont="1" applyFill="1" applyBorder="1" applyAlignment="1">
      <alignment horizontal="center" vertical="center" wrapText="1"/>
    </xf>
    <xf numFmtId="49" fontId="15" fillId="25" borderId="94" xfId="2" applyNumberFormat="1" applyFill="1" applyBorder="1" applyAlignment="1" applyProtection="1">
      <alignment horizontal="left" vertical="center" wrapText="1"/>
      <protection locked="0"/>
    </xf>
    <xf numFmtId="49" fontId="15" fillId="25" borderId="96" xfId="2" applyNumberFormat="1" applyFill="1" applyBorder="1" applyAlignment="1" applyProtection="1">
      <alignment horizontal="left" vertical="center" wrapText="1"/>
      <protection locked="0"/>
    </xf>
    <xf numFmtId="49" fontId="15" fillId="25" borderId="97" xfId="2" applyNumberFormat="1" applyFill="1" applyBorder="1" applyAlignment="1" applyProtection="1">
      <alignment horizontal="left" vertical="center" wrapText="1"/>
      <protection locked="0"/>
    </xf>
    <xf numFmtId="49" fontId="15" fillId="25" borderId="98" xfId="2" applyNumberFormat="1" applyFill="1" applyBorder="1" applyAlignment="1" applyProtection="1">
      <alignment horizontal="left" vertical="center" wrapText="1"/>
      <protection locked="0"/>
    </xf>
    <xf numFmtId="0" fontId="14" fillId="5" borderId="0" xfId="5" applyFont="1" applyAlignment="1">
      <alignment horizontal="left" vertical="center" wrapText="1"/>
    </xf>
    <xf numFmtId="0" fontId="14" fillId="20" borderId="16" xfId="6" applyFont="1" applyFill="1" applyBorder="1" applyAlignment="1">
      <alignment horizontal="right" vertical="center" wrapText="1"/>
    </xf>
    <xf numFmtId="0" fontId="14" fillId="20" borderId="42" xfId="6" applyFont="1" applyFill="1" applyBorder="1" applyAlignment="1">
      <alignment horizontal="right" vertical="center" wrapText="1"/>
    </xf>
    <xf numFmtId="0" fontId="14" fillId="12" borderId="11" xfId="0" applyFont="1" applyFill="1" applyBorder="1" applyAlignment="1">
      <alignment horizontal="left" vertical="center" wrapText="1"/>
    </xf>
    <xf numFmtId="0" fontId="14" fillId="12" borderId="53" xfId="0" applyFont="1" applyFill="1" applyBorder="1" applyAlignment="1">
      <alignment horizontal="left" vertical="center" wrapText="1"/>
    </xf>
    <xf numFmtId="49" fontId="15" fillId="25" borderId="40" xfId="2" applyNumberFormat="1" applyFill="1" applyBorder="1" applyAlignment="1" applyProtection="1">
      <alignment vertical="center"/>
      <protection locked="0"/>
    </xf>
    <xf numFmtId="49" fontId="15" fillId="25" borderId="55" xfId="2" applyNumberFormat="1" applyFill="1" applyBorder="1" applyAlignment="1" applyProtection="1">
      <alignment vertical="center"/>
      <protection locked="0"/>
    </xf>
    <xf numFmtId="49" fontId="15" fillId="25" borderId="94" xfId="2" applyNumberFormat="1" applyFill="1" applyBorder="1" applyAlignment="1" applyProtection="1">
      <alignment horizontal="left" vertical="top" wrapText="1"/>
      <protection locked="0"/>
    </xf>
    <xf numFmtId="49" fontId="15" fillId="25" borderId="96" xfId="2" applyNumberFormat="1" applyFill="1" applyBorder="1" applyAlignment="1" applyProtection="1">
      <alignment horizontal="left" vertical="top" wrapText="1"/>
      <protection locked="0"/>
    </xf>
    <xf numFmtId="49" fontId="15" fillId="25" borderId="97" xfId="2" applyNumberFormat="1" applyFill="1" applyBorder="1" applyAlignment="1" applyProtection="1">
      <alignment horizontal="left" vertical="top" wrapText="1"/>
      <protection locked="0"/>
    </xf>
    <xf numFmtId="49" fontId="15" fillId="25" borderId="98" xfId="2" applyNumberFormat="1" applyFill="1" applyBorder="1" applyAlignment="1" applyProtection="1">
      <alignment horizontal="left" vertical="top" wrapText="1"/>
      <protection locked="0"/>
    </xf>
    <xf numFmtId="49" fontId="9" fillId="9" borderId="40" xfId="8" applyNumberFormat="1" applyBorder="1" applyAlignment="1">
      <alignment horizontal="left" vertical="center" wrapText="1"/>
    </xf>
    <xf numFmtId="49" fontId="9" fillId="9" borderId="55" xfId="8" applyNumberFormat="1" applyBorder="1" applyAlignment="1">
      <alignment horizontal="left" vertical="center" wrapText="1"/>
    </xf>
    <xf numFmtId="0" fontId="32" fillId="0" borderId="0" xfId="0" applyFont="1" applyAlignment="1">
      <alignment horizontal="left" vertical="center" wrapText="1"/>
    </xf>
    <xf numFmtId="0" fontId="32" fillId="0" borderId="57" xfId="0" applyFont="1" applyBorder="1" applyAlignment="1">
      <alignment horizontal="left" vertical="center" wrapText="1"/>
    </xf>
    <xf numFmtId="0" fontId="15" fillId="2" borderId="61" xfId="2" applyBorder="1" applyAlignment="1" applyProtection="1">
      <alignment horizontal="left" vertical="center" wrapText="1"/>
      <protection locked="0"/>
    </xf>
    <xf numFmtId="0" fontId="15" fillId="2" borderId="75" xfId="2" applyBorder="1" applyAlignment="1" applyProtection="1">
      <alignment horizontal="left" vertical="center" wrapText="1"/>
      <protection locked="0"/>
    </xf>
    <xf numFmtId="0" fontId="15" fillId="2" borderId="59" xfId="2" applyBorder="1" applyAlignment="1" applyProtection="1">
      <alignment horizontal="left" vertical="center" wrapText="1"/>
      <protection locked="0"/>
    </xf>
    <xf numFmtId="0" fontId="15" fillId="25" borderId="61" xfId="2" applyFill="1" applyBorder="1" applyAlignment="1" applyProtection="1">
      <alignment horizontal="left" vertical="center"/>
      <protection locked="0"/>
    </xf>
    <xf numFmtId="0" fontId="15" fillId="25" borderId="59" xfId="2" applyFill="1" applyBorder="1" applyAlignment="1" applyProtection="1">
      <alignment horizontal="left" vertical="center"/>
      <protection locked="0"/>
    </xf>
    <xf numFmtId="44" fontId="14" fillId="20" borderId="0" xfId="14" applyFont="1" applyFill="1" applyAlignment="1">
      <alignment horizontal="left" vertical="center" wrapText="1"/>
    </xf>
    <xf numFmtId="0" fontId="16" fillId="14" borderId="85" xfId="0" applyFont="1" applyFill="1" applyBorder="1" applyAlignment="1">
      <alignment horizontal="left" vertical="center" wrapText="1"/>
    </xf>
    <xf numFmtId="0" fontId="16" fillId="14" borderId="86" xfId="0" applyFont="1" applyFill="1" applyBorder="1" applyAlignment="1">
      <alignment horizontal="left" vertical="center" wrapText="1"/>
    </xf>
    <xf numFmtId="0" fontId="14" fillId="20" borderId="0" xfId="0" applyFont="1" applyFill="1" applyAlignment="1">
      <alignment horizontal="left" vertical="center" wrapText="1"/>
    </xf>
    <xf numFmtId="49" fontId="15" fillId="2" borderId="40" xfId="2" applyNumberFormat="1" applyBorder="1" applyAlignment="1" applyProtection="1">
      <alignment horizontal="left" vertical="center" wrapText="1"/>
      <protection locked="0"/>
    </xf>
    <xf numFmtId="49" fontId="15" fillId="2" borderId="55" xfId="2" applyNumberFormat="1" applyBorder="1" applyAlignment="1" applyProtection="1">
      <alignment horizontal="left" vertical="center" wrapText="1"/>
      <protection locked="0"/>
    </xf>
    <xf numFmtId="0" fontId="12" fillId="0" borderId="0" xfId="0" applyFont="1" applyAlignment="1">
      <alignment horizontal="left" vertical="center" wrapText="1"/>
    </xf>
    <xf numFmtId="0" fontId="12" fillId="0" borderId="42" xfId="0" applyFont="1" applyBorder="1" applyAlignment="1">
      <alignment horizontal="left" vertical="center" wrapText="1"/>
    </xf>
    <xf numFmtId="0" fontId="16" fillId="0" borderId="0" xfId="0" applyFont="1" applyAlignment="1">
      <alignment horizontal="left" vertical="center" wrapText="1"/>
    </xf>
    <xf numFmtId="0" fontId="16" fillId="0" borderId="42" xfId="0" applyFont="1" applyBorder="1" applyAlignment="1">
      <alignment horizontal="left" vertical="center" wrapText="1"/>
    </xf>
    <xf numFmtId="0" fontId="18" fillId="0" borderId="0" xfId="0" applyFont="1" applyAlignment="1">
      <alignment horizontal="left" vertical="center" wrapText="1"/>
    </xf>
    <xf numFmtId="0" fontId="18" fillId="0" borderId="42" xfId="0" applyFont="1" applyBorder="1" applyAlignment="1">
      <alignment horizontal="left" vertical="center" wrapText="1"/>
    </xf>
    <xf numFmtId="0" fontId="13" fillId="18" borderId="15" xfId="0" applyFont="1" applyFill="1" applyBorder="1" applyAlignment="1">
      <alignment horizontal="center" vertical="center" wrapText="1"/>
    </xf>
    <xf numFmtId="0" fontId="13" fillId="18" borderId="60" xfId="0" applyFont="1" applyFill="1" applyBorder="1" applyAlignment="1">
      <alignment horizontal="center" vertical="center" wrapText="1"/>
    </xf>
    <xf numFmtId="0" fontId="13" fillId="18" borderId="64" xfId="0" applyFont="1" applyFill="1" applyBorder="1" applyAlignment="1">
      <alignment horizontal="center" vertical="center" wrapText="1"/>
    </xf>
    <xf numFmtId="0" fontId="39" fillId="0" borderId="1" xfId="1" applyAlignment="1">
      <alignment horizontal="left" vertical="top"/>
    </xf>
    <xf numFmtId="0" fontId="13" fillId="8" borderId="15" xfId="0" applyFont="1" applyFill="1" applyBorder="1" applyAlignment="1">
      <alignment horizontal="center" vertical="center" wrapText="1"/>
    </xf>
    <xf numFmtId="0" fontId="13" fillId="8" borderId="60" xfId="0" applyFont="1" applyFill="1" applyBorder="1" applyAlignment="1">
      <alignment horizontal="center" vertical="center" wrapText="1"/>
    </xf>
    <xf numFmtId="0" fontId="13" fillId="8" borderId="64" xfId="0" applyFont="1" applyFill="1" applyBorder="1" applyAlignment="1">
      <alignment horizontal="center" vertical="center" wrapText="1"/>
    </xf>
    <xf numFmtId="0" fontId="17" fillId="0" borderId="0" xfId="0" applyFont="1" applyAlignment="1">
      <alignment horizontal="left" vertical="center" wrapText="1"/>
    </xf>
    <xf numFmtId="0" fontId="40" fillId="0" borderId="26" xfId="11"/>
    <xf numFmtId="0" fontId="10" fillId="0" borderId="0" xfId="0" applyFont="1" applyAlignment="1">
      <alignment horizontal="left" vertical="center" wrapText="1"/>
    </xf>
    <xf numFmtId="0" fontId="10" fillId="0" borderId="42" xfId="0" applyFont="1" applyBorder="1" applyAlignment="1">
      <alignment horizontal="left" vertical="center" wrapText="1"/>
    </xf>
    <xf numFmtId="0" fontId="14" fillId="5" borderId="42" xfId="5" applyFont="1" applyBorder="1" applyAlignment="1">
      <alignment horizontal="left" vertical="center" wrapText="1"/>
    </xf>
    <xf numFmtId="0" fontId="22" fillId="0" borderId="0" xfId="0" applyFont="1" applyAlignment="1">
      <alignment horizontal="left" vertical="center" wrapText="1"/>
    </xf>
    <xf numFmtId="0" fontId="50" fillId="8" borderId="0" xfId="0" applyFont="1" applyFill="1" applyAlignment="1">
      <alignment horizontal="left" vertical="center" wrapText="1"/>
    </xf>
    <xf numFmtId="0" fontId="51" fillId="0" borderId="0" xfId="0" applyFont="1" applyAlignment="1">
      <alignment horizontal="center" wrapText="1"/>
    </xf>
    <xf numFmtId="3" fontId="56" fillId="0" borderId="0" xfId="0" applyNumberFormat="1" applyFont="1" applyAlignment="1">
      <alignment horizontal="center" wrapText="1"/>
    </xf>
    <xf numFmtId="0" fontId="57" fillId="9" borderId="2" xfId="16" applyFont="1">
      <alignment vertical="center"/>
    </xf>
    <xf numFmtId="0" fontId="58" fillId="0" borderId="0" xfId="0" applyFont="1" applyAlignment="1">
      <alignment vertical="top" wrapText="1"/>
    </xf>
    <xf numFmtId="0" fontId="55" fillId="38" borderId="40" xfId="15" applyFont="1" applyBorder="1" applyAlignment="1">
      <alignment horizontal="left" vertical="center" wrapText="1"/>
      <protection locked="0"/>
    </xf>
    <xf numFmtId="0" fontId="55" fillId="38" borderId="55" xfId="15" applyFont="1" applyBorder="1" applyAlignment="1">
      <alignment horizontal="left" vertical="center" wrapText="1"/>
      <protection locked="0"/>
    </xf>
    <xf numFmtId="14" fontId="55" fillId="38" borderId="40" xfId="15" applyNumberFormat="1" applyFont="1" applyBorder="1" applyAlignment="1">
      <alignment horizontal="left" vertical="center" wrapText="1"/>
      <protection locked="0"/>
    </xf>
    <xf numFmtId="14" fontId="55" fillId="38" borderId="55" xfId="15" applyNumberFormat="1" applyFont="1" applyBorder="1" applyAlignment="1">
      <alignment horizontal="left" vertical="center" wrapText="1"/>
      <protection locked="0"/>
    </xf>
    <xf numFmtId="0" fontId="38" fillId="38" borderId="40" xfId="15" applyFont="1" applyBorder="1" applyAlignment="1">
      <alignment horizontal="left" vertical="center" wrapText="1"/>
      <protection locked="0"/>
    </xf>
    <xf numFmtId="0" fontId="57" fillId="9" borderId="40" xfId="16" applyFont="1" applyBorder="1" applyAlignment="1">
      <alignment horizontal="left" vertical="center" wrapText="1"/>
    </xf>
    <xf numFmtId="0" fontId="57" fillId="9" borderId="55" xfId="16" applyFont="1" applyBorder="1" applyAlignment="1">
      <alignment horizontal="left" vertical="center" wrapText="1"/>
    </xf>
    <xf numFmtId="0" fontId="60" fillId="0" borderId="0" xfId="0" applyFont="1" applyAlignment="1">
      <alignment horizontal="center" vertical="top" wrapText="1"/>
    </xf>
    <xf numFmtId="169" fontId="60" fillId="0" borderId="0" xfId="0" applyNumberFormat="1" applyFont="1" applyAlignment="1">
      <alignment horizontal="center" wrapText="1"/>
    </xf>
    <xf numFmtId="0" fontId="64" fillId="0" borderId="88" xfId="0" applyFont="1" applyBorder="1" applyAlignment="1">
      <alignment horizontal="left" vertical="top" wrapText="1"/>
    </xf>
    <xf numFmtId="0" fontId="64" fillId="0" borderId="0" xfId="0" applyFont="1" applyAlignment="1">
      <alignment horizontal="left" vertical="top" wrapText="1"/>
    </xf>
    <xf numFmtId="0" fontId="64" fillId="0" borderId="87" xfId="0" applyFont="1" applyBorder="1" applyAlignment="1">
      <alignment horizontal="left" vertical="top" wrapText="1"/>
    </xf>
    <xf numFmtId="170" fontId="64" fillId="0" borderId="88" xfId="0" applyNumberFormat="1" applyFont="1" applyBorder="1" applyAlignment="1">
      <alignment horizontal="right"/>
    </xf>
    <xf numFmtId="170" fontId="64" fillId="0" borderId="42" xfId="0" applyNumberFormat="1" applyFont="1" applyBorder="1" applyAlignment="1">
      <alignment horizontal="right"/>
    </xf>
    <xf numFmtId="0" fontId="65" fillId="8" borderId="89" xfId="0" applyFont="1" applyFill="1" applyBorder="1" applyAlignment="1">
      <alignment horizontal="center"/>
    </xf>
    <xf numFmtId="0" fontId="39" fillId="0" borderId="1" xfId="1" applyAlignment="1">
      <alignment horizontal="left" wrapText="1"/>
    </xf>
    <xf numFmtId="0" fontId="59" fillId="0" borderId="1" xfId="1" applyFont="1" applyAlignment="1">
      <alignment horizontal="left" wrapText="1"/>
    </xf>
    <xf numFmtId="0" fontId="48" fillId="0" borderId="0" xfId="0" applyFont="1" applyAlignment="1">
      <alignment wrapText="1"/>
    </xf>
    <xf numFmtId="0" fontId="46" fillId="20" borderId="0" xfId="24">
      <alignment horizontal="right" vertical="center" wrapText="1"/>
    </xf>
    <xf numFmtId="0" fontId="54" fillId="20" borderId="0" xfId="24" applyFont="1">
      <alignment horizontal="right" vertical="center" wrapText="1"/>
    </xf>
    <xf numFmtId="0" fontId="16" fillId="0" borderId="0" xfId="0" applyFont="1" applyAlignment="1">
      <alignment vertical="center" wrapText="1"/>
    </xf>
    <xf numFmtId="0" fontId="38" fillId="38" borderId="2" xfId="15" applyAlignment="1">
      <alignment horizontal="left" vertical="center" wrapText="1"/>
      <protection locked="0"/>
    </xf>
    <xf numFmtId="0" fontId="67" fillId="8" borderId="0" xfId="0" applyFont="1" applyFill="1" applyAlignment="1">
      <alignment horizontal="center" vertical="center" wrapText="1"/>
    </xf>
    <xf numFmtId="0" fontId="38" fillId="38" borderId="40" xfId="15" applyFont="1" applyBorder="1" applyAlignment="1">
      <alignment vertical="top" wrapText="1"/>
      <protection locked="0"/>
    </xf>
    <xf numFmtId="0" fontId="55" fillId="38" borderId="54" xfId="15" applyFont="1" applyBorder="1" applyAlignment="1">
      <alignment vertical="top" wrapText="1"/>
      <protection locked="0"/>
    </xf>
    <xf numFmtId="0" fontId="55" fillId="38" borderId="55" xfId="15" applyFont="1" applyBorder="1" applyAlignment="1">
      <alignment vertical="top" wrapText="1"/>
      <protection locked="0"/>
    </xf>
    <xf numFmtId="0" fontId="67" fillId="8" borderId="0" xfId="0" applyFont="1" applyFill="1" applyAlignment="1" applyProtection="1">
      <alignment horizontal="center" vertical="center" wrapText="1"/>
      <protection locked="0"/>
    </xf>
    <xf numFmtId="0" fontId="39" fillId="0" borderId="1" xfId="1" applyProtection="1">
      <protection locked="0"/>
    </xf>
    <xf numFmtId="0" fontId="59" fillId="0" borderId="1" xfId="1" applyFont="1" applyProtection="1">
      <protection locked="0"/>
    </xf>
    <xf numFmtId="0" fontId="39" fillId="0" borderId="1" xfId="1"/>
    <xf numFmtId="0" fontId="59" fillId="0" borderId="1" xfId="1" applyFont="1"/>
    <xf numFmtId="0" fontId="63" fillId="0" borderId="26" xfId="11" applyFont="1" applyAlignment="1">
      <alignment wrapText="1"/>
    </xf>
    <xf numFmtId="0" fontId="55" fillId="38" borderId="54" xfId="15" applyFont="1" applyBorder="1" applyAlignment="1">
      <alignment horizontal="left" vertical="center" wrapText="1"/>
      <protection locked="0"/>
    </xf>
    <xf numFmtId="0" fontId="54" fillId="20" borderId="0" xfId="24" applyFont="1" applyAlignment="1">
      <alignment horizontal="right" wrapText="1"/>
    </xf>
    <xf numFmtId="0" fontId="40" fillId="0" borderId="26" xfId="11" applyAlignment="1">
      <alignment horizontal="left"/>
    </xf>
    <xf numFmtId="0" fontId="5" fillId="3" borderId="0" xfId="3" applyFont="1" applyAlignment="1">
      <alignment horizontal="center" wrapText="1"/>
    </xf>
    <xf numFmtId="0" fontId="5" fillId="5" borderId="0" xfId="5" applyFont="1" applyAlignment="1">
      <alignment horizontal="center" wrapText="1"/>
    </xf>
    <xf numFmtId="0" fontId="16" fillId="0" borderId="27" xfId="0" applyFont="1" applyBorder="1" applyAlignment="1">
      <alignment horizontal="left" vertical="top" wrapText="1"/>
    </xf>
    <xf numFmtId="0" fontId="16" fillId="0" borderId="28" xfId="0" applyFont="1" applyBorder="1" applyAlignment="1">
      <alignment horizontal="left" vertical="top" wrapText="1"/>
    </xf>
    <xf numFmtId="0" fontId="16" fillId="0" borderId="29" xfId="0" applyFont="1" applyBorder="1" applyAlignment="1">
      <alignment horizontal="left" vertical="top" wrapText="1"/>
    </xf>
    <xf numFmtId="0" fontId="3" fillId="19" borderId="0" xfId="4" applyFont="1" applyFill="1" applyAlignment="1">
      <alignment horizontal="center" wrapText="1"/>
    </xf>
    <xf numFmtId="0" fontId="5" fillId="18" borderId="0" xfId="5" applyFont="1" applyFill="1" applyAlignment="1">
      <alignment horizontal="center" vertical="center" textRotation="90"/>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14" borderId="20" xfId="0" applyFill="1" applyBorder="1" applyAlignment="1">
      <alignment horizontal="center" vertical="center" wrapText="1"/>
    </xf>
    <xf numFmtId="0" fontId="0" fillId="14" borderId="21" xfId="0" applyFill="1" applyBorder="1" applyAlignment="1">
      <alignment horizontal="center" vertical="center" wrapText="1"/>
    </xf>
    <xf numFmtId="0" fontId="0" fillId="14" borderId="22" xfId="0" applyFill="1" applyBorder="1" applyAlignment="1">
      <alignment horizontal="center" vertical="center" wrapText="1"/>
    </xf>
    <xf numFmtId="0" fontId="5" fillId="5" borderId="0" xfId="5" applyFont="1" applyAlignment="1">
      <alignment horizontal="center" vertical="center" textRotation="90"/>
    </xf>
    <xf numFmtId="0" fontId="5" fillId="3" borderId="0" xfId="3" applyFont="1" applyAlignment="1">
      <alignment horizontal="center" vertical="center" textRotation="90"/>
    </xf>
    <xf numFmtId="0" fontId="8" fillId="0" borderId="0" xfId="0" applyFont="1" applyAlignment="1">
      <alignment horizontal="center"/>
    </xf>
    <xf numFmtId="0" fontId="3" fillId="19" borderId="0" xfId="6" applyFont="1" applyFill="1" applyAlignment="1">
      <alignment horizontal="center" wrapText="1"/>
    </xf>
    <xf numFmtId="0" fontId="3" fillId="4" borderId="0" xfId="4" applyFont="1" applyAlignment="1">
      <alignment horizontal="center" wrapText="1"/>
    </xf>
    <xf numFmtId="0" fontId="5" fillId="15" borderId="60" xfId="6" applyFont="1" applyFill="1" applyBorder="1" applyAlignment="1">
      <alignment horizontal="center"/>
    </xf>
    <xf numFmtId="0" fontId="5" fillId="15" borderId="0" xfId="6" applyFont="1" applyFill="1" applyAlignment="1">
      <alignment horizontal="center"/>
    </xf>
  </cellXfs>
  <cellStyles count="26">
    <cellStyle name="Accent1" xfId="3" builtinId="29"/>
    <cellStyle name="Accent2" xfId="4" builtinId="33"/>
    <cellStyle name="Accent3" xfId="5" builtinId="37"/>
    <cellStyle name="Accent4" xfId="6" builtinId="41"/>
    <cellStyle name="Accent5" xfId="9" builtinId="45"/>
    <cellStyle name="Bad" xfId="18" builtinId="27" hidden="1"/>
    <cellStyle name="Calculation" xfId="8" builtinId="22"/>
    <cellStyle name="Calculation (CAS)" xfId="16"/>
    <cellStyle name="Check Cell" xfId="22" builtinId="23" hidden="1"/>
    <cellStyle name="Column Title" xfId="25"/>
    <cellStyle name="Comma" xfId="12" builtinId="3"/>
    <cellStyle name="Compulsory Input" xfId="13"/>
    <cellStyle name="Currency" xfId="14" builtinId="4"/>
    <cellStyle name="Field Title" xfId="24"/>
    <cellStyle name="Good" xfId="17" builtinId="26" hidden="1"/>
    <cellStyle name="Heading 1" xfId="1" builtinId="16" customBuiltin="1"/>
    <cellStyle name="Heading 2" xfId="11" builtinId="17" customBuiltin="1"/>
    <cellStyle name="Input" xfId="2" builtinId="20" customBuiltin="1"/>
    <cellStyle name="Input (CAS)" xfId="15"/>
    <cellStyle name="Linked Cell" xfId="21" builtinId="24" hidden="1"/>
    <cellStyle name="Neutral" xfId="19" builtinId="28" hidden="1"/>
    <cellStyle name="Normal" xfId="0" builtinId="0"/>
    <cellStyle name="Output" xfId="20" builtinId="21" hidden="1"/>
    <cellStyle name="Percent" xfId="7" builtinId="5"/>
    <cellStyle name="Scoring Criteria" xfId="10"/>
    <cellStyle name="Warning Text" xfId="23" builtinId="11" hidden="1"/>
  </cellStyles>
  <dxfs count="263">
    <dxf>
      <numFmt numFmtId="0" formatCode="General"/>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alignment horizontal="general" vertical="top" textRotation="0" wrapText="1" indent="0" justifyLastLine="0" shrinkToFit="0" readingOrder="0"/>
      <protection locked="1" hidden="0"/>
    </dxf>
    <dxf>
      <protection locked="1" hidden="0"/>
    </dxf>
    <dxf>
      <border outline="0">
        <top style="thin">
          <color theme="7"/>
        </top>
      </border>
    </dxf>
    <dxf>
      <protection locked="1" hidden="0"/>
    </dxf>
    <dxf>
      <font>
        <b/>
        <i val="0"/>
        <strike val="0"/>
        <condense val="0"/>
        <extend val="0"/>
        <outline val="0"/>
        <shadow val="0"/>
        <u val="none"/>
        <vertAlign val="baseline"/>
        <sz val="11"/>
        <color theme="0"/>
        <name val="Calibri"/>
        <scheme val="minor"/>
      </font>
      <fill>
        <patternFill patternType="solid">
          <fgColor indexed="64"/>
          <bgColor theme="5"/>
        </patternFill>
      </fill>
      <protection locked="1" hidden="0"/>
    </dxf>
    <dxf>
      <numFmt numFmtId="164" formatCode="0.0"/>
      <protection locked="1" hidden="0"/>
    </dxf>
    <dxf>
      <protection locked="1" hidden="0"/>
    </dxf>
    <dxf>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numFmt numFmtId="164" formatCode="0.0"/>
      <protection locked="1" hidden="0"/>
    </dxf>
    <dxf>
      <protection locked="1" hidden="0"/>
    </dxf>
    <dxf>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font>
        <b val="0"/>
        <i val="0"/>
        <strike val="0"/>
        <condense val="0"/>
        <extend val="0"/>
        <outline val="0"/>
        <shadow val="0"/>
        <u val="none"/>
        <vertAlign val="baseline"/>
        <sz val="10"/>
        <color rgb="FF3F3F76"/>
        <name val="Calibri"/>
        <scheme val="minor"/>
      </font>
      <numFmt numFmtId="2" formatCode="0.00"/>
      <fill>
        <patternFill patternType="solid">
          <fgColor indexed="64"/>
          <bgColor rgb="FFFFCC99"/>
        </patternFill>
      </fill>
      <border diagonalUp="0" diagonalDown="0">
        <left style="thin">
          <color rgb="FF7F7F7F"/>
        </left>
        <right style="thin">
          <color rgb="FF7F7F7F"/>
        </right>
        <top style="thin">
          <color rgb="FF7F7F7F"/>
        </top>
        <bottom style="thin">
          <color rgb="FF7F7F7F"/>
        </bottom>
      </border>
      <protection locked="1" hidden="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border>
        <right style="thin">
          <color rgb="FF7F7F7F"/>
        </right>
      </border>
      <protection locked="1" hidden="0"/>
    </dxf>
    <dxf>
      <protection locked="1" hidden="0"/>
    </dxf>
    <dxf>
      <protection locked="1" hidden="0"/>
    </dxf>
    <dxf>
      <protection locked="1" hidden="0"/>
    </dxf>
    <dxf>
      <protection locked="1" hidden="0"/>
    </dxf>
    <dxf>
      <border outline="0">
        <left style="thin">
          <color theme="8" tint="0.39997558519241921"/>
        </left>
        <right style="thin">
          <color theme="8" tint="0.39997558519241921"/>
        </right>
        <top style="thin">
          <color theme="8" tint="0.39997558519241921"/>
        </top>
      </border>
    </dxf>
    <dxf>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protection locked="1" hidden="0"/>
    </dxf>
    <dxf>
      <protection locked="1" hidden="0"/>
    </dxf>
    <dxf>
      <border outline="0">
        <left style="thin">
          <color theme="8" tint="0.39997558519241921"/>
        </left>
        <right style="thin">
          <color theme="8" tint="0.39997558519241921"/>
        </right>
        <top style="thin">
          <color theme="8" tint="0.39997558519241921"/>
        </top>
      </border>
    </dxf>
    <dxf>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8" tint="0.79998168889431442"/>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1"/>
        <color auto="1"/>
        <name val="Calibri"/>
        <scheme val="minor"/>
      </font>
      <numFmt numFmtId="164" formatCode="0.0"/>
      <fill>
        <patternFill patternType="solid">
          <fgColor theme="8" tint="0.79998168889431442"/>
          <bgColor theme="4" tint="0.79998168889431442"/>
        </patternFill>
      </fill>
      <alignment horizontal="right" vertical="bottom" textRotation="0" wrapText="0" indent="0" justifyLastLine="0" shrinkToFit="0" readingOrder="0"/>
      <border diagonalUp="0" diagonalDown="0">
        <left/>
        <right/>
        <top style="thin">
          <color theme="8" tint="0.39997558519241921"/>
        </top>
        <bottom/>
        <vertical/>
        <horizontal/>
      </border>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4" tint="0.79998168889431442"/>
        </patternFill>
      </fill>
      <border diagonalUp="0" diagonalDown="0">
        <left/>
        <right/>
        <top style="thin">
          <color theme="8" tint="0.39997558519241921"/>
        </top>
        <bottom/>
        <vertical/>
        <horizontal/>
      </border>
      <protection locked="1" hidden="0"/>
    </dxf>
    <dxf>
      <font>
        <b val="0"/>
        <i val="0"/>
        <strike val="0"/>
        <condense val="0"/>
        <extend val="0"/>
        <outline val="0"/>
        <shadow val="0"/>
        <u val="none"/>
        <vertAlign val="baseline"/>
        <sz val="11"/>
        <color auto="1"/>
        <name val="Calibri"/>
        <scheme val="minor"/>
      </font>
      <numFmt numFmtId="164" formatCode="0.0"/>
      <fill>
        <patternFill patternType="solid">
          <fgColor theme="8" tint="0.79998168889431442"/>
          <bgColor theme="4" tint="0.79998168889431442"/>
        </patternFill>
      </fill>
      <border diagonalUp="0" diagonalDown="0">
        <left/>
        <right/>
        <top style="thin">
          <color theme="8" tint="0.39997558519241921"/>
        </top>
        <bottom/>
        <vertical/>
        <horizontal/>
      </border>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4" tint="0.79998168889431442"/>
        </patternFill>
      </fill>
      <border diagonalUp="0" diagonalDown="0">
        <left/>
        <right/>
        <top style="thin">
          <color theme="8" tint="0.39997558519241921"/>
        </top>
        <bottom/>
        <vertical/>
        <horizontal/>
      </border>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4" tint="0.79998168889431442"/>
        </patternFill>
      </fill>
      <border diagonalUp="0" diagonalDown="0">
        <left/>
        <right/>
        <top style="thin">
          <color theme="8" tint="0.39997558519241921"/>
        </top>
        <bottom/>
        <vertical/>
        <horizontal/>
      </border>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4" tint="0.79998168889431442"/>
        </patternFill>
      </fill>
      <border diagonalUp="0" diagonalDown="0">
        <left/>
        <right/>
        <top style="thin">
          <color theme="8" tint="0.39997558519241921"/>
        </top>
        <bottom/>
        <vertical/>
        <horizontal/>
      </border>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4" tint="0.79998168889431442"/>
        </patternFill>
      </fill>
      <border diagonalUp="0" diagonalDown="0">
        <left/>
        <right/>
        <top style="thin">
          <color theme="8" tint="0.39997558519241921"/>
        </top>
        <bottom/>
        <vertical/>
        <horizontal/>
      </border>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font>
        <strike val="0"/>
        <outline val="0"/>
        <shadow val="0"/>
        <u val="none"/>
        <vertAlign val="baseline"/>
        <sz val="11"/>
        <color auto="1"/>
        <name val="Calibri"/>
        <scheme val="minor"/>
      </font>
      <protection locked="1" hidden="0"/>
    </dxf>
    <dxf>
      <font>
        <strike val="0"/>
        <outline val="0"/>
        <shadow val="0"/>
        <u val="none"/>
        <vertAlign val="baseline"/>
        <sz val="11"/>
        <color auto="1"/>
        <name val="Calibri"/>
        <scheme val="minor"/>
      </font>
      <protection locked="1" hidden="0"/>
    </dxf>
    <dxf>
      <font>
        <strike val="0"/>
        <outline val="0"/>
        <shadow val="0"/>
        <u val="none"/>
        <vertAlign val="baseline"/>
        <sz val="11"/>
        <color auto="1"/>
        <name val="Calibri"/>
        <scheme val="minor"/>
      </font>
      <protection locked="1" hidden="0"/>
    </dxf>
    <dxf>
      <font>
        <strike val="0"/>
        <outline val="0"/>
        <shadow val="0"/>
        <u val="none"/>
        <vertAlign val="baseline"/>
        <sz val="11"/>
        <color theme="0"/>
        <name val="Calibri"/>
        <scheme val="minor"/>
      </font>
      <fill>
        <patternFill patternType="solid">
          <fgColor indexed="64"/>
          <bgColor theme="5"/>
        </patternFill>
      </fill>
      <protection locked="1" hidden="0"/>
    </dxf>
    <dxf>
      <protection locked="1" hidden="0"/>
    </dxf>
    <dxf>
      <protection locked="1" hidden="0"/>
    </dxf>
    <dxf>
      <fill>
        <patternFill patternType="solid">
          <fgColor indexed="64"/>
          <bgColor theme="5"/>
        </patternFill>
      </fill>
      <protection locked="1" hidden="0"/>
    </dxf>
    <dxf>
      <font>
        <b val="0"/>
        <i val="0"/>
        <strike val="0"/>
        <condense val="0"/>
        <extend val="0"/>
        <outline val="0"/>
        <shadow val="0"/>
        <u val="none"/>
        <vertAlign val="baseline"/>
        <sz val="11"/>
        <color auto="1"/>
        <name val="Calibri"/>
        <scheme val="minor"/>
      </font>
      <protection locked="1" hidden="0"/>
    </dxf>
    <dxf>
      <font>
        <b val="0"/>
        <i val="0"/>
        <strike val="0"/>
        <condense val="0"/>
        <extend val="0"/>
        <outline val="0"/>
        <shadow val="0"/>
        <u val="none"/>
        <vertAlign val="baseline"/>
        <sz val="11"/>
        <color auto="1"/>
        <name val="Calibri"/>
        <scheme val="minor"/>
      </font>
      <protection locked="1" hidden="0"/>
    </dxf>
    <dxf>
      <font>
        <b/>
        <i val="0"/>
        <strike val="0"/>
        <condense val="0"/>
        <extend val="0"/>
        <outline val="0"/>
        <shadow val="0"/>
        <u val="none"/>
        <vertAlign val="baseline"/>
        <sz val="11"/>
        <color theme="0"/>
        <name val="Calibri"/>
        <scheme val="minor"/>
      </font>
      <fill>
        <patternFill patternType="solid">
          <fgColor indexed="64"/>
          <bgColor theme="5"/>
        </patternFill>
      </fill>
      <protection locked="1" hidden="0"/>
    </dxf>
    <dxf>
      <protection locked="1" hidden="0"/>
    </dxf>
    <dxf>
      <border outline="0">
        <top style="thin">
          <color theme="7"/>
        </top>
      </border>
    </dxf>
    <dxf>
      <protection locked="1" hidden="0"/>
    </dxf>
    <dxf>
      <font>
        <b/>
        <i val="0"/>
        <strike val="0"/>
        <condense val="0"/>
        <extend val="0"/>
        <outline val="0"/>
        <shadow val="0"/>
        <u val="none"/>
        <vertAlign val="baseline"/>
        <sz val="11"/>
        <color theme="0"/>
        <name val="Calibri"/>
        <scheme val="minor"/>
      </font>
      <fill>
        <patternFill patternType="solid">
          <fgColor indexed="64"/>
          <bgColor theme="5"/>
        </patternFill>
      </fill>
      <protection locked="1" hidden="0"/>
    </dxf>
    <dxf>
      <font>
        <b val="0"/>
        <i val="0"/>
        <strike val="0"/>
        <condense val="0"/>
        <extend val="0"/>
        <outline val="0"/>
        <shadow val="0"/>
        <u val="none"/>
        <vertAlign val="baseline"/>
        <sz val="11"/>
        <color auto="1"/>
        <name val="Calibri"/>
        <scheme val="minor"/>
      </font>
      <numFmt numFmtId="164" formatCode="0.0"/>
      <fill>
        <patternFill patternType="solid">
          <fgColor theme="8" tint="0.79998168889431442"/>
          <bgColor theme="6" tint="0.79998168889431442"/>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auto="1"/>
        <name val="Calibri"/>
        <scheme val="minor"/>
      </font>
      <numFmt numFmtId="1" formatCode="0"/>
      <fill>
        <patternFill patternType="solid">
          <fgColor theme="8" tint="0.79998168889431442"/>
          <bgColor theme="6" tint="0.79998168889431442"/>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6" tint="0.79998168889431442"/>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auto="1"/>
        <name val="Calibri"/>
        <scheme val="minor"/>
      </font>
      <numFmt numFmtId="164" formatCode="0.0"/>
      <fill>
        <patternFill patternType="solid">
          <fgColor theme="8" tint="0.79998168889431442"/>
          <bgColor theme="8" tint="0.79998168889431442"/>
        </patternFill>
      </fill>
      <alignment horizontal="right" vertical="bottom" textRotation="0" wrapText="0" indent="0" justifyLastLine="0" shrinkToFit="0" readingOrder="0"/>
      <border diagonalUp="0" diagonalDown="0">
        <left/>
        <right/>
        <top style="thin">
          <color theme="8" tint="0.39997558519241921"/>
        </top>
        <bottom/>
      </border>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8" tint="0.79998168889431442"/>
        </patternFill>
      </fill>
      <border diagonalUp="0" diagonalDown="0">
        <left/>
        <right/>
        <top style="thin">
          <color theme="8" tint="0.39997558519241921"/>
        </top>
        <bottom/>
      </border>
      <protection locked="1" hidden="0"/>
    </dxf>
    <dxf>
      <font>
        <b val="0"/>
        <i val="0"/>
        <strike val="0"/>
        <condense val="0"/>
        <extend val="0"/>
        <outline val="0"/>
        <shadow val="0"/>
        <u val="none"/>
        <vertAlign val="baseline"/>
        <sz val="11"/>
        <color auto="1"/>
        <name val="Calibri"/>
        <scheme val="minor"/>
      </font>
      <numFmt numFmtId="164" formatCode="0.0"/>
      <fill>
        <patternFill patternType="solid">
          <fgColor theme="8" tint="0.79998168889431442"/>
          <bgColor theme="8" tint="0.79998168889431442"/>
        </patternFill>
      </fill>
      <border diagonalUp="0" diagonalDown="0">
        <left/>
        <right/>
        <top style="thin">
          <color theme="8" tint="0.39997558519241921"/>
        </top>
        <bottom/>
      </border>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8" tint="0.79998168889431442"/>
        </patternFill>
      </fill>
      <border diagonalUp="0" diagonalDown="0">
        <left/>
        <right/>
        <top style="thin">
          <color theme="8" tint="0.39997558519241921"/>
        </top>
        <bottom/>
      </border>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8" tint="0.79998168889431442"/>
        </patternFill>
      </fill>
      <border diagonalUp="0" diagonalDown="0">
        <left/>
        <right/>
        <top style="thin">
          <color theme="8" tint="0.39997558519241921"/>
        </top>
        <bottom/>
      </border>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8" tint="0.79998168889431442"/>
        </patternFill>
      </fill>
      <border diagonalUp="0" diagonalDown="0">
        <left/>
        <right/>
        <top style="thin">
          <color theme="8" tint="0.39997558519241921"/>
        </top>
        <bottom/>
      </border>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8" tint="0.79998168889431442"/>
        </patternFill>
      </fill>
      <border diagonalUp="0" diagonalDown="0">
        <left/>
        <right/>
        <top style="thin">
          <color theme="8" tint="0.39997558519241921"/>
        </top>
        <bottom/>
      </border>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8" tint="0.79998168889431442"/>
        </patternFill>
      </fill>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font>
        <b val="0"/>
        <i val="0"/>
        <strike val="0"/>
        <condense val="0"/>
        <extend val="0"/>
        <outline val="0"/>
        <shadow val="0"/>
        <u val="none"/>
        <vertAlign val="baseline"/>
        <sz val="11"/>
        <color auto="1"/>
        <name val="Calibri"/>
        <scheme val="minor"/>
      </font>
      <fill>
        <patternFill patternType="solid">
          <fgColor theme="8" tint="0.79998168889431442"/>
          <bgColor theme="8" tint="0.79998168889431442"/>
        </patternFill>
      </fill>
      <border diagonalUp="0" diagonalDown="0">
        <left/>
        <right/>
        <top style="thin">
          <color theme="8" tint="0.39997558519241921"/>
        </top>
        <bottom/>
      </border>
      <protection locked="1" hidden="0"/>
    </dxf>
    <dxf>
      <border outline="0">
        <bottom style="thin">
          <color theme="8" tint="0.39997558519241921"/>
        </bottom>
      </border>
    </dxf>
    <dxf>
      <font>
        <b val="0"/>
        <i val="0"/>
        <strike val="0"/>
        <condense val="0"/>
        <extend val="0"/>
        <outline val="0"/>
        <shadow val="0"/>
        <u val="none"/>
        <vertAlign val="baseline"/>
        <sz val="11"/>
        <color auto="1"/>
        <name val="Calibri"/>
        <scheme val="minor"/>
      </font>
      <fill>
        <patternFill patternType="solid">
          <fgColor theme="8" tint="0.79998168889431442"/>
          <bgColor theme="8" tint="0.79998168889431442"/>
        </patternFill>
      </fill>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protection locked="1" hidden="0"/>
    </dxf>
    <dxf>
      <protection locked="1" hidden="0"/>
    </dxf>
    <dxf>
      <fill>
        <patternFill patternType="solid">
          <fgColor indexed="64"/>
          <bgColor theme="5"/>
        </patternFill>
      </fill>
      <protection locked="1" hidden="0"/>
    </dxf>
    <dxf>
      <numFmt numFmtId="164" formatCode="0.0"/>
      <protection locked="1" hidden="0"/>
    </dxf>
    <dxf>
      <protection locked="1" hidden="0"/>
    </dxf>
    <dxf>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numFmt numFmtId="164" formatCode="0.0"/>
      <protection locked="1" hidden="0"/>
    </dxf>
    <dxf>
      <protection locked="1" hidden="0"/>
    </dxf>
    <dxf>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numFmt numFmtId="164" formatCode="0.0"/>
      <protection locked="1" hidden="0"/>
    </dxf>
    <dxf>
      <protection locked="1" hidden="0"/>
    </dxf>
    <dxf>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numFmt numFmtId="164" formatCode="0.0"/>
      <protection locked="1" hidden="0"/>
    </dxf>
    <dxf>
      <protection locked="1" hidden="0"/>
    </dxf>
    <dxf>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numFmt numFmtId="164" formatCode="0.0"/>
      <protection locked="1" hidden="0"/>
    </dxf>
    <dxf>
      <protection locked="1" hidden="0"/>
    </dxf>
    <dxf>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font>
        <b val="0"/>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border diagonalUp="0" diagonalDown="0">
        <left style="thin">
          <color theme="0"/>
        </left>
        <right/>
        <top style="thin">
          <color theme="8" tint="0.39997558519241921"/>
        </top>
        <bottom/>
        <vertical/>
        <horizontal/>
      </border>
      <protection locked="1" hidden="0"/>
    </dxf>
    <dxf>
      <font>
        <b val="0"/>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border diagonalUp="0" diagonalDown="0">
        <left/>
        <right/>
        <top style="thin">
          <color theme="8" tint="0.39997558519241921"/>
        </top>
        <bottom/>
        <vertical/>
        <horizontal/>
      </border>
      <protection locked="1" hidden="0"/>
    </dxf>
    <dxf>
      <border outline="0">
        <left style="thin">
          <color theme="8" tint="0.39997558519241921"/>
        </left>
        <right style="thin">
          <color theme="8" tint="0.39997558519241921"/>
        </right>
        <top style="thin">
          <color theme="8" tint="0.39997558519241921"/>
        </top>
        <bottom style="thin">
          <color theme="8" tint="0.39997558519241921"/>
        </bottom>
      </border>
    </dxf>
    <dxf>
      <protection locked="1" hidden="0"/>
    </dxf>
    <dxf>
      <font>
        <b/>
        <i val="0"/>
        <strike val="0"/>
        <condense val="0"/>
        <extend val="0"/>
        <outline val="0"/>
        <shadow val="0"/>
        <u val="none"/>
        <vertAlign val="baseline"/>
        <sz val="11"/>
        <color theme="0"/>
        <name val="Calibri"/>
        <scheme val="minor"/>
      </font>
      <fill>
        <patternFill patternType="solid">
          <fgColor theme="8"/>
          <bgColor theme="5"/>
        </patternFill>
      </fill>
      <protection locked="1" hidden="0"/>
    </dxf>
    <dxf>
      <fill>
        <patternFill>
          <bgColor theme="6" tint="0.79998168889431442"/>
        </patternFill>
      </fill>
    </dxf>
    <dxf>
      <font>
        <color theme="0" tint="-4.9989318521683403E-2"/>
      </font>
    </dxf>
    <dxf>
      <font>
        <color rgb="FFFA7D00"/>
      </font>
      <numFmt numFmtId="13" formatCode="0%"/>
      <fill>
        <patternFill>
          <bgColor rgb="FFF2F2F2"/>
        </patternFill>
      </fill>
    </dxf>
    <dxf>
      <font>
        <color theme="0"/>
      </font>
      <fill>
        <patternFill>
          <bgColor rgb="FF92D050"/>
        </patternFill>
      </fill>
    </dxf>
    <dxf>
      <font>
        <color theme="0"/>
      </font>
      <fill>
        <patternFill>
          <bgColor rgb="FFFF0000"/>
        </patternFill>
      </fill>
      <border>
        <left/>
        <right/>
        <top/>
        <bottom/>
      </border>
    </dxf>
    <dxf>
      <font>
        <color theme="0"/>
      </font>
      <fill>
        <patternFill>
          <bgColor rgb="FFFFC000"/>
        </patternFill>
      </fill>
    </dxf>
    <dxf>
      <font>
        <b/>
        <i val="0"/>
        <color theme="0"/>
      </font>
      <fill>
        <patternFill>
          <bgColor rgb="FF00B050"/>
        </patternFill>
      </fill>
    </dxf>
    <dxf>
      <font>
        <b/>
        <i val="0"/>
      </font>
      <fill>
        <patternFill>
          <bgColor rgb="FF92D050"/>
        </patternFill>
      </fill>
    </dxf>
    <dxf>
      <font>
        <b/>
        <i val="0"/>
      </font>
      <fill>
        <patternFill>
          <bgColor rgb="FFFFFF00"/>
        </patternFill>
      </fill>
    </dxf>
    <dxf>
      <font>
        <b/>
        <i val="0"/>
      </font>
      <fill>
        <patternFill>
          <bgColor rgb="FFFFC000"/>
        </patternFill>
      </fill>
    </dxf>
    <dxf>
      <font>
        <b/>
        <i val="0"/>
        <color theme="0"/>
      </font>
      <fill>
        <patternFill>
          <bgColor rgb="FFFF0000"/>
        </patternFill>
      </fill>
    </dxf>
    <dxf>
      <font>
        <b/>
        <i val="0"/>
        <color theme="0"/>
      </font>
      <fill>
        <patternFill>
          <bgColor rgb="FF00B050"/>
        </patternFill>
      </fill>
    </dxf>
    <dxf>
      <font>
        <b/>
        <i val="0"/>
      </font>
      <fill>
        <patternFill>
          <bgColor rgb="FF92D050"/>
        </patternFill>
      </fill>
    </dxf>
    <dxf>
      <font>
        <b/>
        <i val="0"/>
      </font>
      <fill>
        <patternFill>
          <bgColor rgb="FFFFFF00"/>
        </patternFill>
      </fill>
    </dxf>
    <dxf>
      <font>
        <b/>
        <i val="0"/>
      </font>
      <fill>
        <patternFill>
          <bgColor rgb="FFFFC000"/>
        </patternFill>
      </fill>
    </dxf>
    <dxf>
      <font>
        <b/>
        <i val="0"/>
        <color theme="0"/>
      </font>
      <fill>
        <patternFill>
          <bgColor rgb="FFFF0000"/>
        </patternFill>
      </fill>
    </dxf>
    <dxf>
      <font>
        <b/>
        <i val="0"/>
        <color theme="0"/>
      </font>
      <fill>
        <patternFill>
          <bgColor rgb="FF00B050"/>
        </patternFill>
      </fill>
    </dxf>
    <dxf>
      <font>
        <b/>
        <i val="0"/>
      </font>
      <fill>
        <patternFill>
          <bgColor rgb="FF92D050"/>
        </patternFill>
      </fill>
    </dxf>
    <dxf>
      <font>
        <b/>
        <i val="0"/>
      </font>
      <fill>
        <patternFill>
          <bgColor rgb="FFFFFF00"/>
        </patternFill>
      </fill>
    </dxf>
    <dxf>
      <font>
        <b/>
        <i val="0"/>
      </font>
      <fill>
        <patternFill>
          <bgColor rgb="FFFFC000"/>
        </patternFill>
      </fill>
    </dxf>
    <dxf>
      <font>
        <b/>
        <i val="0"/>
        <color theme="0"/>
      </font>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4" tint="0.79998168889431442"/>
        </patternFill>
      </fill>
    </dxf>
    <dxf>
      <fill>
        <patternFill>
          <bgColor theme="6" tint="0.79998168889431442"/>
        </patternFill>
      </fill>
    </dxf>
    <dxf>
      <fill>
        <patternFill>
          <bgColor theme="0" tint="-4.9989318521683403E-2"/>
        </patternFill>
      </fill>
    </dxf>
    <dxf>
      <fill>
        <patternFill>
          <bgColor theme="5" tint="0.59996337778862885"/>
        </patternFill>
      </fill>
    </dxf>
    <dxf>
      <font>
        <color theme="0"/>
      </font>
      <fill>
        <patternFill>
          <bgColor theme="0"/>
        </patternFill>
      </fill>
      <border>
        <left/>
        <right/>
        <top/>
        <bottom/>
      </border>
    </dxf>
    <dxf>
      <fill>
        <patternFill>
          <bgColor rgb="FF92D050"/>
        </patternFill>
      </fill>
    </dxf>
    <dxf>
      <fill>
        <patternFill>
          <bgColor rgb="FFFF0000"/>
        </patternFill>
      </fill>
    </dxf>
    <dxf>
      <fill>
        <patternFill>
          <bgColor rgb="FFFFC000"/>
        </patternFill>
      </fill>
    </dxf>
    <dxf>
      <numFmt numFmtId="175" formatCode="_([$USD]\ * #,##0_);_([$USD]\ * \(#,##0\);_([$USD]\ * &quot;-&quot;_);_(@_)"/>
    </dxf>
    <dxf>
      <numFmt numFmtId="176" formatCode="_([$EUR]\ * #,##0_);_([$EUR]\ * \(#,##0\);_([$EUR]\ * &quot;-&quot;_);_(@_)"/>
    </dxf>
    <dxf>
      <numFmt numFmtId="177" formatCode="_([$GBP]\ * #,##0_);_([$GBP]\ * \(#,##0\);_([$GBP]\ * &quot;-&quot;_);_(@_)"/>
    </dxf>
    <dxf>
      <fill>
        <patternFill>
          <bgColor theme="0"/>
        </patternFill>
      </fill>
      <border>
        <left/>
        <right/>
        <top/>
        <bottom/>
        <vertical/>
        <horizontal/>
      </border>
    </dxf>
    <dxf>
      <font>
        <color theme="0"/>
      </font>
      <fill>
        <patternFill>
          <bgColor theme="0"/>
        </patternFill>
      </fill>
      <border>
        <left/>
        <right/>
        <top/>
        <bottom/>
        <vertical/>
        <horizontal/>
      </border>
    </dxf>
    <dxf>
      <fill>
        <patternFill>
          <bgColor theme="0"/>
        </patternFill>
      </fill>
      <border>
        <left/>
        <right/>
        <top/>
        <bottom/>
        <vertical/>
        <horizontal/>
      </border>
    </dxf>
    <dxf>
      <font>
        <color theme="0"/>
      </font>
      <fill>
        <patternFill>
          <bgColor theme="0"/>
        </patternFill>
      </fill>
      <border>
        <left/>
        <right/>
        <top/>
        <bottom/>
        <vertical/>
        <horizontal/>
      </border>
    </dxf>
    <dxf>
      <fill>
        <patternFill>
          <bgColor theme="0"/>
        </patternFill>
      </fill>
      <border>
        <left/>
        <right/>
        <top/>
        <bottom/>
        <vertical/>
        <horizontal/>
      </border>
    </dxf>
    <dxf>
      <fill>
        <patternFill>
          <bgColor theme="0"/>
        </patternFill>
      </fill>
      <border>
        <left/>
        <right/>
        <top/>
        <bottom/>
        <vertical/>
        <horizontal/>
      </border>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s>
  <tableStyles count="0" defaultTableStyle="TableStyleMedium2" defaultPivotStyle="PivotStyleLight16"/>
  <colors>
    <mruColors>
      <color rgb="FF7F7F7F"/>
      <color rgb="FF92D050"/>
      <color rgb="FFA6A6A6"/>
      <color rgb="FF3F3F76"/>
      <color rgb="FF808080"/>
      <color rgb="FFF2F2F2"/>
      <color rgb="FFFA7D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'Credit Rating (Start-up)'!$C$70</c:f>
              <c:strCache>
                <c:ptCount val="1"/>
                <c:pt idx="0">
                  <c:v>Cash Balance</c:v>
                </c:pt>
              </c:strCache>
            </c:strRef>
          </c:tx>
          <c:spPr>
            <a:solidFill>
              <a:schemeClr val="accent1"/>
            </a:solidFill>
            <a:ln>
              <a:noFill/>
            </a:ln>
            <a:effectLst/>
          </c:spPr>
          <c:invertIfNegative val="0"/>
          <c:dPt>
            <c:idx val="13"/>
            <c:invertIfNegative val="0"/>
            <c:bubble3D val="0"/>
            <c:spPr>
              <a:solidFill>
                <a:schemeClr val="tx1"/>
              </a:solidFill>
              <a:ln>
                <a:noFill/>
              </a:ln>
              <a:effectLst/>
            </c:spPr>
            <c:extLst>
              <c:ext xmlns:c16="http://schemas.microsoft.com/office/drawing/2014/chart" uri="{C3380CC4-5D6E-409C-BE32-E72D297353CC}">
                <c16:uniqueId val="{00000005-12EB-4FDC-9CE2-F6F49B2F69E0}"/>
              </c:ext>
            </c:extLst>
          </c:dPt>
          <c:dPt>
            <c:idx val="14"/>
            <c:invertIfNegative val="0"/>
            <c:bubble3D val="0"/>
            <c:spPr>
              <a:solidFill>
                <a:schemeClr val="tx1"/>
              </a:solidFill>
              <a:ln>
                <a:noFill/>
              </a:ln>
              <a:effectLst/>
            </c:spPr>
            <c:extLst>
              <c:ext xmlns:c16="http://schemas.microsoft.com/office/drawing/2014/chart" uri="{C3380CC4-5D6E-409C-BE32-E72D297353CC}">
                <c16:uniqueId val="{00000006-12EB-4FDC-9CE2-F6F49B2F69E0}"/>
              </c:ext>
            </c:extLst>
          </c:dPt>
          <c:dPt>
            <c:idx val="15"/>
            <c:invertIfNegative val="0"/>
            <c:bubble3D val="0"/>
            <c:spPr>
              <a:solidFill>
                <a:schemeClr val="tx1"/>
              </a:solidFill>
              <a:ln>
                <a:noFill/>
              </a:ln>
              <a:effectLst/>
            </c:spPr>
            <c:extLst>
              <c:ext xmlns:c16="http://schemas.microsoft.com/office/drawing/2014/chart" uri="{C3380CC4-5D6E-409C-BE32-E72D297353CC}">
                <c16:uniqueId val="{0000000A-12EB-4FDC-9CE2-F6F49B2F69E0}"/>
              </c:ext>
            </c:extLst>
          </c:dPt>
          <c:cat>
            <c:strRef>
              <c:f>'Credit Rating (Start-up)'!$B$71:$B$86</c:f>
              <c:strCache>
                <c:ptCount val="16"/>
                <c:pt idx="0">
                  <c:v>Month 0</c:v>
                </c:pt>
                <c:pt idx="1">
                  <c:v>Month 1</c:v>
                </c:pt>
                <c:pt idx="2">
                  <c:v>Month 2</c:v>
                </c:pt>
                <c:pt idx="3">
                  <c:v>Month 3</c:v>
                </c:pt>
                <c:pt idx="4">
                  <c:v>Month 4</c:v>
                </c:pt>
                <c:pt idx="5">
                  <c:v>Month 5</c:v>
                </c:pt>
                <c:pt idx="6">
                  <c:v>Month 6</c:v>
                </c:pt>
                <c:pt idx="7">
                  <c:v>Month 7</c:v>
                </c:pt>
                <c:pt idx="8">
                  <c:v>Month 8</c:v>
                </c:pt>
                <c:pt idx="9">
                  <c:v>Month 9</c:v>
                </c:pt>
                <c:pt idx="10">
                  <c:v>Month 10</c:v>
                </c:pt>
                <c:pt idx="11">
                  <c:v>Month 11</c:v>
                </c:pt>
                <c:pt idx="12">
                  <c:v>Month 12</c:v>
                </c:pt>
                <c:pt idx="13">
                  <c:v>Year 1</c:v>
                </c:pt>
                <c:pt idx="14">
                  <c:v>Year 2</c:v>
                </c:pt>
                <c:pt idx="15">
                  <c:v>Year 3</c:v>
                </c:pt>
              </c:strCache>
            </c:strRef>
          </c:cat>
          <c:val>
            <c:numRef>
              <c:f>'Credit Rating (Start-up)'!$C$71:$C$86</c:f>
              <c:numCache>
                <c:formatCode>_(* #,##0_);_(* \(#,##0\);_(* "-"??_);_(@_)</c:formatCode>
                <c:ptCount val="16"/>
                <c:pt idx="0">
                  <c:v>364340499</c:v>
                </c:pt>
                <c:pt idx="1">
                  <c:v>261556936.92474031</c:v>
                </c:pt>
                <c:pt idx="2">
                  <c:v>540831272.84948063</c:v>
                </c:pt>
                <c:pt idx="3">
                  <c:v>460804650.44088745</c:v>
                </c:pt>
                <c:pt idx="4">
                  <c:v>836906328.03229427</c:v>
                </c:pt>
                <c:pt idx="5">
                  <c:v>769559705.62370157</c:v>
                </c:pt>
                <c:pt idx="6">
                  <c:v>1151778587.2151084</c:v>
                </c:pt>
                <c:pt idx="7">
                  <c:v>1076874464.8065152</c:v>
                </c:pt>
                <c:pt idx="8">
                  <c:v>1460634842.3979225</c:v>
                </c:pt>
                <c:pt idx="9">
                  <c:v>1385990576.8073931</c:v>
                </c:pt>
                <c:pt idx="10">
                  <c:v>1431397111.2168646</c:v>
                </c:pt>
                <c:pt idx="11">
                  <c:v>1470335497.6263361</c:v>
                </c:pt>
                <c:pt idx="12">
                  <c:v>1518027032.0358069</c:v>
                </c:pt>
                <c:pt idx="13">
                  <c:v>1518027032.0358069</c:v>
                </c:pt>
                <c:pt idx="14">
                  <c:v>2477184886.0877123</c:v>
                </c:pt>
                <c:pt idx="15">
                  <c:v>3812948948.3090692</c:v>
                </c:pt>
              </c:numCache>
            </c:numRef>
          </c:val>
          <c:extLst>
            <c:ext xmlns:c16="http://schemas.microsoft.com/office/drawing/2014/chart" uri="{C3380CC4-5D6E-409C-BE32-E72D297353CC}">
              <c16:uniqueId val="{00000000-12EB-4FDC-9CE2-F6F49B2F69E0}"/>
            </c:ext>
          </c:extLst>
        </c:ser>
        <c:dLbls>
          <c:showLegendKey val="0"/>
          <c:showVal val="0"/>
          <c:showCatName val="0"/>
          <c:showSerName val="0"/>
          <c:showPercent val="0"/>
          <c:showBubbleSize val="0"/>
        </c:dLbls>
        <c:gapWidth val="219"/>
        <c:overlap val="-27"/>
        <c:axId val="297743296"/>
        <c:axId val="297743840"/>
      </c:barChart>
      <c:catAx>
        <c:axId val="29774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743840"/>
        <c:crosses val="autoZero"/>
        <c:auto val="1"/>
        <c:lblAlgn val="ctr"/>
        <c:lblOffset val="100"/>
        <c:noMultiLvlLbl val="0"/>
      </c:catAx>
      <c:valAx>
        <c:axId val="2977438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743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304801</xdr:colOff>
      <xdr:row>1</xdr:row>
      <xdr:rowOff>114300</xdr:rowOff>
    </xdr:from>
    <xdr:to>
      <xdr:col>2</xdr:col>
      <xdr:colOff>1111250</xdr:colOff>
      <xdr:row>1</xdr:row>
      <xdr:rowOff>777459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1" y="298450"/>
          <a:ext cx="2616199" cy="663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304801</xdr:colOff>
      <xdr:row>1</xdr:row>
      <xdr:rowOff>114300</xdr:rowOff>
    </xdr:from>
    <xdr:to>
      <xdr:col>2</xdr:col>
      <xdr:colOff>1063115</xdr:colOff>
      <xdr:row>1</xdr:row>
      <xdr:rowOff>777459</xdr:rowOff>
    </xdr:to>
    <xdr:pic>
      <xdr:nvPicPr>
        <xdr:cNvPr id="2" name="Picture 1">
          <a:extLst>
            <a:ext uri="{FF2B5EF4-FFF2-40B4-BE49-F238E27FC236}">
              <a16:creationId xmlns:a16="http://schemas.microsoft.com/office/drawing/2014/main" id="{98EF6E73-86AD-4E5F-A903-152F77474E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1" y="298450"/>
          <a:ext cx="2609849" cy="663159"/>
        </a:xfrm>
        <a:prstGeom prst="rect">
          <a:avLst/>
        </a:prstGeom>
      </xdr:spPr>
    </xdr:pic>
    <xdr:clientData/>
  </xdr:twoCellAnchor>
  <xdr:twoCellAnchor>
    <xdr:from>
      <xdr:col>4</xdr:col>
      <xdr:colOff>285749</xdr:colOff>
      <xdr:row>68</xdr:row>
      <xdr:rowOff>103841</xdr:rowOff>
    </xdr:from>
    <xdr:to>
      <xdr:col>11</xdr:col>
      <xdr:colOff>7470</xdr:colOff>
      <xdr:row>86</xdr:row>
      <xdr:rowOff>0</xdr:rowOff>
    </xdr:to>
    <xdr:graphicFrame macro="">
      <xdr:nvGraphicFramePr>
        <xdr:cNvPr id="4" name="Chart 3">
          <a:extLst>
            <a:ext uri="{FF2B5EF4-FFF2-40B4-BE49-F238E27FC236}">
              <a16:creationId xmlns:a16="http://schemas.microsoft.com/office/drawing/2014/main" id="{597DF0C2-3760-497B-85C9-861506A5C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304801</xdr:colOff>
      <xdr:row>1</xdr:row>
      <xdr:rowOff>114300</xdr:rowOff>
    </xdr:from>
    <xdr:to>
      <xdr:col>2</xdr:col>
      <xdr:colOff>906141</xdr:colOff>
      <xdr:row>1</xdr:row>
      <xdr:rowOff>759820</xdr:rowOff>
    </xdr:to>
    <xdr:pic>
      <xdr:nvPicPr>
        <xdr:cNvPr id="2" name="Picture 1">
          <a:extLst>
            <a:ext uri="{FF2B5EF4-FFF2-40B4-BE49-F238E27FC236}">
              <a16:creationId xmlns:a16="http://schemas.microsoft.com/office/drawing/2014/main" id="{4E8100BC-79E4-4DB3-A27E-3678ACB329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1" y="298450"/>
          <a:ext cx="2616199" cy="663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648465</xdr:colOff>
      <xdr:row>0</xdr:row>
      <xdr:rowOff>1005840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968095" cy="10058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1250295</xdr:colOff>
      <xdr:row>0</xdr:row>
      <xdr:rowOff>1005840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968095" cy="10058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25400</xdr:colOff>
      <xdr:row>0</xdr:row>
      <xdr:rowOff>0</xdr:rowOff>
    </xdr:from>
    <xdr:to>
      <xdr:col>5</xdr:col>
      <xdr:colOff>342245</xdr:colOff>
      <xdr:row>0</xdr:row>
      <xdr:rowOff>1005840</xdr:rowOff>
    </xdr:to>
    <xdr:pic>
      <xdr:nvPicPr>
        <xdr:cNvPr id="4" name="Picture 3">
          <a:extLst>
            <a:ext uri="{FF2B5EF4-FFF2-40B4-BE49-F238E27FC236}">
              <a16:creationId xmlns:a16="http://schemas.microsoft.com/office/drawing/2014/main" id="{BD98A8C1-8BC6-4C40-BD07-934A086CF2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 y="0"/>
          <a:ext cx="3968095" cy="10058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oinig-my.sharepoint.com/Users/syoroh/Desktop/Financial%20Planner/BOI%20Financial%20Plann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amp; Instructions"/>
      <sheetName val="Starting Balance Set-up"/>
      <sheetName val="Cash Flow Assumptions"/>
      <sheetName val="Financing"/>
      <sheetName val="Revenue"/>
      <sheetName val="Direct Costs"/>
      <sheetName val="Personnel"/>
      <sheetName val="Expenses"/>
      <sheetName val="Assets"/>
      <sheetName val="Income Statement"/>
      <sheetName val="Balance Sheet"/>
      <sheetName val="Cash Flow"/>
      <sheetName val="Ratios &amp; Charts"/>
      <sheetName val="Custom Calcs &amp; Formulas"/>
      <sheetName val="References"/>
      <sheetName val="About"/>
      <sheetName val="Sched - Accounts Payable"/>
      <sheetName val="Sched - Accounts Receivable"/>
      <sheetName val="Sched - Depreciation"/>
      <sheetName val="Sched - Financing"/>
    </sheetNames>
    <sheetDataSet>
      <sheetData sheetId="0" refreshError="1"/>
      <sheetData sheetId="1">
        <row r="7">
          <cell r="C7" t="str">
            <v>ONE TERMINALS LIMITED</v>
          </cell>
        </row>
        <row r="9">
          <cell r="I9">
            <v>43862</v>
          </cell>
        </row>
        <row r="11">
          <cell r="I11">
            <v>43893</v>
          </cell>
        </row>
        <row r="17">
          <cell r="C17">
            <v>364340499</v>
          </cell>
          <cell r="H17">
            <v>1505000000</v>
          </cell>
        </row>
        <row r="19">
          <cell r="H19">
            <v>599000000</v>
          </cell>
        </row>
        <row r="20">
          <cell r="C20">
            <v>0</v>
          </cell>
        </row>
        <row r="21">
          <cell r="H21">
            <v>-350901485</v>
          </cell>
        </row>
        <row r="22">
          <cell r="C22">
            <v>0</v>
          </cell>
        </row>
        <row r="24">
          <cell r="H24">
            <v>38325273</v>
          </cell>
        </row>
        <row r="25">
          <cell r="C25">
            <v>2133420305</v>
          </cell>
        </row>
        <row r="27">
          <cell r="C27">
            <v>13009033</v>
          </cell>
          <cell r="H27">
            <v>719346049</v>
          </cell>
        </row>
        <row r="30">
          <cell r="H30">
            <v>0</v>
          </cell>
        </row>
      </sheetData>
      <sheetData sheetId="2" refreshError="1"/>
      <sheetData sheetId="3">
        <row r="8">
          <cell r="C8">
            <v>800000000</v>
          </cell>
          <cell r="D8">
            <v>60</v>
          </cell>
          <cell r="E8">
            <v>12</v>
          </cell>
          <cell r="F8">
            <v>0.1</v>
          </cell>
          <cell r="G8" t="str">
            <v>Month 2 (Mar-20)</v>
          </cell>
          <cell r="J8">
            <v>43891</v>
          </cell>
        </row>
        <row r="13">
          <cell r="C13">
            <v>200000000</v>
          </cell>
          <cell r="D13">
            <v>36</v>
          </cell>
          <cell r="E13">
            <v>6</v>
          </cell>
          <cell r="F13">
            <v>0.13</v>
          </cell>
          <cell r="G13" t="str">
            <v>Month 2 (Mar-20)</v>
          </cell>
        </row>
      </sheetData>
      <sheetData sheetId="4" refreshError="1"/>
      <sheetData sheetId="5" refreshError="1"/>
      <sheetData sheetId="6" refreshError="1"/>
      <sheetData sheetId="7" refreshError="1"/>
      <sheetData sheetId="8">
        <row r="6">
          <cell r="B6" t="str">
            <v>ASSET DESCRIPTION</v>
          </cell>
          <cell r="C6" t="str">
            <v>VALUE</v>
          </cell>
          <cell r="D6" t="str">
            <v>MONTH PURCHASED</v>
          </cell>
          <cell r="E6" t="str">
            <v>DEPRECIATION</v>
          </cell>
          <cell r="F6" t="str">
            <v>MONTH SOLD</v>
          </cell>
          <cell r="G6" t="str">
            <v>SALE PRICE</v>
          </cell>
        </row>
        <row r="7">
          <cell r="B7" t="str">
            <v>Infrastructure upgrade</v>
          </cell>
          <cell r="C7">
            <v>800000000</v>
          </cell>
          <cell r="D7" t="str">
            <v>Month 2 (Mar-20)</v>
          </cell>
          <cell r="E7">
            <v>3</v>
          </cell>
          <cell r="G7">
            <v>0</v>
          </cell>
        </row>
      </sheetData>
      <sheetData sheetId="9">
        <row r="8">
          <cell r="O8">
            <v>20092860000</v>
          </cell>
          <cell r="P8">
            <v>29420790000</v>
          </cell>
          <cell r="Q8">
            <v>40973040000</v>
          </cell>
        </row>
        <row r="9">
          <cell r="O9">
            <v>-18229025800</v>
          </cell>
          <cell r="P9">
            <v>-27238395900</v>
          </cell>
          <cell r="Q9">
            <v>-38645714000</v>
          </cell>
        </row>
        <row r="15">
          <cell r="O15">
            <v>-312958341</v>
          </cell>
          <cell r="P15">
            <v>-339607022.75</v>
          </cell>
          <cell r="Q15">
            <v>-415523031.5</v>
          </cell>
        </row>
        <row r="17">
          <cell r="O17">
            <v>-215159927.1299862</v>
          </cell>
          <cell r="P17">
            <v>-142476105.51715219</v>
          </cell>
          <cell r="Q17">
            <v>-65661432.763577521</v>
          </cell>
        </row>
        <row r="19">
          <cell r="O19">
            <v>-955584546.1111114</v>
          </cell>
          <cell r="P19">
            <v>-977806768.33333349</v>
          </cell>
          <cell r="Q19">
            <v>-977806768.33333349</v>
          </cell>
        </row>
        <row r="20">
          <cell r="O20">
            <v>0</v>
          </cell>
          <cell r="P20">
            <v>0</v>
          </cell>
          <cell r="Q20">
            <v>0</v>
          </cell>
        </row>
        <row r="21">
          <cell r="O21">
            <v>254688028.45846462</v>
          </cell>
          <cell r="P21">
            <v>484077816.27767444</v>
          </cell>
          <cell r="Q21">
            <v>581784294.1600697</v>
          </cell>
        </row>
      </sheetData>
      <sheetData sheetId="10">
        <row r="7">
          <cell r="D7">
            <v>43890</v>
          </cell>
          <cell r="E7">
            <v>43921</v>
          </cell>
          <cell r="F7">
            <v>43951</v>
          </cell>
          <cell r="G7">
            <v>43982</v>
          </cell>
          <cell r="H7">
            <v>44012</v>
          </cell>
          <cell r="I7">
            <v>44043</v>
          </cell>
          <cell r="J7">
            <v>44074</v>
          </cell>
          <cell r="K7">
            <v>44104</v>
          </cell>
          <cell r="L7">
            <v>44135</v>
          </cell>
          <cell r="M7">
            <v>44165</v>
          </cell>
          <cell r="N7">
            <v>44196</v>
          </cell>
          <cell r="O7">
            <v>44227</v>
          </cell>
        </row>
        <row r="8">
          <cell r="D8">
            <v>2348724599.7858515</v>
          </cell>
          <cell r="E8">
            <v>3346515038.3494806</v>
          </cell>
          <cell r="F8">
            <v>3185004518.5797763</v>
          </cell>
          <cell r="G8">
            <v>3479622298.8100719</v>
          </cell>
          <cell r="H8">
            <v>3330791779.0403681</v>
          </cell>
          <cell r="I8">
            <v>3631526763.2706637</v>
          </cell>
          <cell r="J8">
            <v>3475138743.5009599</v>
          </cell>
          <cell r="K8">
            <v>3777415223.7312555</v>
          </cell>
          <cell r="L8">
            <v>3621287060.7796154</v>
          </cell>
          <cell r="M8">
            <v>3585209697.8279757</v>
          </cell>
          <cell r="N8">
            <v>3542664186.8763361</v>
          </cell>
          <cell r="O8">
            <v>3508871823.924696</v>
          </cell>
          <cell r="P8">
            <v>3508871823.924696</v>
          </cell>
          <cell r="Q8">
            <v>3490222909.6432686</v>
          </cell>
          <cell r="R8">
            <v>3848180203.5312934</v>
          </cell>
        </row>
        <row r="9">
          <cell r="D9">
            <v>261556936.92474031</v>
          </cell>
          <cell r="E9">
            <v>540831272.84948063</v>
          </cell>
          <cell r="F9">
            <v>460804650.44088745</v>
          </cell>
          <cell r="G9">
            <v>836906328.03229427</v>
          </cell>
          <cell r="H9">
            <v>769559705.62370157</v>
          </cell>
          <cell r="I9">
            <v>1151778587.2151084</v>
          </cell>
          <cell r="J9">
            <v>1076874464.8065152</v>
          </cell>
          <cell r="K9">
            <v>1460634842.3979225</v>
          </cell>
          <cell r="L9">
            <v>1385990576.8073931</v>
          </cell>
          <cell r="M9">
            <v>1431397111.2168646</v>
          </cell>
          <cell r="N9">
            <v>1470335497.6263361</v>
          </cell>
          <cell r="O9">
            <v>1518027032.0358069</v>
          </cell>
          <cell r="P9">
            <v>1518027032.0358069</v>
          </cell>
          <cell r="Q9">
            <v>2477184886.0877123</v>
          </cell>
          <cell r="R9">
            <v>3812948948.3090692</v>
          </cell>
        </row>
        <row r="10">
          <cell r="C10">
            <v>364340499</v>
          </cell>
          <cell r="D10">
            <v>261556936.92474031</v>
          </cell>
          <cell r="E10">
            <v>540831272.84948063</v>
          </cell>
          <cell r="F10">
            <v>460804650.44088745</v>
          </cell>
          <cell r="G10">
            <v>836906328.03229427</v>
          </cell>
          <cell r="H10">
            <v>769559705.62370157</v>
          </cell>
          <cell r="I10">
            <v>1151778587.2151084</v>
          </cell>
          <cell r="J10">
            <v>1076874464.8065152</v>
          </cell>
          <cell r="K10">
            <v>1460634842.3979225</v>
          </cell>
          <cell r="L10">
            <v>1385990576.8073931</v>
          </cell>
          <cell r="M10">
            <v>1431397111.2168646</v>
          </cell>
          <cell r="N10">
            <v>1470335497.6263361</v>
          </cell>
          <cell r="O10">
            <v>1518027032.0358069</v>
          </cell>
          <cell r="P10">
            <v>1518027032.0358069</v>
          </cell>
          <cell r="Q10">
            <v>2477184886.0877123</v>
          </cell>
          <cell r="R10">
            <v>3812948948.3090692</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row>
        <row r="13">
          <cell r="D13">
            <v>2087167662.8611112</v>
          </cell>
          <cell r="E13">
            <v>2805683765.5</v>
          </cell>
          <cell r="F13">
            <v>2724199868.1388888</v>
          </cell>
          <cell r="G13">
            <v>2642715970.7777777</v>
          </cell>
          <cell r="H13">
            <v>2561232073.4166665</v>
          </cell>
          <cell r="I13">
            <v>2479748176.0555553</v>
          </cell>
          <cell r="J13">
            <v>2398264278.6944447</v>
          </cell>
          <cell r="K13">
            <v>2316780381.333333</v>
          </cell>
          <cell r="L13">
            <v>2235296483.9722223</v>
          </cell>
          <cell r="M13">
            <v>2153812586.6111112</v>
          </cell>
          <cell r="N13">
            <v>2072328689.25</v>
          </cell>
          <cell r="O13">
            <v>1990844791.8888891</v>
          </cell>
          <cell r="P13">
            <v>1990844791.8888891</v>
          </cell>
          <cell r="Q13">
            <v>1013038023.5555565</v>
          </cell>
          <cell r="R13">
            <v>35231255.222224236</v>
          </cell>
        </row>
        <row r="14">
          <cell r="D14">
            <v>2146429338</v>
          </cell>
          <cell r="E14">
            <v>2946429338</v>
          </cell>
          <cell r="F14">
            <v>2946429338</v>
          </cell>
          <cell r="G14">
            <v>2946429338</v>
          </cell>
          <cell r="H14">
            <v>2946429338</v>
          </cell>
          <cell r="I14">
            <v>2946429338</v>
          </cell>
          <cell r="J14">
            <v>2946429338</v>
          </cell>
          <cell r="K14">
            <v>2946429338</v>
          </cell>
          <cell r="L14">
            <v>2946429338</v>
          </cell>
          <cell r="M14">
            <v>2946429338</v>
          </cell>
          <cell r="N14">
            <v>2946429338</v>
          </cell>
          <cell r="O14">
            <v>2946429338</v>
          </cell>
        </row>
        <row r="15">
          <cell r="D15">
            <v>59261675.138888888</v>
          </cell>
          <cell r="E15">
            <v>140745572.5</v>
          </cell>
          <cell r="F15">
            <v>222229469.8611111</v>
          </cell>
          <cell r="G15">
            <v>303713367.22222221</v>
          </cell>
          <cell r="H15">
            <v>385197264.58333331</v>
          </cell>
          <cell r="I15">
            <v>466681161.94444442</v>
          </cell>
          <cell r="J15">
            <v>548165059.30555558</v>
          </cell>
          <cell r="K15">
            <v>629648956.66666675</v>
          </cell>
          <cell r="L15">
            <v>711132854.02777779</v>
          </cell>
          <cell r="M15">
            <v>792616751.38888884</v>
          </cell>
          <cell r="N15">
            <v>874100648.74999988</v>
          </cell>
          <cell r="O15">
            <v>955584546.11111093</v>
          </cell>
        </row>
        <row r="16">
          <cell r="D16">
            <v>2348724599.7858515</v>
          </cell>
          <cell r="E16">
            <v>3346515038.3494806</v>
          </cell>
          <cell r="F16">
            <v>3185004518.5797763</v>
          </cell>
          <cell r="G16">
            <v>3479622298.8100719</v>
          </cell>
          <cell r="H16">
            <v>3330791779.0403681</v>
          </cell>
          <cell r="I16">
            <v>3631526763.2706637</v>
          </cell>
          <cell r="J16">
            <v>3475138743.5009599</v>
          </cell>
          <cell r="K16">
            <v>3777415223.7312555</v>
          </cell>
          <cell r="L16">
            <v>3621287060.7796154</v>
          </cell>
          <cell r="M16">
            <v>3585209697.8279757</v>
          </cell>
          <cell r="N16">
            <v>3542664186.8763361</v>
          </cell>
          <cell r="O16">
            <v>3508871823.924696</v>
          </cell>
        </row>
        <row r="17">
          <cell r="D17">
            <v>695215714.32307363</v>
          </cell>
          <cell r="E17">
            <v>1670642990.1770704</v>
          </cell>
          <cell r="F17">
            <v>1645619766.0883901</v>
          </cell>
          <cell r="G17">
            <v>1620137782.8914175</v>
          </cell>
          <cell r="H17">
            <v>1594188630.0025008</v>
          </cell>
          <cell r="I17">
            <v>1567763742.6439533</v>
          </cell>
          <cell r="J17">
            <v>1540854399.0171661</v>
          </cell>
          <cell r="K17">
            <v>1513451717.4238877</v>
          </cell>
          <cell r="L17">
            <v>1479869010.1527967</v>
          </cell>
          <cell r="M17">
            <v>1445713202.238934</v>
          </cell>
          <cell r="N17">
            <v>1410974248.14569</v>
          </cell>
          <cell r="O17">
            <v>1375641923.1657934</v>
          </cell>
        </row>
        <row r="18">
          <cell r="D18">
            <v>326499900.69491911</v>
          </cell>
          <cell r="E18">
            <v>367487643.75600046</v>
          </cell>
          <cell r="F18">
            <v>393263446.15131468</v>
          </cell>
          <cell r="G18">
            <v>419330144.69388735</v>
          </cell>
          <cell r="H18">
            <v>445691445.07892841</v>
          </cell>
          <cell r="I18">
            <v>472351106.14742655</v>
          </cell>
          <cell r="J18">
            <v>499312940.72389317</v>
          </cell>
          <cell r="K18">
            <v>526580816.4681834</v>
          </cell>
          <cell r="L18">
            <v>548481013.55970287</v>
          </cell>
          <cell r="M18">
            <v>570633647.32279146</v>
          </cell>
          <cell r="N18">
            <v>593042088.84421992</v>
          </cell>
          <cell r="O18">
            <v>615709760.38050437</v>
          </cell>
          <cell r="P18">
            <v>741153117.68094218</v>
          </cell>
          <cell r="Q18">
            <v>510377473.51506442</v>
          </cell>
          <cell r="R18">
            <v>507462494.4624815</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row>
        <row r="21">
          <cell r="D21">
            <v>326499900.69491911</v>
          </cell>
          <cell r="E21">
            <v>367487643.75600046</v>
          </cell>
          <cell r="F21">
            <v>393263446.15131468</v>
          </cell>
          <cell r="G21">
            <v>419330144.69388735</v>
          </cell>
          <cell r="H21">
            <v>445691445.07892841</v>
          </cell>
          <cell r="I21">
            <v>472351106.14742655</v>
          </cell>
          <cell r="J21">
            <v>499312940.72389317</v>
          </cell>
          <cell r="K21">
            <v>526580816.4681834</v>
          </cell>
          <cell r="L21">
            <v>548481013.55970287</v>
          </cell>
          <cell r="M21">
            <v>570633647.32279146</v>
          </cell>
          <cell r="N21">
            <v>593042088.84421992</v>
          </cell>
          <cell r="O21">
            <v>615709760.38050437</v>
          </cell>
          <cell r="P21">
            <v>615709760.38050437</v>
          </cell>
          <cell r="Q21">
            <v>271951086.39322472</v>
          </cell>
          <cell r="R21">
            <v>220912021.2194621</v>
          </cell>
        </row>
        <row r="22">
          <cell r="D22">
            <v>368715813.62815452</v>
          </cell>
          <cell r="E22">
            <v>1303155346.4210699</v>
          </cell>
          <cell r="F22">
            <v>1252356319.9370754</v>
          </cell>
          <cell r="G22">
            <v>1200807638.1975303</v>
          </cell>
          <cell r="H22">
            <v>1148497184.9235723</v>
          </cell>
          <cell r="I22">
            <v>1095412636.4965267</v>
          </cell>
          <cell r="J22">
            <v>1041541458.293273</v>
          </cell>
          <cell r="K22">
            <v>986870900.95570433</v>
          </cell>
          <cell r="L22">
            <v>931387996.59309399</v>
          </cell>
          <cell r="M22">
            <v>875079554.91614246</v>
          </cell>
          <cell r="N22">
            <v>817932159.30147004</v>
          </cell>
          <cell r="O22">
            <v>759932162.78528917</v>
          </cell>
          <cell r="P22">
            <v>759932162.78528917</v>
          </cell>
          <cell r="Q22">
            <v>487981076.39206517</v>
          </cell>
          <cell r="R22">
            <v>267069055.17260301</v>
          </cell>
        </row>
        <row r="23">
          <cell r="D23">
            <v>368715813.62815452</v>
          </cell>
          <cell r="E23">
            <v>1303155346.4210699</v>
          </cell>
          <cell r="F23">
            <v>1252356319.9370754</v>
          </cell>
          <cell r="G23">
            <v>1200807638.1975303</v>
          </cell>
          <cell r="H23">
            <v>1148497184.9235723</v>
          </cell>
          <cell r="I23">
            <v>1095412636.4965267</v>
          </cell>
          <cell r="J23">
            <v>1041541458.293273</v>
          </cell>
          <cell r="K23">
            <v>986870900.95570433</v>
          </cell>
          <cell r="L23">
            <v>931387996.59309399</v>
          </cell>
          <cell r="M23">
            <v>875079554.91614246</v>
          </cell>
          <cell r="N23">
            <v>817932159.30147004</v>
          </cell>
          <cell r="O23">
            <v>759932162.78528917</v>
          </cell>
        </row>
        <row r="24">
          <cell r="D24">
            <v>1653508885.4627779</v>
          </cell>
          <cell r="E24">
            <v>1675872048.1724102</v>
          </cell>
          <cell r="F24">
            <v>1539384752.4913862</v>
          </cell>
          <cell r="G24">
            <v>1859484515.9186544</v>
          </cell>
          <cell r="H24">
            <v>1736603149.0378675</v>
          </cell>
          <cell r="I24">
            <v>2063763020.6267104</v>
          </cell>
          <cell r="J24">
            <v>1934284344.4837937</v>
          </cell>
          <cell r="K24">
            <v>2263963506.3073678</v>
          </cell>
          <cell r="L24">
            <v>2141418050.6268187</v>
          </cell>
          <cell r="M24">
            <v>2139496495.5890417</v>
          </cell>
          <cell r="N24">
            <v>2131689938.7306461</v>
          </cell>
          <cell r="O24">
            <v>2133229900.7589025</v>
          </cell>
        </row>
        <row r="25">
          <cell r="D25">
            <v>-99589629.537222221</v>
          </cell>
          <cell r="E25">
            <v>-77226466.827589676</v>
          </cell>
          <cell r="F25">
            <v>-213713762.50861377</v>
          </cell>
          <cell r="G25">
            <v>106386000.91865462</v>
          </cell>
          <cell r="H25">
            <v>-16495365.962132484</v>
          </cell>
          <cell r="I25">
            <v>310664505.62671053</v>
          </cell>
          <cell r="J25">
            <v>181185829.48379362</v>
          </cell>
          <cell r="K25">
            <v>510864991.3073678</v>
          </cell>
          <cell r="L25">
            <v>388319535.62681878</v>
          </cell>
          <cell r="M25">
            <v>386397980.58904189</v>
          </cell>
          <cell r="N25">
            <v>378591423.73064607</v>
          </cell>
          <cell r="O25">
            <v>380131385.75890267</v>
          </cell>
          <cell r="P25">
            <v>254688028.45846462</v>
          </cell>
          <cell r="Q25">
            <v>484077816.27767444</v>
          </cell>
          <cell r="R25">
            <v>581784294.1600697</v>
          </cell>
        </row>
        <row r="26">
          <cell r="D26">
            <v>2104000000</v>
          </cell>
          <cell r="E26">
            <v>2104000000</v>
          </cell>
          <cell r="F26">
            <v>2104000000</v>
          </cell>
          <cell r="G26">
            <v>2104000000</v>
          </cell>
          <cell r="H26">
            <v>2104000000</v>
          </cell>
          <cell r="I26">
            <v>2104000000</v>
          </cell>
          <cell r="J26">
            <v>2104000000</v>
          </cell>
          <cell r="K26">
            <v>2104000000</v>
          </cell>
          <cell r="L26">
            <v>2104000000</v>
          </cell>
          <cell r="M26">
            <v>2104000000</v>
          </cell>
          <cell r="N26">
            <v>2104000000</v>
          </cell>
          <cell r="O26">
            <v>2104000000</v>
          </cell>
          <cell r="P26">
            <v>2104000000</v>
          </cell>
          <cell r="Q26">
            <v>2104000000</v>
          </cell>
          <cell r="R26">
            <v>2104000000</v>
          </cell>
        </row>
        <row r="27">
          <cell r="P27">
            <v>0</v>
          </cell>
        </row>
        <row r="28">
          <cell r="P28">
            <v>0</v>
          </cell>
        </row>
        <row r="29">
          <cell r="D29">
            <v>-350901485</v>
          </cell>
          <cell r="E29">
            <v>-350901485</v>
          </cell>
          <cell r="F29">
            <v>-350901485</v>
          </cell>
          <cell r="G29">
            <v>-350901485</v>
          </cell>
          <cell r="H29">
            <v>-350901485</v>
          </cell>
          <cell r="I29">
            <v>-350901485</v>
          </cell>
          <cell r="J29">
            <v>-350901485</v>
          </cell>
          <cell r="K29">
            <v>-350901485</v>
          </cell>
          <cell r="L29">
            <v>-350901485</v>
          </cell>
          <cell r="M29">
            <v>-350901485</v>
          </cell>
          <cell r="N29">
            <v>-350901485</v>
          </cell>
          <cell r="O29">
            <v>-350901485</v>
          </cell>
          <cell r="P29">
            <v>-350901485</v>
          </cell>
          <cell r="Q29">
            <v>-96213456.541535378</v>
          </cell>
          <cell r="R29">
            <v>387864359.73613906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persons/person.xml><?xml version="1.0" encoding="utf-8"?>
<personList xmlns="http://schemas.microsoft.com/office/spreadsheetml/2018/threadedcomments" xmlns:x="http://schemas.openxmlformats.org/spreadsheetml/2006/main">
  <person displayName="Michael Coates" id="{2E35EF97-D73A-420B-A7C2-C886129675F6}" userId="5390b892921bbdda" providerId="Windows Live"/>
</personList>
</file>

<file path=xl/tables/table1.xml><?xml version="1.0" encoding="utf-8"?>
<table xmlns="http://schemas.openxmlformats.org/spreadsheetml/2006/main" id="11" name="Version_Notes" displayName="Version_Notes" ref="B2:G83" totalsRowShown="0" dataDxfId="262">
  <autoFilter ref="B2:G83"/>
  <tableColumns count="6">
    <tableColumn id="1" name="Date" dataDxfId="261"/>
    <tableColumn id="2" name="Version" dataDxfId="260"/>
    <tableColumn id="5" name="Worksheet" dataDxfId="259"/>
    <tableColumn id="3" name="Cells/ Section" dataDxfId="258"/>
    <tableColumn id="4" name="Notes" dataDxfId="257"/>
    <tableColumn id="7" name="Credit" dataDxfId="256"/>
  </tableColumns>
  <tableStyleInfo name="TableStyleMedium1" showFirstColumn="0" showLastColumn="0" showRowStripes="1" showColumnStripes="0"/>
</table>
</file>

<file path=xl/tables/table10.xml><?xml version="1.0" encoding="utf-8"?>
<table xmlns="http://schemas.openxmlformats.org/spreadsheetml/2006/main" id="14" name="Financing_Options_Matrix_Existing" displayName="Financing_Options_Matrix_Existing" ref="B5:K15" totalsRowShown="0" headerRowDxfId="82" dataDxfId="81">
  <autoFilter ref="B5:K15"/>
  <tableColumns count="10">
    <tableColumn id="1" name="Customer Rating (Existing)" dataDxfId="80"/>
    <tableColumn id="2" name="From" dataDxfId="79" dataCellStyle="Percent"/>
    <tableColumn id="3" name="To" dataDxfId="78" dataCellStyle="Percent"/>
    <tableColumn id="4" name="Max Term" dataDxfId="77"/>
    <tableColumn id="5" name="Max Debt Equity Ratio" dataDxfId="76"/>
    <tableColumn id="6" name="Max Debt Repayment Period" dataDxfId="75"/>
    <tableColumn id="7" name="Min Cash/ Interest Cover" dataDxfId="74"/>
    <tableColumn id="11" name="Working Capital LTV (Stock plus Receivables)" dataDxfId="73" dataCellStyle="Percent"/>
    <tableColumn id="9" name="Working Capital Loan Tenor (months)" dataDxfId="72"/>
    <tableColumn id="10" name="Customer Rating Description (Existing)" dataDxfId="71"/>
  </tableColumns>
  <tableStyleInfo name="TableStyleLight5" showFirstColumn="0" showLastColumn="0" showRowStripes="1" showColumnStripes="0"/>
</table>
</file>

<file path=xl/tables/table11.xml><?xml version="1.0" encoding="utf-8"?>
<table xmlns="http://schemas.openxmlformats.org/spreadsheetml/2006/main" id="16" name="Qualification_Types" displayName="Qualification_Types" ref="B225:B229" totalsRowShown="0" headerRowDxfId="70" dataDxfId="69" tableBorderDxfId="68">
  <autoFilter ref="B225:B229"/>
  <tableColumns count="1">
    <tableColumn id="1" name="Qualification Type" dataDxfId="67"/>
  </tableColumns>
  <tableStyleInfo name="TableStyleLight5" showFirstColumn="0" showLastColumn="0" showRowStripes="1" showColumnStripes="0"/>
</table>
</file>

<file path=xl/tables/table12.xml><?xml version="1.0" encoding="utf-8"?>
<table xmlns="http://schemas.openxmlformats.org/spreadsheetml/2006/main" id="17" name="State_Offices" displayName="State_Offices" ref="B188:B209" totalsRowShown="0" headerRowDxfId="66" dataDxfId="65">
  <autoFilter ref="B188:B209"/>
  <sortState ref="B189:B209">
    <sortCondition ref="B188:B209"/>
  </sortState>
  <tableColumns count="1">
    <tableColumn id="1" name="State Office" dataDxfId="64"/>
  </tableColumns>
  <tableStyleInfo name="TableStyleLight5" showFirstColumn="0" showLastColumn="0" showRowStripes="1" showColumnStripes="0"/>
</table>
</file>

<file path=xl/tables/table13.xml><?xml version="1.0" encoding="utf-8"?>
<table xmlns="http://schemas.openxmlformats.org/spreadsheetml/2006/main" id="18" name="AbujaStateOffice" displayName="AbujaStateOffice" ref="B260:B269" totalsRowShown="0" headerRowDxfId="63" dataDxfId="62">
  <autoFilter ref="B260:B269"/>
  <tableColumns count="1">
    <tableColumn id="1" name="Abuja State Office" dataDxfId="61"/>
  </tableColumns>
  <tableStyleInfo name="TableStyleLight12" showFirstColumn="0" showLastColumn="0" showRowStripes="1" showColumnStripes="0"/>
</table>
</file>

<file path=xl/tables/table14.xml><?xml version="1.0" encoding="utf-8"?>
<table xmlns="http://schemas.openxmlformats.org/spreadsheetml/2006/main" id="23" name="Currencies" displayName="Currencies" ref="B271:C275" totalsRowShown="0" headerRowDxfId="60" dataDxfId="59">
  <autoFilter ref="B271:C275"/>
  <tableColumns count="2">
    <tableColumn id="1" name="Currency" dataDxfId="58"/>
    <tableColumn id="2" name="Symbol" dataDxfId="57"/>
  </tableColumns>
  <tableStyleInfo name="TableStyleLight7" showFirstColumn="0" showLastColumn="0" showRowStripes="0" showColumnStripes="0"/>
</table>
</file>

<file path=xl/tables/table15.xml><?xml version="1.0" encoding="utf-8"?>
<table xmlns="http://schemas.openxmlformats.org/spreadsheetml/2006/main" id="25" name="Financing_Options_Matrix_Startup" displayName="Financing_Options_Matrix_Startup" ref="B19:I23" totalsRowShown="0" headerRowDxfId="56">
  <autoFilter ref="B19:I23"/>
  <tableColumns count="8">
    <tableColumn id="1" name="Customer Rating (Start-up)" dataDxfId="55"/>
    <tableColumn id="2" name="From" dataDxfId="54" dataCellStyle="Percent"/>
    <tableColumn id="3" name="To" dataDxfId="53" dataCellStyle="Percent"/>
    <tableColumn id="4" name="Max Term" dataDxfId="52"/>
    <tableColumn id="5" name="Max Debt Equity Ratio" dataDxfId="51"/>
    <tableColumn id="6" name="Max Debt Repayment Period" dataDxfId="50"/>
    <tableColumn id="7" name="Min Cash/ Interest Cover" dataDxfId="49"/>
    <tableColumn id="8" name="Customer Rating Description (Start-up)" dataDxfId="48"/>
  </tableColumns>
  <tableStyleInfo name="TableStyleDark11" showFirstColumn="0" showLastColumn="0" showRowStripes="1" showColumnStripes="0"/>
</table>
</file>

<file path=xl/tables/table16.xml><?xml version="1.0" encoding="utf-8"?>
<table xmlns="http://schemas.openxmlformats.org/spreadsheetml/2006/main" id="8" name="Customer_Relationship_Scoring" displayName="Customer_Relationship_Scoring" ref="B59:C66" totalsRowShown="0" headerRowDxfId="47" dataDxfId="46" tableBorderDxfId="45">
  <autoFilter ref="B59:C66"/>
  <tableColumns count="2">
    <tableColumn id="1" name="Customer Relationship" dataDxfId="44"/>
    <tableColumn id="2" name="Score" dataDxfId="43"/>
  </tableColumns>
  <tableStyleInfo name="TableStyleMedium13" showFirstColumn="0" showLastColumn="0" showRowStripes="1" showColumnStripes="0"/>
</table>
</file>

<file path=xl/tables/table17.xml><?xml version="1.0" encoding="utf-8"?>
<table xmlns="http://schemas.openxmlformats.org/spreadsheetml/2006/main" id="24" name="Due_Diligence_Scoring" displayName="Due_Diligence_Scoring" ref="B72:C77" totalsRowShown="0" headerRowDxfId="42" dataDxfId="41" tableBorderDxfId="40">
  <autoFilter ref="B72:C77"/>
  <tableColumns count="2">
    <tableColumn id="1" name="Due Diligence Issue" dataDxfId="39"/>
    <tableColumn id="2" name="Score" dataDxfId="38"/>
  </tableColumns>
  <tableStyleInfo name="TableStyleMedium13" showFirstColumn="0" showLastColumn="0" showRowStripes="1" showColumnStripes="0"/>
</table>
</file>

<file path=xl/tables/table18.xml><?xml version="1.0" encoding="utf-8"?>
<table xmlns="http://schemas.openxmlformats.org/spreadsheetml/2006/main" id="26" name="Startup_Components27" displayName="Startup_Components27" ref="B34:C38" totalsRowShown="0" headerRowDxfId="37" dataDxfId="36">
  <autoFilter ref="B34:C38"/>
  <tableColumns count="2">
    <tableColumn id="1" name="Component" dataDxfId="35"/>
    <tableColumn id="2" name="Weighting" dataDxfId="34" dataCellStyle="Input"/>
  </tableColumns>
  <tableStyleInfo name="TableStyleLight12" showFirstColumn="0" showLastColumn="0" showRowStripes="1" showColumnStripes="0"/>
</table>
</file>

<file path=xl/tables/table19.xml><?xml version="1.0" encoding="utf-8"?>
<table xmlns="http://schemas.openxmlformats.org/spreadsheetml/2006/main" id="42" name="Feasability_Assessment_Weightings" displayName="Feasability_Assessment_Weightings" ref="B143:C158" totalsRowShown="0" headerRowDxfId="33" dataDxfId="32">
  <autoFilter ref="B143:C158"/>
  <tableColumns count="2">
    <tableColumn id="1" name="Criteria" dataDxfId="31"/>
    <tableColumn id="2" name="Weighting" dataDxfId="30" dataCellStyle="Input"/>
  </tableColumns>
  <tableStyleInfo name="TableStyleMedium13" showFirstColumn="0" showLastColumn="0" showRowStripes="1" showColumnStripes="0"/>
</table>
</file>

<file path=xl/tables/table2.xml><?xml version="1.0" encoding="utf-8"?>
<table xmlns="http://schemas.openxmlformats.org/spreadsheetml/2006/main" id="2" name="Rating_Scores" displayName="Rating_Scores" ref="B211:C216" totalsRowShown="0" headerRowDxfId="114" dataDxfId="113" tableBorderDxfId="112">
  <autoFilter ref="B211:C216"/>
  <tableColumns count="2">
    <tableColumn id="1" name="Rating" dataDxfId="111"/>
    <tableColumn id="2" name="Score" dataDxfId="110"/>
  </tableColumns>
  <tableStyleInfo name="TableStyleMedium13" showFirstColumn="0" showLastColumn="0" showRowStripes="1" showColumnStripes="0"/>
</table>
</file>

<file path=xl/tables/table20.xml><?xml version="1.0" encoding="utf-8"?>
<table xmlns="http://schemas.openxmlformats.org/spreadsheetml/2006/main" id="43" name="Capitalisation_Criteria" displayName="Capitalisation_Criteria" ref="B103:C106" totalsRowShown="0" headerRowDxfId="29" dataDxfId="28">
  <autoFilter ref="B103:C106"/>
  <tableColumns count="2">
    <tableColumn id="1" name="Criteria" dataDxfId="27"/>
    <tableColumn id="2" name="Weighting" dataDxfId="26" dataCellStyle="Input"/>
  </tableColumns>
  <tableStyleInfo name="TableStyleMedium13" showFirstColumn="0" showLastColumn="0" showRowStripes="1" showColumnStripes="0"/>
</table>
</file>

<file path=xl/tables/table21.xml><?xml version="1.0" encoding="utf-8"?>
<table xmlns="http://schemas.openxmlformats.org/spreadsheetml/2006/main" id="10" name="Hurdle_Options" displayName="Hurdle_Options" ref="B231:B233" totalsRowShown="0" headerRowDxfId="25" dataDxfId="24" tableBorderDxfId="23">
  <autoFilter ref="B231:B233"/>
  <tableColumns count="1">
    <tableColumn id="1" name="Hurdle Options" dataDxfId="22"/>
  </tableColumns>
  <tableStyleInfo name="TableStyleLight5" showFirstColumn="0" showLastColumn="0" showRowStripes="1" showColumnStripes="0"/>
</table>
</file>

<file path=xl/tables/table22.xml><?xml version="1.0" encoding="utf-8"?>
<table xmlns="http://schemas.openxmlformats.org/spreadsheetml/2006/main" id="6" name="Industry_Sector_Ratings" displayName="Industry_Sector_Ratings" ref="B6:U46" totalsRowShown="0" headerRowDxfId="21" dataDxfId="20" dataCellStyle="Input">
  <autoFilter ref="B6:U46"/>
  <sortState ref="B7:U46">
    <sortCondition ref="B6:B46"/>
  </sortState>
  <tableColumns count="20">
    <tableColumn id="1" name="Industry Sector" dataDxfId="19" dataCellStyle="Input"/>
    <tableColumn id="2" name="Interest Rate Sensitivity" dataDxfId="18" dataCellStyle="Input"/>
    <tableColumn id="3" name="Exchange Rate Sensitivity" dataDxfId="17" dataCellStyle="Input"/>
    <tableColumn id="4" name="Business Cycle Sensitivity" dataDxfId="16" dataCellStyle="Input"/>
    <tableColumn id="5" name="Inflation Sensitivity" dataDxfId="15" dataCellStyle="Input"/>
    <tableColumn id="19" name="Utilities/ Infrastructure Sensitivity" dataDxfId="14" dataCellStyle="Input"/>
    <tableColumn id="6" name="Fiscal Policy Sensitivity" dataDxfId="13" dataCellStyle="Input"/>
    <tableColumn id="7" name="International Trade Sensitivity" dataDxfId="12" dataCellStyle="Input"/>
    <tableColumn id="8" name="Regulatory Sensitivity" dataDxfId="11" dataCellStyle="Input"/>
    <tableColumn id="9" name="Environmental Sensitivity" dataDxfId="10" dataCellStyle="Input"/>
    <tableColumn id="10" name="Industry Stage Sensitivity" dataDxfId="9" dataCellStyle="Input"/>
    <tableColumn id="11" name="Competitive Intensity" dataDxfId="8" dataCellStyle="Input"/>
    <tableColumn id="12" name="Value Chain Sophistication" dataDxfId="7" dataCellStyle="Input"/>
    <tableColumn id="13" name="Product Subsitution Sensitivity" dataDxfId="6" dataCellStyle="Input"/>
    <tableColumn id="14" name="Demographic Sensitivity" dataDxfId="5" dataCellStyle="Input"/>
    <tableColumn id="15" name="Climate/Disease Sensitivity" dataDxfId="4" dataCellStyle="Input"/>
    <tableColumn id="16" name="Labour Relations Sensitivity" dataDxfId="3" dataCellStyle="Input"/>
    <tableColumn id="17" name="Capital Intensity" dataDxfId="2" dataCellStyle="Input"/>
    <tableColumn id="20" name="Security Risk" dataDxfId="1" dataCellStyle="Input"/>
    <tableColumn id="18" name="Industry Sector Score" dataDxfId="0" dataCellStyle="Calculation">
      <calculatedColumnFormula>VLOOKUP($C7, Rating_Scores[],2,FALSE)*VLOOKUP($C$6, Industry_Sector_Criteria_Weighting[],2,FALSE)+VLOOKUP($D7, Rating_Scores[],2,FALSE)*VLOOKUP($D$6, Industry_Sector_Criteria_Weighting[],2,FALSE)+VLOOKUP($E7, Rating_Scores[],2,FALSE)*VLOOKUP($E$6, Industry_Sector_Criteria_Weighting[],2,FALSE)+VLOOKUP($F7, Rating_Scores[],2,FALSE)*VLOOKUP($F$6, Industry_Sector_Criteria_Weighting[],2,FALSE)+VLOOKUP($G7, Rating_Scores[],2,FALSE)*VLOOKUP($G$6, Industry_Sector_Criteria_Weighting[],2,FALSE)+VLOOKUP($H7, Rating_Scores[],2,FALSE)*VLOOKUP($H$6, Industry_Sector_Criteria_Weighting[],2,FALSE)+VLOOKUP($I7, Rating_Scores[],2,FALSE)*VLOOKUP($I$6, Industry_Sector_Criteria_Weighting[],2,FALSE)+VLOOKUP($J7, Rating_Scores[],2,FALSE)*VLOOKUP($J$6, Industry_Sector_Criteria_Weighting[],2,FALSE)+VLOOKUP($K7, Rating_Scores[],2,FALSE)*VLOOKUP($K$6, Industry_Sector_Criteria_Weighting[],2,FALSE)+VLOOKUP($L7, Rating_Scores[],2,FALSE)*VLOOKUP($L$6, Industry_Sector_Criteria_Weighting[],2,FALSE)+VLOOKUP($M7, Rating_Scores[],2,FALSE)*VLOOKUP($M$6, Industry_Sector_Criteria_Weighting[],2,FALSE)+VLOOKUP($N7, Rating_Scores[],2,FALSE)*VLOOKUP($N$6, Industry_Sector_Criteria_Weighting[],2,FALSE)+VLOOKUP($O7, Rating_Scores[],2,FALSE)*VLOOKUP($O$6, Industry_Sector_Criteria_Weighting[],2,FALSE)+VLOOKUP($P7, Rating_Scores[],2,FALSE)*VLOOKUP($P$6, Industry_Sector_Criteria_Weighting[],2,FALSE)+VLOOKUP($Q7, Rating_Scores[],2,FALSE)*VLOOKUP($Q$6, Industry_Sector_Criteria_Weighting[],2,FALSE)+VLOOKUP($R7, Rating_Scores[],2,FALSE)*VLOOKUP($R$6, Industry_Sector_Criteria_Weighting[],2,FALSE)+VLOOKUP($S7, Rating_Scores[],2,FALSE)*VLOOKUP($S$6, Industry_Sector_Criteria_Weighting[],2,FALSE)+VLOOKUP($T7, Rating_Scores[],2,FALSE)*VLOOKUP($T$6, Industry_Sector_Criteria_Weighting[],2,FALSE)</calculatedColumnFormula>
    </tableColumn>
  </tableColumns>
  <tableStyleInfo name="TableStyleMedium13" showFirstColumn="0" showLastColumn="0" showRowStripes="1" showColumnStripes="0"/>
</table>
</file>

<file path=xl/tables/table3.xml><?xml version="1.0" encoding="utf-8"?>
<table xmlns="http://schemas.openxmlformats.org/spreadsheetml/2006/main" id="3" name="Industry_Sector_Criteria_Weighting" displayName="Industry_Sector_Criteria_Weighting" ref="B166:C184" totalsRowShown="0" headerRowDxfId="109" dataDxfId="108">
  <autoFilter ref="B166:C184"/>
  <tableColumns count="2">
    <tableColumn id="1" name="Industry Sector Risk Criteria" dataDxfId="107"/>
    <tableColumn id="2" name="Weighting" dataDxfId="106" dataCellStyle="Input"/>
  </tableColumns>
  <tableStyleInfo name="TableStyleMedium13" showFirstColumn="0" showLastColumn="0" showRowStripes="1" showColumnStripes="0"/>
</table>
</file>

<file path=xl/tables/table4.xml><?xml version="1.0" encoding="utf-8"?>
<table xmlns="http://schemas.openxmlformats.org/spreadsheetml/2006/main" id="9" name="Risk_Segment_Weightings_Existing" displayName="Risk_Segment_Weightings_Existing" ref="B42:C45" totalsRowShown="0" headerRowDxfId="105" dataDxfId="104">
  <autoFilter ref="B42:C45"/>
  <tableColumns count="2">
    <tableColumn id="1" name="Criteria" dataDxfId="103"/>
    <tableColumn id="2" name="Weighting" dataDxfId="102" dataCellStyle="Input"/>
  </tableColumns>
  <tableStyleInfo name="TableStyleMedium13" showFirstColumn="0" showLastColumn="0" showRowStripes="1" showColumnStripes="0"/>
</table>
</file>

<file path=xl/tables/table5.xml><?xml version="1.0" encoding="utf-8"?>
<table xmlns="http://schemas.openxmlformats.org/spreadsheetml/2006/main" id="1" name="Financial_Ratio_Weightings" displayName="Financial_Ratio_Weightings" ref="B83:C95" totalsRowShown="0" headerRowDxfId="101" dataDxfId="100">
  <autoFilter ref="B83:C95"/>
  <tableColumns count="2">
    <tableColumn id="1" name="Ratio" dataDxfId="99">
      <calculatedColumnFormula>'Credit Rating (Existing)'!C95</calculatedColumnFormula>
    </tableColumn>
    <tableColumn id="2" name="Weighting" dataDxfId="98" dataCellStyle="Input"/>
  </tableColumns>
  <tableStyleInfo name="TableStyleMedium13" showFirstColumn="0" showLastColumn="0" showRowStripes="1" showColumnStripes="0"/>
</table>
</file>

<file path=xl/tables/table6.xml><?xml version="1.0" encoding="utf-8"?>
<table xmlns="http://schemas.openxmlformats.org/spreadsheetml/2006/main" id="4" name="Business_Risk_Review_Weightings" displayName="Business_Risk_Review_Weightings" ref="B118:C135" totalsRowShown="0" headerRowDxfId="97" dataDxfId="96">
  <autoFilter ref="B118:C135"/>
  <tableColumns count="2">
    <tableColumn id="1" name="Business Risk Review Criteria" dataDxfId="95"/>
    <tableColumn id="2" name="Weighting" dataDxfId="94" dataCellStyle="Input"/>
  </tableColumns>
  <tableStyleInfo name="TableStyleMedium13" showFirstColumn="0" showLastColumn="0" showRowStripes="1" showColumnStripes="0"/>
</table>
</file>

<file path=xl/tables/table7.xml><?xml version="1.0" encoding="utf-8"?>
<table xmlns="http://schemas.openxmlformats.org/spreadsheetml/2006/main" id="5" name="Risk_Component_Weightings" displayName="Risk_Component_Weightings" ref="B27:C30" totalsRowShown="0" headerRowDxfId="93" dataDxfId="92">
  <autoFilter ref="B27:C30"/>
  <tableColumns count="2">
    <tableColumn id="1" name="Component" dataDxfId="91"/>
    <tableColumn id="2" name="Weighting - Accred Auditor" dataDxfId="90" dataCellStyle="Input"/>
  </tableColumns>
  <tableStyleInfo name="TableStyleMedium13" showFirstColumn="0" showLastColumn="0" showRowStripes="1" showColumnStripes="0"/>
</table>
</file>

<file path=xl/tables/table8.xml><?xml version="1.0" encoding="utf-8"?>
<table xmlns="http://schemas.openxmlformats.org/spreadsheetml/2006/main" id="7" name="LagosStateOffice" displayName="LagosStateOffice" ref="B254:B258" totalsRowShown="0" headerRowDxfId="89" dataDxfId="88">
  <autoFilter ref="B254:B258"/>
  <tableColumns count="1">
    <tableColumn id="1" name="Lagos State Office" dataDxfId="87"/>
  </tableColumns>
  <tableStyleInfo name="TableStyleMedium13" showFirstColumn="0" showLastColumn="0" showRowStripes="1" showColumnStripes="0"/>
</table>
</file>

<file path=xl/tables/table9.xml><?xml version="1.0" encoding="utf-8"?>
<table xmlns="http://schemas.openxmlformats.org/spreadsheetml/2006/main" id="13" name="Financial_Statement_Peer_Group" displayName="Financial_Statement_Peer_Group" ref="B218:B223" totalsRowShown="0" headerRowDxfId="86" dataDxfId="85" tableBorderDxfId="84">
  <autoFilter ref="B218:B223"/>
  <tableColumns count="1">
    <tableColumn id="1" name="Financial Statement Peer Group" dataDxfId="83"/>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BOI">
      <a:dk1>
        <a:srgbClr val="061837"/>
      </a:dk1>
      <a:lt1>
        <a:sysClr val="window" lastClr="FFFFFF"/>
      </a:lt1>
      <a:dk2>
        <a:srgbClr val="666666"/>
      </a:dk2>
      <a:lt2>
        <a:srgbClr val="D2D2D2"/>
      </a:lt2>
      <a:accent1>
        <a:srgbClr val="006C33"/>
      </a:accent1>
      <a:accent2>
        <a:srgbClr val="B77C18"/>
      </a:accent2>
      <a:accent3>
        <a:srgbClr val="EC141B"/>
      </a:accent3>
      <a:accent4>
        <a:srgbClr val="FFFFFF"/>
      </a:accent4>
      <a:accent5>
        <a:srgbClr val="FFFFFF"/>
      </a:accent5>
      <a:accent6>
        <a:srgbClr val="FFFFFF"/>
      </a:accent6>
      <a:hlink>
        <a:srgbClr val="EC141B"/>
      </a:hlink>
      <a:folHlink>
        <a:srgbClr val="EC141B"/>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0" dT="2019-01-21T10:12:49.17" personId="{2E35EF97-D73A-420B-A7C2-C886129675F6}" id="{FBC85071-C86C-4680-8FE3-6E19A968E91C}">
    <text>State Office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drawing" Target="../drawings/drawing4.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5.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87"/>
  <sheetViews>
    <sheetView showGridLines="0" workbookViewId="0">
      <selection activeCell="B3" sqref="B3"/>
    </sheetView>
  </sheetViews>
  <sheetFormatPr defaultRowHeight="15"/>
  <cols>
    <col min="2" max="2" width="7.140625" bestFit="1" customWidth="1"/>
    <col min="3" max="3" width="9.42578125" bestFit="1" customWidth="1"/>
    <col min="4" max="4" width="24.85546875" bestFit="1" customWidth="1"/>
    <col min="5" max="5" width="18" bestFit="1" customWidth="1"/>
    <col min="6" max="6" width="89.85546875" customWidth="1"/>
    <col min="7" max="7" width="18" customWidth="1"/>
  </cols>
  <sheetData>
    <row r="2" spans="2:7">
      <c r="B2" t="s">
        <v>0</v>
      </c>
      <c r="C2" t="s">
        <v>1</v>
      </c>
      <c r="D2" t="s">
        <v>2</v>
      </c>
      <c r="E2" t="s">
        <v>3</v>
      </c>
      <c r="F2" t="s">
        <v>4</v>
      </c>
      <c r="G2" t="s">
        <v>5</v>
      </c>
    </row>
    <row r="3" spans="2:7">
      <c r="B3" s="15">
        <v>42657</v>
      </c>
      <c r="C3" s="16" t="s">
        <v>6</v>
      </c>
      <c r="D3" s="16" t="s">
        <v>7</v>
      </c>
      <c r="E3" s="16" t="s">
        <v>8</v>
      </c>
      <c r="F3" s="16" t="s">
        <v>9</v>
      </c>
      <c r="G3" s="16" t="s">
        <v>10</v>
      </c>
    </row>
    <row r="4" spans="2:7">
      <c r="B4" s="15"/>
      <c r="C4" s="16"/>
      <c r="D4" s="16"/>
      <c r="E4" s="16"/>
      <c r="F4" s="16"/>
      <c r="G4" s="16"/>
    </row>
    <row r="5" spans="2:7">
      <c r="B5" s="15"/>
      <c r="C5" s="16"/>
      <c r="D5" s="16"/>
      <c r="E5" s="16"/>
      <c r="F5" s="16"/>
      <c r="G5" s="16"/>
    </row>
    <row r="6" spans="2:7">
      <c r="B6" s="15"/>
      <c r="C6" s="16"/>
      <c r="D6" s="16"/>
      <c r="E6" s="16"/>
      <c r="F6" s="16"/>
      <c r="G6" s="16"/>
    </row>
    <row r="7" spans="2:7">
      <c r="B7" s="15"/>
      <c r="C7" s="16"/>
      <c r="D7" s="16"/>
      <c r="E7" s="16"/>
      <c r="F7" s="16"/>
      <c r="G7" s="16"/>
    </row>
    <row r="8" spans="2:7">
      <c r="B8" s="15"/>
      <c r="C8" s="16"/>
      <c r="D8" s="16"/>
      <c r="E8" s="16"/>
      <c r="F8" s="16"/>
      <c r="G8" s="16"/>
    </row>
    <row r="9" spans="2:7">
      <c r="B9" s="15"/>
      <c r="C9" s="16"/>
      <c r="D9" s="16"/>
      <c r="E9" s="16"/>
      <c r="F9" s="16"/>
      <c r="G9" s="16"/>
    </row>
    <row r="10" spans="2:7">
      <c r="B10" s="15"/>
      <c r="C10" s="16"/>
      <c r="D10" s="16"/>
      <c r="E10" s="16"/>
      <c r="F10" s="16"/>
      <c r="G10" s="16"/>
    </row>
    <row r="11" spans="2:7">
      <c r="B11" s="15"/>
      <c r="C11" s="16"/>
      <c r="D11" s="16"/>
      <c r="E11" s="16"/>
      <c r="F11" s="16"/>
      <c r="G11" s="16"/>
    </row>
    <row r="12" spans="2:7">
      <c r="B12" s="15"/>
      <c r="C12" s="16"/>
      <c r="D12" s="16"/>
      <c r="E12" s="16"/>
      <c r="F12" s="16"/>
      <c r="G12" s="16"/>
    </row>
    <row r="13" spans="2:7">
      <c r="B13" s="15"/>
      <c r="C13" s="16"/>
      <c r="D13" s="16"/>
      <c r="E13" s="16"/>
      <c r="F13" s="16"/>
      <c r="G13" s="16"/>
    </row>
    <row r="14" spans="2:7">
      <c r="B14" s="15"/>
      <c r="C14" s="16"/>
      <c r="D14" s="16"/>
      <c r="E14" s="16"/>
      <c r="F14" s="16"/>
      <c r="G14" s="16"/>
    </row>
    <row r="15" spans="2:7">
      <c r="B15" s="15"/>
      <c r="C15" s="16"/>
      <c r="D15" s="16"/>
      <c r="E15" s="16"/>
      <c r="F15" s="16"/>
      <c r="G15" s="16"/>
    </row>
    <row r="16" spans="2:7">
      <c r="B16" s="15"/>
      <c r="C16" s="16"/>
      <c r="D16" s="16"/>
      <c r="E16" s="16"/>
      <c r="F16" s="16"/>
      <c r="G16" s="16"/>
    </row>
    <row r="17" spans="2:7">
      <c r="B17" s="15"/>
      <c r="C17" s="16"/>
      <c r="D17" s="16"/>
      <c r="E17" s="16"/>
      <c r="F17" s="16"/>
      <c r="G17" s="16"/>
    </row>
    <row r="18" spans="2:7">
      <c r="B18" s="15"/>
      <c r="C18" s="16"/>
      <c r="D18" s="16"/>
      <c r="E18" s="16"/>
      <c r="F18" s="16"/>
      <c r="G18" s="16"/>
    </row>
    <row r="19" spans="2:7">
      <c r="B19" s="15"/>
      <c r="C19" s="16"/>
      <c r="D19" s="16"/>
      <c r="E19" s="16"/>
      <c r="F19" s="16"/>
      <c r="G19" s="16"/>
    </row>
    <row r="20" spans="2:7">
      <c r="B20" s="15"/>
      <c r="C20" s="16"/>
      <c r="D20" s="16"/>
      <c r="E20" s="16"/>
      <c r="F20" s="16"/>
      <c r="G20" s="16"/>
    </row>
    <row r="21" spans="2:7">
      <c r="B21" s="15"/>
      <c r="C21" s="16"/>
      <c r="D21" s="16"/>
      <c r="E21" s="16"/>
      <c r="F21" s="16"/>
      <c r="G21" s="16"/>
    </row>
    <row r="22" spans="2:7">
      <c r="B22" s="15"/>
      <c r="C22" s="16"/>
      <c r="D22" s="16"/>
      <c r="E22" s="16"/>
      <c r="F22" s="16"/>
      <c r="G22" s="16"/>
    </row>
    <row r="23" spans="2:7">
      <c r="B23" s="15"/>
      <c r="C23" s="16"/>
      <c r="D23" s="16"/>
      <c r="E23" s="16"/>
      <c r="F23" s="16"/>
      <c r="G23" s="16"/>
    </row>
    <row r="24" spans="2:7">
      <c r="B24" s="15"/>
      <c r="C24" s="16"/>
      <c r="D24" s="16"/>
      <c r="E24" s="16"/>
      <c r="F24" s="16"/>
      <c r="G24" s="16"/>
    </row>
    <row r="25" spans="2:7">
      <c r="B25" s="15"/>
      <c r="C25" s="16"/>
      <c r="D25" s="16"/>
      <c r="E25" s="16"/>
      <c r="F25" s="16"/>
      <c r="G25" s="16"/>
    </row>
    <row r="26" spans="2:7">
      <c r="B26" s="15"/>
      <c r="C26" s="16"/>
      <c r="D26" s="16"/>
      <c r="E26" s="16"/>
      <c r="F26" s="16"/>
      <c r="G26" s="16"/>
    </row>
    <row r="27" spans="2:7">
      <c r="B27" s="15"/>
      <c r="C27" s="16"/>
      <c r="D27" s="16"/>
      <c r="E27" s="16"/>
      <c r="F27" s="16"/>
      <c r="G27" s="16"/>
    </row>
    <row r="28" spans="2:7">
      <c r="B28" s="15"/>
      <c r="C28" s="16"/>
      <c r="D28" s="16"/>
      <c r="E28" s="16"/>
      <c r="F28" s="16"/>
      <c r="G28" s="16"/>
    </row>
    <row r="29" spans="2:7">
      <c r="B29" s="15"/>
      <c r="C29" s="16"/>
      <c r="D29" s="16"/>
      <c r="E29" s="16"/>
      <c r="F29" s="16"/>
      <c r="G29" s="16"/>
    </row>
    <row r="30" spans="2:7">
      <c r="B30" s="15"/>
      <c r="C30" s="16"/>
      <c r="D30" s="16"/>
      <c r="E30" s="16"/>
      <c r="F30" s="16"/>
      <c r="G30" s="16"/>
    </row>
    <row r="31" spans="2:7">
      <c r="B31" s="15"/>
      <c r="C31" s="16"/>
      <c r="D31" s="16"/>
      <c r="E31" s="16"/>
      <c r="F31" s="16"/>
      <c r="G31" s="16"/>
    </row>
    <row r="32" spans="2:7">
      <c r="B32" s="15"/>
      <c r="C32" s="16"/>
      <c r="D32" s="16"/>
      <c r="E32" s="16"/>
      <c r="F32" s="16"/>
      <c r="G32" s="16"/>
    </row>
    <row r="33" spans="2:7">
      <c r="B33" s="15"/>
      <c r="C33" s="16"/>
      <c r="D33" s="16"/>
      <c r="E33" s="16"/>
      <c r="F33" s="16"/>
      <c r="G33" s="16"/>
    </row>
    <row r="34" spans="2:7">
      <c r="B34" s="15"/>
      <c r="C34" s="16"/>
      <c r="D34" s="16"/>
      <c r="E34" s="16"/>
      <c r="F34" s="16"/>
      <c r="G34" s="16"/>
    </row>
    <row r="35" spans="2:7">
      <c r="B35" s="15"/>
      <c r="C35" s="16"/>
      <c r="D35" s="16"/>
      <c r="E35" s="16"/>
      <c r="F35" s="16"/>
      <c r="G35" s="16"/>
    </row>
    <row r="36" spans="2:7">
      <c r="B36" s="15"/>
      <c r="C36" s="16"/>
      <c r="D36" s="16"/>
      <c r="E36" s="16"/>
      <c r="F36" s="16"/>
      <c r="G36" s="16"/>
    </row>
    <row r="37" spans="2:7">
      <c r="B37" s="15"/>
      <c r="C37" s="16"/>
      <c r="D37" s="16"/>
      <c r="E37" s="16"/>
      <c r="F37" s="16"/>
      <c r="G37" s="16"/>
    </row>
    <row r="38" spans="2:7">
      <c r="B38" s="15"/>
      <c r="C38" s="16"/>
      <c r="D38" s="16"/>
      <c r="E38" s="16"/>
      <c r="F38" s="16"/>
      <c r="G38" s="16"/>
    </row>
    <row r="39" spans="2:7">
      <c r="B39" s="15"/>
      <c r="C39" s="16"/>
      <c r="D39" s="16"/>
      <c r="E39" s="16"/>
      <c r="F39" s="16"/>
      <c r="G39" s="16"/>
    </row>
    <row r="40" spans="2:7">
      <c r="B40" s="15"/>
      <c r="C40" s="16"/>
      <c r="D40" s="16"/>
      <c r="E40" s="16"/>
      <c r="F40" s="16"/>
      <c r="G40" s="16"/>
    </row>
    <row r="41" spans="2:7">
      <c r="B41" s="15"/>
      <c r="C41" s="16"/>
      <c r="D41" s="16"/>
      <c r="E41" s="16"/>
      <c r="F41" s="16"/>
      <c r="G41" s="16"/>
    </row>
    <row r="42" spans="2:7">
      <c r="B42" s="15"/>
      <c r="C42" s="16"/>
      <c r="D42" s="16"/>
      <c r="E42" s="16"/>
      <c r="F42" s="16"/>
      <c r="G42" s="16"/>
    </row>
    <row r="43" spans="2:7">
      <c r="B43" s="15"/>
      <c r="C43" s="16"/>
      <c r="D43" s="16"/>
      <c r="E43" s="16"/>
      <c r="F43" s="16"/>
      <c r="G43" s="16"/>
    </row>
    <row r="44" spans="2:7">
      <c r="B44" s="15"/>
      <c r="C44" s="16"/>
      <c r="D44" s="16"/>
      <c r="E44" s="16"/>
      <c r="F44" s="16"/>
      <c r="G44" s="16"/>
    </row>
    <row r="45" spans="2:7">
      <c r="B45" s="15"/>
      <c r="C45" s="16"/>
      <c r="D45" s="16"/>
      <c r="E45" s="16"/>
      <c r="F45" s="16"/>
      <c r="G45" s="16"/>
    </row>
    <row r="46" spans="2:7">
      <c r="B46" s="15"/>
      <c r="C46" s="16"/>
      <c r="D46" s="16"/>
      <c r="E46" s="16"/>
      <c r="F46" s="16"/>
      <c r="G46" s="16"/>
    </row>
    <row r="47" spans="2:7">
      <c r="B47" s="15"/>
      <c r="C47" s="16"/>
      <c r="D47" s="16"/>
      <c r="E47" s="16"/>
      <c r="F47" s="16"/>
      <c r="G47" s="16"/>
    </row>
    <row r="48" spans="2:7">
      <c r="B48" s="15"/>
      <c r="C48" s="16"/>
      <c r="D48" s="16"/>
      <c r="E48" s="16"/>
      <c r="F48" s="16"/>
      <c r="G48" s="16"/>
    </row>
    <row r="49" spans="2:7">
      <c r="B49" s="15"/>
      <c r="C49" s="16"/>
      <c r="D49" s="16"/>
      <c r="E49" s="16"/>
      <c r="F49" s="16"/>
      <c r="G49" s="16"/>
    </row>
    <row r="50" spans="2:7">
      <c r="B50" s="15"/>
      <c r="C50" s="16"/>
      <c r="D50" s="16"/>
      <c r="E50" s="16"/>
      <c r="F50" s="16"/>
      <c r="G50" s="16"/>
    </row>
    <row r="51" spans="2:7">
      <c r="B51" s="15"/>
      <c r="C51" s="16"/>
      <c r="D51" s="16"/>
      <c r="E51" s="16"/>
      <c r="F51" s="16"/>
      <c r="G51" s="16"/>
    </row>
    <row r="52" spans="2:7">
      <c r="B52" s="15"/>
      <c r="C52" s="16"/>
      <c r="D52" s="16"/>
      <c r="E52" s="16"/>
      <c r="F52" s="16"/>
      <c r="G52" s="16"/>
    </row>
    <row r="53" spans="2:7">
      <c r="B53" s="15"/>
      <c r="C53" s="16"/>
      <c r="D53" s="16"/>
      <c r="E53" s="16"/>
      <c r="F53" s="16"/>
      <c r="G53" s="16"/>
    </row>
    <row r="54" spans="2:7">
      <c r="B54" s="15"/>
      <c r="C54" s="16"/>
      <c r="D54" s="16"/>
      <c r="E54" s="16"/>
      <c r="F54" s="16"/>
      <c r="G54" s="16"/>
    </row>
    <row r="55" spans="2:7">
      <c r="B55" s="15"/>
      <c r="C55" s="16"/>
      <c r="D55" s="16"/>
      <c r="E55" s="16"/>
      <c r="F55" s="16"/>
      <c r="G55" s="16"/>
    </row>
    <row r="56" spans="2:7">
      <c r="B56" s="15"/>
      <c r="C56" s="16"/>
      <c r="D56" s="16"/>
      <c r="E56" s="16"/>
      <c r="F56" s="16"/>
      <c r="G56" s="16"/>
    </row>
    <row r="57" spans="2:7">
      <c r="B57" s="15"/>
      <c r="C57" s="16"/>
      <c r="D57" s="16"/>
      <c r="E57" s="16"/>
      <c r="F57" s="16"/>
      <c r="G57" s="16"/>
    </row>
    <row r="58" spans="2:7">
      <c r="B58" s="15"/>
      <c r="C58" s="16"/>
      <c r="D58" s="16"/>
      <c r="E58" s="16"/>
      <c r="F58" s="16"/>
      <c r="G58" s="16"/>
    </row>
    <row r="59" spans="2:7">
      <c r="B59" s="15"/>
      <c r="C59" s="16"/>
      <c r="D59" s="16"/>
      <c r="E59" s="16"/>
      <c r="F59" s="16"/>
      <c r="G59" s="16"/>
    </row>
    <row r="60" spans="2:7">
      <c r="B60" s="15"/>
      <c r="C60" s="16"/>
      <c r="D60" s="16"/>
      <c r="E60" s="16"/>
      <c r="F60" s="16"/>
      <c r="G60" s="16"/>
    </row>
    <row r="61" spans="2:7">
      <c r="B61" s="15"/>
      <c r="C61" s="16"/>
      <c r="D61" s="16"/>
      <c r="E61" s="16"/>
      <c r="F61" s="16"/>
      <c r="G61" s="16"/>
    </row>
    <row r="62" spans="2:7">
      <c r="B62" s="15"/>
      <c r="C62" s="16"/>
      <c r="D62" s="16"/>
      <c r="E62" s="16"/>
      <c r="F62" s="16"/>
      <c r="G62" s="16"/>
    </row>
    <row r="63" spans="2:7">
      <c r="B63" s="15"/>
      <c r="C63" s="16"/>
      <c r="D63" s="16"/>
      <c r="E63" s="16"/>
      <c r="F63" s="16"/>
      <c r="G63" s="16"/>
    </row>
    <row r="64" spans="2:7">
      <c r="B64" s="15"/>
      <c r="C64" s="16"/>
      <c r="D64" s="16"/>
      <c r="E64" s="16"/>
      <c r="F64" s="16"/>
      <c r="G64" s="16"/>
    </row>
    <row r="65" spans="2:7">
      <c r="B65" s="15"/>
      <c r="C65" s="16"/>
      <c r="D65" s="16"/>
      <c r="E65" s="16"/>
      <c r="F65" s="16"/>
      <c r="G65" s="16"/>
    </row>
    <row r="66" spans="2:7">
      <c r="B66" s="15"/>
      <c r="C66" s="16"/>
      <c r="D66" s="16"/>
      <c r="E66" s="16"/>
      <c r="F66" s="16"/>
      <c r="G66" s="16"/>
    </row>
    <row r="67" spans="2:7">
      <c r="B67" s="15"/>
      <c r="C67" s="16"/>
      <c r="D67" s="16"/>
      <c r="E67" s="16"/>
      <c r="F67" s="16"/>
      <c r="G67" s="16"/>
    </row>
    <row r="68" spans="2:7">
      <c r="B68" s="15"/>
      <c r="C68" s="16"/>
      <c r="D68" s="16"/>
      <c r="E68" s="16"/>
      <c r="F68" s="16"/>
      <c r="G68" s="16"/>
    </row>
    <row r="69" spans="2:7">
      <c r="B69" s="15"/>
      <c r="C69" s="16"/>
      <c r="D69" s="16"/>
      <c r="E69" s="16"/>
      <c r="F69" s="16"/>
      <c r="G69" s="16"/>
    </row>
    <row r="70" spans="2:7">
      <c r="B70" s="15"/>
      <c r="C70" s="16"/>
      <c r="D70" s="16"/>
      <c r="E70" s="16"/>
      <c r="F70" s="16"/>
      <c r="G70" s="16"/>
    </row>
    <row r="71" spans="2:7">
      <c r="B71" s="15"/>
      <c r="C71" s="16"/>
      <c r="D71" s="16"/>
      <c r="E71" s="16"/>
      <c r="F71" s="16"/>
      <c r="G71" s="16"/>
    </row>
    <row r="72" spans="2:7">
      <c r="B72" s="15"/>
      <c r="C72" s="16"/>
      <c r="D72" s="16"/>
      <c r="E72" s="16"/>
      <c r="F72" s="16"/>
      <c r="G72" s="16"/>
    </row>
    <row r="73" spans="2:7">
      <c r="B73" s="15"/>
      <c r="C73" s="16"/>
      <c r="D73" s="16"/>
      <c r="E73" s="16"/>
      <c r="F73" s="16"/>
      <c r="G73" s="16"/>
    </row>
    <row r="74" spans="2:7">
      <c r="B74" s="15"/>
      <c r="C74" s="16"/>
      <c r="D74" s="16"/>
      <c r="E74" s="16"/>
      <c r="F74" s="16"/>
      <c r="G74" s="16"/>
    </row>
    <row r="75" spans="2:7">
      <c r="B75" s="15"/>
      <c r="C75" s="16"/>
      <c r="D75" s="16"/>
      <c r="E75" s="16"/>
      <c r="F75" s="16"/>
      <c r="G75" s="16"/>
    </row>
    <row r="76" spans="2:7">
      <c r="B76" s="15"/>
      <c r="C76" s="16"/>
      <c r="D76" s="16"/>
      <c r="E76" s="16"/>
      <c r="F76" s="16"/>
      <c r="G76" s="16"/>
    </row>
    <row r="77" spans="2:7">
      <c r="B77" s="15"/>
      <c r="C77" s="16"/>
      <c r="D77" s="16"/>
      <c r="E77" s="16"/>
      <c r="F77" s="16"/>
      <c r="G77" s="16"/>
    </row>
    <row r="78" spans="2:7">
      <c r="B78" s="15"/>
      <c r="C78" s="16"/>
      <c r="D78" s="16"/>
      <c r="E78" s="16"/>
      <c r="F78" s="16"/>
      <c r="G78" s="16"/>
    </row>
    <row r="79" spans="2:7">
      <c r="B79" s="15"/>
      <c r="C79" s="16"/>
      <c r="D79" s="16"/>
      <c r="E79" s="16"/>
      <c r="F79" s="16"/>
      <c r="G79" s="16"/>
    </row>
    <row r="80" spans="2:7">
      <c r="B80" s="15"/>
      <c r="C80" s="16"/>
      <c r="D80" s="16"/>
      <c r="E80" s="16"/>
      <c r="F80" s="16"/>
      <c r="G80" s="16"/>
    </row>
    <row r="81" spans="2:8">
      <c r="B81" s="15"/>
      <c r="C81" s="16"/>
      <c r="D81" s="16"/>
      <c r="E81" s="16"/>
      <c r="F81" s="16"/>
      <c r="G81" s="16"/>
    </row>
    <row r="82" spans="2:8">
      <c r="B82" s="15"/>
      <c r="C82" s="16"/>
      <c r="D82" s="16"/>
      <c r="E82" s="16"/>
      <c r="F82" s="16"/>
      <c r="G82" s="16"/>
    </row>
    <row r="83" spans="2:8">
      <c r="B83" s="15"/>
      <c r="C83" s="16"/>
      <c r="D83" s="16"/>
      <c r="E83" s="16"/>
      <c r="F83" s="16"/>
      <c r="G83" s="16"/>
      <c r="H83" s="16"/>
    </row>
    <row r="85" spans="2:8">
      <c r="B85" s="1" t="s">
        <v>11</v>
      </c>
    </row>
    <row r="86" spans="2:8">
      <c r="B86" s="18" t="s">
        <v>12</v>
      </c>
      <c r="C86" t="s">
        <v>563</v>
      </c>
    </row>
    <row r="87" spans="2:8">
      <c r="B87" s="18" t="s">
        <v>562</v>
      </c>
      <c r="C87" t="s">
        <v>13</v>
      </c>
    </row>
  </sheetData>
  <sheetProtection algorithmName="SHA-512" hashValue="g0V/1AHG/X0r0RRCTJDChDUy5H+ud7Hj31LKFgICe+R3EnzW7YxoqzP6aDlhHxP2ljz2dcBCju/+wjX6LDBgQA==" saltValue="mPrNcNPlTQAz+U4oX48JGA==" spinCount="100000" sheet="1" selectLockedCells="1"/>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L234"/>
  <sheetViews>
    <sheetView showGridLines="0" zoomScaleNormal="100" workbookViewId="0">
      <selection activeCell="C15" sqref="C15"/>
    </sheetView>
  </sheetViews>
  <sheetFormatPr defaultColWidth="8.85546875" defaultRowHeight="15"/>
  <cols>
    <col min="1" max="1" width="5.5703125" style="24" customWidth="1"/>
    <col min="2" max="2" width="20.140625" style="24" customWidth="1"/>
    <col min="3" max="3" width="32.5703125" style="24" customWidth="1"/>
    <col min="4" max="5" width="22.140625" style="24" customWidth="1"/>
    <col min="6" max="6" width="18.5703125" style="24" customWidth="1"/>
    <col min="7" max="7" width="16.85546875" style="24" bestFit="1" customWidth="1"/>
    <col min="8" max="8" width="15.5703125" style="24" customWidth="1"/>
    <col min="9" max="9" width="17.85546875" style="24" bestFit="1" customWidth="1"/>
    <col min="10" max="16384" width="8.85546875" style="24"/>
  </cols>
  <sheetData>
    <row r="2" spans="2:9" ht="64.5" customHeight="1">
      <c r="B2" s="320"/>
      <c r="C2" s="320"/>
      <c r="D2" s="483" t="s">
        <v>565</v>
      </c>
      <c r="E2" s="483"/>
      <c r="F2" s="483"/>
      <c r="G2" s="483"/>
      <c r="H2" s="483"/>
      <c r="I2" s="483"/>
    </row>
    <row r="3" spans="2:9" ht="15.75" hidden="1" thickBot="1"/>
    <row r="4" spans="2:9" ht="129.6" hidden="1" customHeight="1" thickBot="1">
      <c r="B4" s="324" t="s">
        <v>368</v>
      </c>
      <c r="C4" s="484"/>
      <c r="D4" s="485"/>
      <c r="E4" s="485"/>
      <c r="F4" s="485"/>
      <c r="G4" s="485"/>
      <c r="H4" s="485"/>
      <c r="I4" s="486"/>
    </row>
    <row r="6" spans="2:9" ht="26.25" thickBot="1">
      <c r="B6" s="465" t="s">
        <v>471</v>
      </c>
      <c r="C6" s="465"/>
      <c r="G6" s="7" t="s">
        <v>15</v>
      </c>
      <c r="H6" s="7" t="s">
        <v>16</v>
      </c>
      <c r="I6" s="7" t="s">
        <v>17</v>
      </c>
    </row>
    <row r="7" spans="2:9" ht="16.5" thickTop="1" thickBot="1"/>
    <row r="8" spans="2:9" ht="46.5">
      <c r="B8" s="131" t="s">
        <v>18</v>
      </c>
      <c r="C8" s="421" t="str">
        <f>IFERROR(IF(AND($I$182&gt;'Model Data'!C6, $I$182&lt;'Model Data'!D6), 'Model Data'!$B$6, IF(AND($I$182&gt;'Model Data'!$C$7, $I$182&lt;'Model Data'!$D$7), 'Model Data'!$B$7, IF(AND($I$182&gt;'Model Data'!$C$8, $I$182&lt;'Model Data'!$D$8), 'Model Data'!$B$8, IF(AND($I$182&gt;'Model Data'!$C$9, $I$182&lt;'Model Data'!$D$9), 'Model Data'!$B$9, "N/A")))), "N/A")</f>
        <v>N/A</v>
      </c>
      <c r="D8" s="488" t="str">
        <f>IFERROR(IF(AND($I$182&gt;'Model Data'!C6, $I$182&lt;'Model Data'!D6), 'Model Data'!$K$6, IF(AND($I$182&gt;'Model Data'!$C$7, $I$182&lt;'Model Data'!$D$7), 'Model Data'!$K$7, IF(AND($I$182&gt;'Model Data'!$C$8, $I$182&lt;'Model Data'!$D$8), 'Model Data'!$K$8, IF(AND($I$182&gt;'Model Data'!$C$9, $I$182&lt;'Model Data'!$D$9), 'Model Data'!$K$9, "N/A")))), "N/A")</f>
        <v>N/A</v>
      </c>
      <c r="E8" s="488"/>
      <c r="F8" s="488"/>
    </row>
    <row r="9" spans="2:9" ht="15" customHeight="1">
      <c r="D9" s="488"/>
      <c r="E9" s="488"/>
      <c r="F9" s="488"/>
    </row>
    <row r="10" spans="2:9" ht="15.75" thickBot="1"/>
    <row r="11" spans="2:9" ht="15" customHeight="1" thickBot="1">
      <c r="B11" s="457" t="s">
        <v>19</v>
      </c>
      <c r="C11" s="457"/>
      <c r="D11" s="29" t="str">
        <f>IFERROR(IF(AND(F179="PASS", F180="PASS", F181="PASS"), "PASS", "FAIL"), "N/A")</f>
        <v>FAIL</v>
      </c>
    </row>
    <row r="12" spans="2:9" ht="15.75" thickBot="1">
      <c r="B12" s="457" t="s">
        <v>20</v>
      </c>
      <c r="C12" s="457"/>
      <c r="D12" s="432" t="s">
        <v>153</v>
      </c>
    </row>
    <row r="13" spans="2:9" ht="15.75" thickBot="1">
      <c r="B13" s="457" t="s">
        <v>21</v>
      </c>
      <c r="C13" s="457"/>
      <c r="D13" s="422" t="str">
        <f>IF(D12="Yes", IF(D11="PASS", "FAIL", "PASS"), D11)</f>
        <v>FAIL</v>
      </c>
    </row>
    <row r="14" spans="2:9" ht="15.75" thickBot="1"/>
    <row r="15" spans="2:9">
      <c r="B15" s="319" t="s">
        <v>22</v>
      </c>
      <c r="C15" s="61"/>
      <c r="E15" s="319" t="s">
        <v>0</v>
      </c>
    </row>
    <row r="16" spans="2:9" ht="15.75" thickBot="1">
      <c r="E16" s="428">
        <f ca="1">NOW()</f>
        <v>44613.647905324076</v>
      </c>
    </row>
    <row r="17" spans="2:9">
      <c r="B17" s="319" t="s">
        <v>24</v>
      </c>
      <c r="C17" s="61"/>
    </row>
    <row r="18" spans="2:9" s="27" customFormat="1">
      <c r="E18" s="24"/>
    </row>
    <row r="19" spans="2:9" ht="26.25" thickBot="1">
      <c r="B19" s="465" t="s">
        <v>25</v>
      </c>
      <c r="C19" s="465"/>
    </row>
    <row r="20" spans="2:9" ht="16.5" thickTop="1" thickBot="1"/>
    <row r="21" spans="2:9" customFormat="1">
      <c r="B21" s="319" t="s">
        <v>482</v>
      </c>
      <c r="C21" s="61"/>
      <c r="E21" s="494" t="s">
        <v>491</v>
      </c>
      <c r="F21" s="494"/>
      <c r="G21" s="24"/>
      <c r="H21" s="24"/>
      <c r="I21" s="24"/>
    </row>
    <row r="22" spans="2:9" customFormat="1" ht="15.75" thickBot="1">
      <c r="E22" s="458"/>
      <c r="F22" s="459"/>
      <c r="G22" s="56">
        <f>IFERROR(VLOOKUP(E22, Customer_Relationship_Scoring[],2,FALSE), 0)</f>
        <v>0</v>
      </c>
      <c r="H22" s="50">
        <f>VLOOKUP(E21, Risk_Segment_Weightings_Existing[], 2,FALSE)</f>
        <v>1</v>
      </c>
      <c r="I22" s="50">
        <f>G22*H22</f>
        <v>0</v>
      </c>
    </row>
    <row r="23" spans="2:9" ht="14.45" customHeight="1" thickBot="1">
      <c r="B23" s="494" t="s">
        <v>26</v>
      </c>
      <c r="C23" s="494"/>
      <c r="D23"/>
      <c r="G23" s="43"/>
      <c r="H23" s="43"/>
      <c r="I23" s="43"/>
    </row>
    <row r="24" spans="2:9" customFormat="1" ht="15.75" thickBot="1">
      <c r="B24" s="490"/>
      <c r="C24" s="491"/>
      <c r="E24" s="319" t="s">
        <v>431</v>
      </c>
      <c r="F24" s="34"/>
      <c r="G24" s="24"/>
      <c r="H24" s="24"/>
      <c r="I24" s="24"/>
    </row>
    <row r="25" spans="2:9" ht="15.75" thickBot="1">
      <c r="B25" s="492"/>
      <c r="C25" s="493"/>
      <c r="E25" s="319" t="s">
        <v>432</v>
      </c>
      <c r="F25" s="392"/>
    </row>
    <row r="26" spans="2:9" ht="14.45" customHeight="1" thickBot="1">
      <c r="B26"/>
      <c r="C26"/>
      <c r="D26"/>
      <c r="E26" s="319" t="s">
        <v>433</v>
      </c>
      <c r="F26" s="393"/>
    </row>
    <row r="27" spans="2:9">
      <c r="B27" s="425" t="s">
        <v>456</v>
      </c>
      <c r="C27" s="430"/>
      <c r="E27" s="319" t="s">
        <v>434</v>
      </c>
      <c r="F27" s="34"/>
    </row>
    <row r="28" spans="2:9" ht="15.75" thickBot="1">
      <c r="B28"/>
      <c r="C28"/>
    </row>
    <row r="29" spans="2:9" ht="15" customHeight="1">
      <c r="B29" s="487" t="s">
        <v>457</v>
      </c>
      <c r="C29" s="487"/>
      <c r="E29" s="494" t="s">
        <v>532</v>
      </c>
      <c r="F29" s="494"/>
    </row>
    <row r="30" spans="2:9" ht="14.45" customHeight="1">
      <c r="B30" s="487"/>
      <c r="C30" s="487"/>
      <c r="E30" s="458"/>
      <c r="F30" s="459"/>
      <c r="G30" s="56">
        <f>IFERROR(VLOOKUP(E30, Due_Diligence_Scoring[],2,FALSE), 0)</f>
        <v>0</v>
      </c>
      <c r="H30" s="50">
        <f>VLOOKUP(E29, Risk_Segment_Weightings_Existing[], 2,FALSE)</f>
        <v>1</v>
      </c>
      <c r="I30" s="50">
        <f>G30*H30</f>
        <v>0</v>
      </c>
    </row>
    <row r="31" spans="2:9" ht="15" customHeight="1" thickBot="1">
      <c r="B31" s="487"/>
      <c r="C31" s="487"/>
    </row>
    <row r="32" spans="2:9" customFormat="1">
      <c r="E32" s="425" t="s">
        <v>29</v>
      </c>
      <c r="F32" s="425"/>
      <c r="G32" s="43"/>
      <c r="H32" s="43"/>
      <c r="I32" s="43"/>
    </row>
    <row r="33" spans="2:9" ht="15.75" customHeight="1">
      <c r="B33"/>
      <c r="C33"/>
      <c r="E33" s="503"/>
      <c r="F33" s="504"/>
      <c r="G33" s="417">
        <f>IFERROR(VLOOKUP(E33, Industry_Sector_Ratings[], 20, FALSE),0)</f>
        <v>0</v>
      </c>
      <c r="H33" s="50">
        <f>VLOOKUP(E32, Risk_Segment_Weightings_Existing[], 2,FALSE)</f>
        <v>1</v>
      </c>
      <c r="I33" s="50">
        <f>G33*H33</f>
        <v>0</v>
      </c>
    </row>
    <row r="34" spans="2:9">
      <c r="B34"/>
      <c r="C34"/>
      <c r="E34" s="505"/>
      <c r="F34" s="506"/>
      <c r="G34"/>
      <c r="H34"/>
      <c r="I34"/>
    </row>
    <row r="35" spans="2:9" ht="14.45" customHeight="1">
      <c r="B35"/>
      <c r="C35"/>
      <c r="G35" s="414"/>
      <c r="H35" s="414"/>
      <c r="I35" s="414"/>
    </row>
    <row r="36" spans="2:9">
      <c r="B36"/>
      <c r="C36"/>
      <c r="G36" s="457" t="s">
        <v>505</v>
      </c>
      <c r="H36" s="509"/>
      <c r="I36" s="50">
        <f>I22+I30+I33</f>
        <v>0</v>
      </c>
    </row>
    <row r="37" spans="2:9" ht="14.45" customHeight="1">
      <c r="E37"/>
      <c r="G37" s="44"/>
      <c r="H37" s="44"/>
      <c r="I37" s="43"/>
    </row>
    <row r="38" spans="2:9" ht="14.45" customHeight="1">
      <c r="B38"/>
      <c r="E38"/>
      <c r="F38" s="28"/>
      <c r="G38" s="457" t="s">
        <v>506</v>
      </c>
      <c r="H38" s="509"/>
      <c r="I38" s="50">
        <f>'Model Data'!C47</f>
        <v>73.5</v>
      </c>
    </row>
    <row r="39" spans="2:9" ht="15" customHeight="1">
      <c r="B39"/>
      <c r="C39"/>
      <c r="D39"/>
      <c r="E39"/>
      <c r="F39" s="28"/>
      <c r="G39" s="44"/>
      <c r="H39" s="44"/>
      <c r="I39" s="43"/>
    </row>
    <row r="40" spans="2:9" ht="15" customHeight="1">
      <c r="B40"/>
      <c r="C40"/>
      <c r="D40"/>
      <c r="E40"/>
      <c r="F40" s="27"/>
      <c r="G40" s="457" t="s">
        <v>507</v>
      </c>
      <c r="H40" s="509"/>
      <c r="I40" s="352">
        <f>I36/I38</f>
        <v>0</v>
      </c>
    </row>
    <row r="41" spans="2:9" ht="15" customHeight="1">
      <c r="B41"/>
      <c r="C41"/>
      <c r="D41"/>
      <c r="E41"/>
      <c r="F41" s="27"/>
      <c r="G41" s="44"/>
      <c r="H41" s="44"/>
      <c r="I41" s="43"/>
    </row>
    <row r="42" spans="2:9" ht="15" customHeight="1">
      <c r="B42"/>
      <c r="C42"/>
      <c r="D42"/>
      <c r="E42"/>
      <c r="F42" s="27"/>
      <c r="G42" s="457" t="s">
        <v>508</v>
      </c>
      <c r="H42" s="509"/>
      <c r="I42" s="352">
        <f>'Model Data'!C49</f>
        <v>0.6</v>
      </c>
    </row>
    <row r="43" spans="2:9" ht="15" customHeight="1" thickBot="1">
      <c r="B43"/>
      <c r="C43"/>
      <c r="D43"/>
      <c r="E43"/>
      <c r="F43"/>
      <c r="G43" s="44"/>
      <c r="H43" s="44"/>
      <c r="I43" s="43"/>
    </row>
    <row r="44" spans="2:9" ht="15" customHeight="1" thickBot="1">
      <c r="B44"/>
      <c r="C44"/>
      <c r="D44"/>
      <c r="E44"/>
      <c r="F44"/>
      <c r="G44" s="457" t="s">
        <v>509</v>
      </c>
      <c r="H44" s="509"/>
      <c r="I44" s="29" t="str">
        <f>IF(OR(I40&lt;I42,G22=0, G30=0),"FAIL", "PASS")</f>
        <v>FAIL</v>
      </c>
    </row>
    <row r="45" spans="2:9" ht="15" customHeight="1">
      <c r="B45"/>
      <c r="C45"/>
      <c r="D45"/>
    </row>
    <row r="46" spans="2:9" ht="20.100000000000001" customHeight="1" thickBot="1">
      <c r="B46" s="465" t="s">
        <v>475</v>
      </c>
      <c r="C46" s="465"/>
      <c r="D46" s="465"/>
      <c r="G46" s="43"/>
      <c r="H46" s="43"/>
      <c r="I46" s="43"/>
    </row>
    <row r="47" spans="2:9" ht="15.75" thickTop="1">
      <c r="G47" s="43"/>
      <c r="H47" s="43"/>
      <c r="I47" s="43"/>
    </row>
    <row r="48" spans="2:9">
      <c r="B48" s="318" t="s">
        <v>453</v>
      </c>
      <c r="C48" s="460"/>
      <c r="D48" s="462"/>
      <c r="E48" s="318" t="s">
        <v>36</v>
      </c>
      <c r="F48" s="88"/>
      <c r="G48" s="43"/>
      <c r="H48" s="43"/>
      <c r="I48" s="43"/>
    </row>
    <row r="49" spans="2:9">
      <c r="G49" s="43"/>
      <c r="H49" s="43"/>
      <c r="I49" s="43"/>
    </row>
    <row r="50" spans="2:9" ht="14.85" customHeight="1">
      <c r="B50" s="457" t="s">
        <v>38</v>
      </c>
      <c r="C50" s="457"/>
      <c r="D50" s="31"/>
      <c r="E50" s="32"/>
      <c r="F50" s="32"/>
      <c r="G50" s="43"/>
      <c r="H50" s="43"/>
      <c r="I50" s="43"/>
    </row>
    <row r="51" spans="2:9">
      <c r="B51" s="495" t="s">
        <v>39</v>
      </c>
      <c r="C51" s="321" t="s">
        <v>40</v>
      </c>
      <c r="D51" s="138" t="s">
        <v>41</v>
      </c>
      <c r="E51" s="138" t="s">
        <v>41</v>
      </c>
      <c r="F51" s="138" t="s">
        <v>41</v>
      </c>
      <c r="G51" s="43"/>
      <c r="H51" s="43"/>
      <c r="I51" s="43"/>
    </row>
    <row r="52" spans="2:9">
      <c r="B52" s="495"/>
      <c r="C52" s="42" t="s">
        <v>421</v>
      </c>
      <c r="D52" s="137"/>
      <c r="E52" s="137"/>
      <c r="F52" s="137"/>
      <c r="G52" s="43"/>
      <c r="H52" s="43"/>
      <c r="I52" s="43"/>
    </row>
    <row r="53" spans="2:9">
      <c r="B53" s="495"/>
      <c r="C53" s="43" t="s">
        <v>43</v>
      </c>
      <c r="D53" s="132"/>
      <c r="E53" s="132"/>
      <c r="F53" s="132"/>
      <c r="G53" s="43"/>
      <c r="H53" s="43"/>
      <c r="I53" s="43"/>
    </row>
    <row r="54" spans="2:9">
      <c r="B54" s="495"/>
      <c r="C54" s="43" t="s">
        <v>44</v>
      </c>
      <c r="D54" s="132"/>
      <c r="E54" s="132"/>
      <c r="F54" s="132"/>
      <c r="G54" s="43"/>
      <c r="H54" s="43"/>
      <c r="I54" s="43"/>
    </row>
    <row r="55" spans="2:9">
      <c r="B55" s="495"/>
      <c r="C55" s="43" t="s">
        <v>45</v>
      </c>
      <c r="D55" s="132"/>
      <c r="E55" s="132"/>
      <c r="F55" s="132"/>
      <c r="G55" s="43"/>
      <c r="H55" s="43"/>
      <c r="I55" s="43"/>
    </row>
    <row r="56" spans="2:9" ht="15" customHeight="1">
      <c r="B56" s="495"/>
      <c r="C56" s="42" t="s">
        <v>399</v>
      </c>
      <c r="D56" s="137"/>
      <c r="E56" s="137"/>
      <c r="F56" s="137"/>
      <c r="G56" s="43"/>
      <c r="H56" s="43"/>
      <c r="I56" s="43"/>
    </row>
    <row r="57" spans="2:9" ht="15.75" thickBot="1">
      <c r="B57" s="495"/>
      <c r="C57" s="42" t="s">
        <v>47</v>
      </c>
      <c r="D57" s="136">
        <f>D52+D56</f>
        <v>0</v>
      </c>
      <c r="E57" s="136">
        <f>E52+E56</f>
        <v>0</v>
      </c>
      <c r="F57" s="136">
        <f>F52+F56</f>
        <v>0</v>
      </c>
      <c r="G57" s="43"/>
      <c r="H57" s="43"/>
      <c r="I57" s="43"/>
    </row>
    <row r="58" spans="2:9" ht="15.75" thickTop="1">
      <c r="B58" s="495"/>
      <c r="C58" s="321" t="s">
        <v>48</v>
      </c>
      <c r="D58" s="33"/>
      <c r="E58" s="33"/>
      <c r="F58" s="33"/>
      <c r="G58" s="43"/>
      <c r="H58" s="43"/>
      <c r="I58" s="43"/>
    </row>
    <row r="59" spans="2:9">
      <c r="B59" s="495"/>
      <c r="C59" s="42" t="s">
        <v>49</v>
      </c>
      <c r="D59" s="137"/>
      <c r="E59" s="137"/>
      <c r="F59" s="137"/>
      <c r="G59" s="43"/>
      <c r="H59" s="43"/>
      <c r="I59" s="43"/>
    </row>
    <row r="60" spans="2:9">
      <c r="B60" s="495"/>
      <c r="C60" s="325" t="s">
        <v>50</v>
      </c>
      <c r="D60" s="132"/>
      <c r="E60" s="132"/>
      <c r="F60" s="132"/>
      <c r="G60" s="43"/>
      <c r="H60" s="43"/>
      <c r="I60" s="43"/>
    </row>
    <row r="61" spans="2:9">
      <c r="B61" s="495"/>
      <c r="C61" s="42" t="s">
        <v>51</v>
      </c>
      <c r="D61" s="137"/>
      <c r="E61" s="137"/>
      <c r="F61" s="137"/>
      <c r="G61" s="43"/>
      <c r="H61" s="43"/>
      <c r="I61" s="43"/>
    </row>
    <row r="62" spans="2:9" ht="15.75" thickBot="1">
      <c r="B62" s="495"/>
      <c r="C62" s="42" t="s">
        <v>52</v>
      </c>
      <c r="D62" s="134">
        <f>D59+D61</f>
        <v>0</v>
      </c>
      <c r="E62" s="134">
        <f>E59+E61</f>
        <v>0</v>
      </c>
      <c r="F62" s="134">
        <f>F59+F61</f>
        <v>0</v>
      </c>
      <c r="G62" s="43"/>
      <c r="H62" s="43"/>
      <c r="I62" s="43"/>
    </row>
    <row r="63" spans="2:9">
      <c r="B63" s="495"/>
      <c r="C63" s="37" t="s">
        <v>53</v>
      </c>
      <c r="D63" s="33"/>
      <c r="E63" s="33"/>
      <c r="F63" s="33"/>
      <c r="G63" s="43"/>
      <c r="H63" s="43"/>
      <c r="I63" s="43"/>
    </row>
    <row r="64" spans="2:9">
      <c r="B64" s="495"/>
      <c r="C64" s="43" t="s">
        <v>430</v>
      </c>
      <c r="D64" s="132"/>
      <c r="E64" s="132"/>
      <c r="F64" s="132"/>
      <c r="G64" s="43"/>
      <c r="H64" s="43"/>
      <c r="I64" s="43"/>
    </row>
    <row r="65" spans="2:9">
      <c r="B65" s="495"/>
      <c r="C65" s="43" t="s">
        <v>55</v>
      </c>
      <c r="D65" s="132"/>
      <c r="E65" s="132"/>
      <c r="F65" s="132"/>
      <c r="G65" s="43"/>
      <c r="H65" s="43"/>
      <c r="I65" s="43"/>
    </row>
    <row r="66" spans="2:9">
      <c r="B66" s="495"/>
      <c r="C66" s="43" t="s">
        <v>56</v>
      </c>
      <c r="D66" s="132"/>
      <c r="E66" s="132"/>
      <c r="F66" s="132"/>
      <c r="G66" s="43"/>
      <c r="H66" s="43"/>
      <c r="I66" s="43"/>
    </row>
    <row r="67" spans="2:9" ht="15.75" thickBot="1">
      <c r="B67" s="495"/>
      <c r="C67" s="42" t="s">
        <v>57</v>
      </c>
      <c r="D67" s="134">
        <f>D64+D65+D66</f>
        <v>0</v>
      </c>
      <c r="E67" s="134">
        <f>E64+E65+E66</f>
        <v>0</v>
      </c>
      <c r="F67" s="134">
        <f>F64+F65+F66</f>
        <v>0</v>
      </c>
      <c r="G67" s="43"/>
      <c r="H67" s="43"/>
      <c r="I67" s="43"/>
    </row>
    <row r="68" spans="2:9" ht="15.75" thickBot="1">
      <c r="B68" s="495"/>
      <c r="C68" s="322" t="s">
        <v>58</v>
      </c>
      <c r="D68" s="136">
        <f>D67+D62</f>
        <v>0</v>
      </c>
      <c r="E68" s="136">
        <f>E67+E62</f>
        <v>0</v>
      </c>
      <c r="F68" s="136">
        <f>F67+F62</f>
        <v>0</v>
      </c>
      <c r="G68" s="43"/>
      <c r="H68" s="43"/>
      <c r="I68" s="43"/>
    </row>
    <row r="69" spans="2:9" s="27" customFormat="1" ht="15" customHeight="1" thickTop="1" thickBot="1">
      <c r="C69" s="38"/>
      <c r="D69" s="38"/>
      <c r="E69" s="38"/>
      <c r="F69" s="38"/>
      <c r="G69" s="38"/>
      <c r="H69" s="321" t="s">
        <v>440</v>
      </c>
      <c r="I69" s="38"/>
    </row>
    <row r="70" spans="2:9" ht="15.75" thickBot="1">
      <c r="B70" s="495" t="s">
        <v>59</v>
      </c>
      <c r="C70" s="321" t="s">
        <v>60</v>
      </c>
      <c r="D70" s="132"/>
      <c r="E70" s="132"/>
      <c r="F70" s="132"/>
      <c r="G70" s="318" t="s">
        <v>439</v>
      </c>
      <c r="H70" s="405">
        <v>5480300000</v>
      </c>
      <c r="I70" s="139" t="s">
        <v>35</v>
      </c>
    </row>
    <row r="71" spans="2:9">
      <c r="B71" s="495"/>
      <c r="C71" s="43" t="s">
        <v>61</v>
      </c>
      <c r="D71" s="132"/>
      <c r="E71" s="132"/>
      <c r="F71" s="404"/>
    </row>
    <row r="72" spans="2:9">
      <c r="B72" s="495"/>
      <c r="C72" s="30" t="s">
        <v>62</v>
      </c>
      <c r="D72" s="132"/>
      <c r="E72" s="132"/>
      <c r="F72" s="404"/>
      <c r="G72" s="467" t="s">
        <v>458</v>
      </c>
      <c r="H72" s="467"/>
      <c r="I72" s="467"/>
    </row>
    <row r="73" spans="2:9" ht="15.75" thickBot="1">
      <c r="B73" s="495"/>
      <c r="C73" s="42" t="s">
        <v>63</v>
      </c>
      <c r="D73" s="134">
        <f>D70+D71-ABS(D72)</f>
        <v>0</v>
      </c>
      <c r="E73" s="134">
        <f>E70+E71-ABS(E72)</f>
        <v>0</v>
      </c>
      <c r="F73" s="134">
        <f>F70+F71-ABS(F72)</f>
        <v>0</v>
      </c>
      <c r="G73" s="468"/>
      <c r="H73" s="469"/>
      <c r="I73" s="470"/>
    </row>
    <row r="74" spans="2:9">
      <c r="B74" s="495"/>
      <c r="C74" s="30" t="s">
        <v>64</v>
      </c>
      <c r="D74" s="132"/>
      <c r="E74" s="132"/>
      <c r="F74" s="132"/>
      <c r="G74" s="471"/>
      <c r="H74" s="472"/>
      <c r="I74" s="473"/>
    </row>
    <row r="75" spans="2:9">
      <c r="B75" s="495"/>
      <c r="C75" s="39" t="s">
        <v>65</v>
      </c>
      <c r="D75" s="132"/>
      <c r="E75" s="132"/>
      <c r="F75" s="132"/>
      <c r="G75" s="471"/>
      <c r="H75" s="472"/>
      <c r="I75" s="473"/>
    </row>
    <row r="76" spans="2:9" ht="15.75" thickBot="1">
      <c r="B76" s="495"/>
      <c r="C76" s="42" t="s">
        <v>66</v>
      </c>
      <c r="D76" s="134">
        <f>D73-ABS(D74)</f>
        <v>0</v>
      </c>
      <c r="E76" s="134">
        <f>E73-ABS(E74)</f>
        <v>0</v>
      </c>
      <c r="F76" s="134">
        <f>F73-ABS(F74)</f>
        <v>0</v>
      </c>
      <c r="G76" s="471"/>
      <c r="H76" s="472"/>
      <c r="I76" s="473"/>
    </row>
    <row r="77" spans="2:9">
      <c r="B77" s="495"/>
      <c r="C77" s="30" t="s">
        <v>67</v>
      </c>
      <c r="D77" s="132"/>
      <c r="E77" s="132"/>
      <c r="F77" s="133"/>
      <c r="G77" s="474"/>
      <c r="H77" s="475"/>
      <c r="I77" s="476"/>
    </row>
    <row r="78" spans="2:9" ht="15.75" thickBot="1">
      <c r="B78" s="495"/>
      <c r="C78" s="42" t="s">
        <v>68</v>
      </c>
      <c r="D78" s="134">
        <f>D76-ABS(D77)</f>
        <v>0</v>
      </c>
      <c r="E78" s="134">
        <f>E76-ABS(E77)</f>
        <v>0</v>
      </c>
      <c r="F78" s="134">
        <f>F76-ABS(F77)</f>
        <v>0</v>
      </c>
    </row>
    <row r="79" spans="2:9">
      <c r="B79" s="495"/>
      <c r="C79" s="30" t="s">
        <v>69</v>
      </c>
      <c r="D79" s="132"/>
      <c r="E79" s="132"/>
      <c r="F79" s="132"/>
    </row>
    <row r="80" spans="2:9" ht="15.75" thickBot="1">
      <c r="B80" s="495"/>
      <c r="C80" s="42" t="s">
        <v>70</v>
      </c>
      <c r="D80" s="134">
        <f>D78-ABS(D79)</f>
        <v>0</v>
      </c>
      <c r="E80" s="134">
        <f>E78-ABS(E79)</f>
        <v>0</v>
      </c>
      <c r="F80" s="134">
        <f>F78-ABS(F79)</f>
        <v>0</v>
      </c>
    </row>
    <row r="81" spans="2:12">
      <c r="B81" s="495"/>
      <c r="C81" s="30" t="s">
        <v>71</v>
      </c>
      <c r="D81" s="132"/>
      <c r="E81" s="132"/>
      <c r="F81" s="133"/>
    </row>
    <row r="82" spans="2:12">
      <c r="B82" s="495"/>
      <c r="C82" s="30" t="s">
        <v>72</v>
      </c>
      <c r="D82" s="133"/>
      <c r="E82" s="133"/>
      <c r="F82" s="133"/>
    </row>
    <row r="83" spans="2:12">
      <c r="C83" s="43"/>
      <c r="D83" s="43"/>
      <c r="E83" s="43"/>
      <c r="F83" s="43"/>
    </row>
    <row r="84" spans="2:12">
      <c r="B84" s="495" t="s">
        <v>73</v>
      </c>
      <c r="C84" s="43" t="s">
        <v>74</v>
      </c>
      <c r="D84" s="135">
        <f>IF(ISBLANK(E50),0,D76+ABS(D75)-ABS(D79))</f>
        <v>0</v>
      </c>
      <c r="E84" s="135">
        <f>IF(ISBLANK(F50),0,E76+ABS(E75)-ABS(E79))</f>
        <v>0</v>
      </c>
      <c r="F84" s="27"/>
      <c r="G84" s="43"/>
      <c r="H84" s="43"/>
      <c r="I84" s="43"/>
    </row>
    <row r="85" spans="2:12">
      <c r="B85" s="495"/>
      <c r="C85" s="43" t="s">
        <v>75</v>
      </c>
      <c r="D85" s="135">
        <f>IF(ISBLANK(E50),0,D56-E56+ABS(D75))</f>
        <v>0</v>
      </c>
      <c r="E85" s="135">
        <f>IF(ISBLANK(F50),0,E56-F56+ABS(E75))</f>
        <v>0</v>
      </c>
      <c r="F85" s="27"/>
      <c r="G85" s="43"/>
      <c r="H85" s="43"/>
      <c r="I85" s="43"/>
    </row>
    <row r="86" spans="2:12">
      <c r="B86" s="495"/>
      <c r="C86" s="43" t="s">
        <v>76</v>
      </c>
      <c r="D86" s="135">
        <f>IF(ISBLANK(E50),0,(D52-D59)-(E52-E59))</f>
        <v>0</v>
      </c>
      <c r="E86" s="135">
        <f>IF(ISBLANK(F50),0,(E52-E59)-(F52-F59))</f>
        <v>0</v>
      </c>
      <c r="F86" s="27"/>
      <c r="G86" s="43"/>
      <c r="H86" s="43"/>
      <c r="I86" s="43"/>
    </row>
    <row r="87" spans="2:12">
      <c r="B87" s="495"/>
      <c r="C87" s="43" t="s">
        <v>77</v>
      </c>
      <c r="D87" s="135">
        <f>IF(ISBLANK(E50),0,-(D61-E61-ABS(D77)))</f>
        <v>0</v>
      </c>
      <c r="E87" s="135">
        <f>IF(ISBLANK(F50),0,-(E61-F61-ABS(E77)))</f>
        <v>0</v>
      </c>
      <c r="F87" s="27"/>
      <c r="G87" s="43"/>
      <c r="H87" s="43"/>
      <c r="I87" s="43"/>
    </row>
    <row r="88" spans="2:12">
      <c r="B88" s="495"/>
      <c r="C88" s="43" t="s">
        <v>78</v>
      </c>
      <c r="D88" s="135">
        <f>IF(ISBLANK(E50),0,ABS(D81)-(D64-E64)-(D66-E66))</f>
        <v>0</v>
      </c>
      <c r="E88" s="135">
        <f>IF(ISBLANK(F50),0,ABS(E81)-(E64-F64)-(E66-F66))</f>
        <v>0</v>
      </c>
      <c r="F88" s="27"/>
      <c r="G88" s="43"/>
      <c r="H88" s="43"/>
      <c r="I88" s="43"/>
    </row>
    <row r="89" spans="2:12" ht="15.75" thickBot="1">
      <c r="G89" s="43"/>
      <c r="H89" s="43"/>
      <c r="I89" s="43"/>
    </row>
    <row r="90" spans="2:12" ht="15.75" thickBot="1">
      <c r="C90" s="318" t="s">
        <v>79</v>
      </c>
      <c r="D90" s="29" t="str">
        <f>IF(AND(ABS(D68-D57)&lt;=1000,ABS(SUM(D85:D88)-D84)&lt;=1000),"PASS", "FAIL")</f>
        <v>PASS</v>
      </c>
      <c r="E90" s="29" t="str">
        <f>IF(AND(ABS(E68-E57)&lt;=1000,ABS(SUM(E85:E88)-E84)&lt;=1000),"PASS", "FAIL")</f>
        <v>PASS</v>
      </c>
      <c r="G90" s="477" t="s">
        <v>80</v>
      </c>
      <c r="H90" s="478"/>
      <c r="I90" s="479"/>
    </row>
    <row r="91" spans="2:12" ht="38.85" customHeight="1" thickBot="1">
      <c r="C91" s="41"/>
      <c r="D91" s="42"/>
      <c r="E91" s="42"/>
      <c r="G91" s="480"/>
      <c r="H91" s="481"/>
      <c r="I91" s="482"/>
    </row>
    <row r="92" spans="2:12" ht="26.25" thickBot="1">
      <c r="B92" s="465" t="s">
        <v>480</v>
      </c>
      <c r="C92" s="465"/>
      <c r="G92" s="25" t="s">
        <v>15</v>
      </c>
      <c r="H92" s="25" t="s">
        <v>16</v>
      </c>
      <c r="I92" s="25" t="s">
        <v>17</v>
      </c>
    </row>
    <row r="93" spans="2:12" ht="15.75" thickTop="1">
      <c r="G93" s="43"/>
      <c r="H93" s="43"/>
      <c r="I93" s="43"/>
    </row>
    <row r="94" spans="2:12" ht="15.75" thickBot="1">
      <c r="B94" s="321" t="s">
        <v>81</v>
      </c>
      <c r="C94" s="321" t="s">
        <v>82</v>
      </c>
      <c r="D94" s="321" t="s">
        <v>83</v>
      </c>
      <c r="E94" s="321" t="s">
        <v>84</v>
      </c>
      <c r="F94" s="321" t="s">
        <v>366</v>
      </c>
      <c r="G94" s="7" t="s">
        <v>15</v>
      </c>
      <c r="H94" s="7" t="s">
        <v>16</v>
      </c>
      <c r="I94" s="7" t="s">
        <v>17</v>
      </c>
    </row>
    <row r="95" spans="2:12">
      <c r="B95" s="497" t="s">
        <v>85</v>
      </c>
      <c r="C95" s="110" t="s">
        <v>86</v>
      </c>
      <c r="D95" s="444" t="str">
        <f>IF(OR(ISBLANK(E50), D84=0),"",IF(D84&gt;0,IFERROR(D84/ABS(D77),"∞"),"NEG"))</f>
        <v/>
      </c>
      <c r="E95" s="435" t="str">
        <f>IF(OR(ISBLANK(F50), E84=0),"",IF(E84&gt;0,IFERROR(E84/ABS(E77),"∞"),"NEG"))</f>
        <v/>
      </c>
      <c r="F95" s="418" t="str">
        <f t="shared" ref="F95:F104" si="0">IFERROR(IF(E95="", "", (D95-E95)/E95),"")</f>
        <v/>
      </c>
      <c r="G95" s="45">
        <f>IF(OR(D95="", D95="NEG"), 0, IF(D95="∞",'Fin Statement Scoring Matrix'!F8,IF(D95&gt;='Fin Statement Scoring Matrix'!D8,'Fin Statement Scoring Matrix'!F8,IF(AND(D95&lt;='Fin Statement Scoring Matrix'!E9,D95&gt;='Fin Statement Scoring Matrix'!D9),'Fin Statement Scoring Matrix'!F9,IF(AND(D95&lt;='Fin Statement Scoring Matrix'!E10,D95&gt;='Fin Statement Scoring Matrix'!D10),'Fin Statement Scoring Matrix'!F10,IF(AND(D95&lt;='Fin Statement Scoring Matrix'!E11,D95&gt;='Fin Statement Scoring Matrix'!D11),'Fin Statement Scoring Matrix'!F11,IF(D95&lt;='Fin Statement Scoring Matrix'!E12,'Fin Statement Scoring Matrix'!F12,0)))))))</f>
        <v>0</v>
      </c>
      <c r="H95" s="46">
        <f>VLOOKUP(C95, Financial_Ratio_Weightings[], 2,FALSE)</f>
        <v>0.6</v>
      </c>
      <c r="I95" s="47">
        <f t="shared" ref="I95:I106" si="1">G95*H95</f>
        <v>0</v>
      </c>
      <c r="L95" s="24">
        <f>IF(F95="", 1,0)</f>
        <v>1</v>
      </c>
    </row>
    <row r="96" spans="2:12" ht="14.45" customHeight="1">
      <c r="B96" s="498"/>
      <c r="C96" s="111" t="s">
        <v>87</v>
      </c>
      <c r="D96" s="445" t="str">
        <f>IF(OR(ISBLANK(E50), D84=0),"",IF(D84&gt;0,D84/D70,"NEG"))</f>
        <v/>
      </c>
      <c r="E96" s="436" t="str">
        <f>IF(OR(ISBLANK(F50), E84=0),"",IF(E84&gt;0,E84/E70,"NEG"))</f>
        <v/>
      </c>
      <c r="F96" s="48" t="str">
        <f t="shared" si="0"/>
        <v/>
      </c>
      <c r="G96" s="49">
        <f>IF(OR(D96="", D96="NEG"), 0, IF(D96="∞",'Fin Statement Scoring Matrix'!F13,IF(D96&gt;='Fin Statement Scoring Matrix'!D13,'Fin Statement Scoring Matrix'!F13,IF(AND(D96&lt;='Fin Statement Scoring Matrix'!E14,D96&gt;='Fin Statement Scoring Matrix'!D14),'Fin Statement Scoring Matrix'!F14,IF(AND(D96&lt;='Fin Statement Scoring Matrix'!E15,D96&gt;='Fin Statement Scoring Matrix'!D15),'Fin Statement Scoring Matrix'!F15,IF(AND(D96&lt;='Fin Statement Scoring Matrix'!E16,D96&gt;='Fin Statement Scoring Matrix'!D16),'Fin Statement Scoring Matrix'!F16,IF(D96&lt;='Fin Statement Scoring Matrix'!E17,'Fin Statement Scoring Matrix'!F17,0)))))))</f>
        <v>0</v>
      </c>
      <c r="H96" s="50">
        <f>VLOOKUP(C96, Financial_Ratio_Weightings[], 2,FALSE)</f>
        <v>0.4</v>
      </c>
      <c r="I96" s="51">
        <f t="shared" si="1"/>
        <v>0</v>
      </c>
    </row>
    <row r="97" spans="2:9" ht="15.75" thickBot="1">
      <c r="B97" s="499"/>
      <c r="C97" s="112" t="s">
        <v>88</v>
      </c>
      <c r="D97" s="446" t="str">
        <f>IF(OR(ISBLANK(E50), D84=0),"",IF(D84&gt;0,D61/(D84/DATEDIF(E50,D50,"d")*365)*365,"NEG"))</f>
        <v/>
      </c>
      <c r="E97" s="437" t="str">
        <f>IF(OR(ISBLANK(F50), E84=0),"",IF(E84&gt;0,E61/(E84/DATEDIF(F50,E50,"d")*365)*365,"NEG"))</f>
        <v/>
      </c>
      <c r="F97" s="419" t="str">
        <f t="shared" si="0"/>
        <v/>
      </c>
      <c r="G97" s="53">
        <f>IF(OR(D97="", D97="NEG"), 0, IF(D97="∞",'Fin Statement Scoring Matrix'!F18,IF(D97&gt;='Fin Statement Scoring Matrix'!D18,'Fin Statement Scoring Matrix'!F18,IF(AND(D97&lt;='Fin Statement Scoring Matrix'!E19,D97&gt;='Fin Statement Scoring Matrix'!D19),'Fin Statement Scoring Matrix'!F19,IF(AND(D97&lt;='Fin Statement Scoring Matrix'!E20,D97&gt;='Fin Statement Scoring Matrix'!D20),'Fin Statement Scoring Matrix'!F20,IF(AND(D97&lt;='Fin Statement Scoring Matrix'!E21,D97&gt;='Fin Statement Scoring Matrix'!D21),'Fin Statement Scoring Matrix'!F21,IF(D97&lt;='Fin Statement Scoring Matrix'!E22,'Fin Statement Scoring Matrix'!F22,0)))))))</f>
        <v>0</v>
      </c>
      <c r="H97" s="54">
        <f>VLOOKUP(C97, Financial_Ratio_Weightings[], 2,FALSE)</f>
        <v>0.4</v>
      </c>
      <c r="I97" s="55">
        <f t="shared" si="1"/>
        <v>0</v>
      </c>
    </row>
    <row r="98" spans="2:9">
      <c r="B98" s="500" t="s">
        <v>89</v>
      </c>
      <c r="C98" s="113" t="s">
        <v>90</v>
      </c>
      <c r="D98" s="447" t="str">
        <f>IF(OR(ISBLANK(D50), D70&lt;=0),"",D73/D70)</f>
        <v/>
      </c>
      <c r="E98" s="438" t="str">
        <f>IF(OR(ISBLANK(E50), E70&lt;=0),"",E73/E70)</f>
        <v/>
      </c>
      <c r="F98" s="418" t="str">
        <f t="shared" si="0"/>
        <v/>
      </c>
      <c r="G98" s="45">
        <f>IF(D98="", 0, IF(D98="∞",'Fin Statement Scoring Matrix'!F23,IF(D98&gt;='Fin Statement Scoring Matrix'!D23,'Fin Statement Scoring Matrix'!F23,IF(AND(D98&lt;='Fin Statement Scoring Matrix'!E24,D98&gt;='Fin Statement Scoring Matrix'!D24),'Fin Statement Scoring Matrix'!F24,IF(AND(D98&lt;='Fin Statement Scoring Matrix'!E25,D98&gt;='Fin Statement Scoring Matrix'!D25),'Fin Statement Scoring Matrix'!F25,IF(AND(D98&lt;='Fin Statement Scoring Matrix'!E26,D98&gt;='Fin Statement Scoring Matrix'!D26),'Fin Statement Scoring Matrix'!F26,IF(D98&lt;='Fin Statement Scoring Matrix'!E27,'Fin Statement Scoring Matrix'!F27,0)))))))</f>
        <v>0</v>
      </c>
      <c r="H98" s="46">
        <f>VLOOKUP(C98, Financial_Ratio_Weightings[], 2,FALSE)</f>
        <v>0.2</v>
      </c>
      <c r="I98" s="47">
        <f t="shared" si="1"/>
        <v>0</v>
      </c>
    </row>
    <row r="99" spans="2:9">
      <c r="B99" s="501"/>
      <c r="C99" s="114" t="s">
        <v>91</v>
      </c>
      <c r="D99" s="445" t="str">
        <f>IF(OR(ISBLANK(D50), D57&lt;=0),"",((D78/IF(E50="", D50-DATE(YEAR(D50),1,0), DATEDIF(E50,D50,"d"))*365)/D57))</f>
        <v/>
      </c>
      <c r="E99" s="436" t="str">
        <f>IF(OR(ISBLANK(E50), E57&lt;=0),"",((E78/IF(F50="", E50-DATE(YEAR(E50),1,0), DATEDIF(F50,E50,"d"))*365)/E57))</f>
        <v/>
      </c>
      <c r="F99" s="48" t="str">
        <f t="shared" si="0"/>
        <v/>
      </c>
      <c r="G99" s="49">
        <f>IF(D99="",0,(IF(D99="∞",'Fin Statement Scoring Matrix'!F28,IF(D99&gt;='Fin Statement Scoring Matrix'!D28,'Fin Statement Scoring Matrix'!F28,IF(AND(D99&lt;='Fin Statement Scoring Matrix'!E29,D99&gt;='Fin Statement Scoring Matrix'!D29),'Fin Statement Scoring Matrix'!F29,IF(AND(D99&lt;='Fin Statement Scoring Matrix'!E30,D99&gt;='Fin Statement Scoring Matrix'!D30),'Fin Statement Scoring Matrix'!F30,IF(AND(D99&lt;='Fin Statement Scoring Matrix'!E31,D99&gt;='Fin Statement Scoring Matrix'!D31),'Fin Statement Scoring Matrix'!F31,IF(D99&lt;='Fin Statement Scoring Matrix'!E32,'Fin Statement Scoring Matrix'!F32,0))))))))</f>
        <v>0</v>
      </c>
      <c r="H99" s="50">
        <f>VLOOKUP(C99, Financial_Ratio_Weightings[], 2,FALSE)</f>
        <v>0.1</v>
      </c>
      <c r="I99" s="51">
        <f t="shared" si="1"/>
        <v>0</v>
      </c>
    </row>
    <row r="100" spans="2:9" ht="15.75" thickBot="1">
      <c r="B100" s="502"/>
      <c r="C100" s="115" t="s">
        <v>92</v>
      </c>
      <c r="D100" s="448" t="str">
        <f>IF(OR(ISBLANK(E50), E70&lt;=0),"",((D70/IF(E50="",D50-DATE(YEAR(D50),1,0),DATEDIF(E50,D50,"d"))*365)-E70)/E70)</f>
        <v/>
      </c>
      <c r="E100" s="434" t="str">
        <f>IF(OR(ISBLANK(F50), F70&lt;=0),"",((E70/IF(F50="",E50-DATE(YEAR(E50),1,0),DATEDIF(F50,E50,"d"))*365)-F70)/F70)</f>
        <v/>
      </c>
      <c r="F100" s="419" t="str">
        <f t="shared" si="0"/>
        <v/>
      </c>
      <c r="G100" s="53">
        <f>IF(D100="", 0, IF(D100="∞",'Fin Statement Scoring Matrix'!F33,IF(D100&gt;='Fin Statement Scoring Matrix'!D33,'Fin Statement Scoring Matrix'!F33,IF(AND(D100&lt;='Fin Statement Scoring Matrix'!E34,D100&gt;='Fin Statement Scoring Matrix'!D34),'Fin Statement Scoring Matrix'!F34,IF(AND(D100&lt;='Fin Statement Scoring Matrix'!E35,D100&gt;='Fin Statement Scoring Matrix'!D35),'Fin Statement Scoring Matrix'!F35,IF(AND(D100&lt;='Fin Statement Scoring Matrix'!E36,D100&gt;='Fin Statement Scoring Matrix'!D36),'Fin Statement Scoring Matrix'!F36,IF(D100&lt;='Fin Statement Scoring Matrix'!E37,'Fin Statement Scoring Matrix'!F37,0)))))))</f>
        <v>0</v>
      </c>
      <c r="H100" s="54">
        <f>VLOOKUP(C100, Financial_Ratio_Weightings[], 2,FALSE)</f>
        <v>0.2</v>
      </c>
      <c r="I100" s="55">
        <f t="shared" si="1"/>
        <v>0</v>
      </c>
    </row>
    <row r="101" spans="2:9" ht="14.85" customHeight="1">
      <c r="B101" s="497" t="s">
        <v>93</v>
      </c>
      <c r="C101" s="110" t="s">
        <v>94</v>
      </c>
      <c r="D101" s="449" t="str">
        <f>IF(OR(ISBLANK(D50), D67&lt;=0),"",(D60+D61)/D67)</f>
        <v/>
      </c>
      <c r="E101" s="439" t="str">
        <f>IF(OR(ISBLANK(E50), E67&lt;=0),"",(E60+E61)/E67)</f>
        <v/>
      </c>
      <c r="F101" s="418" t="str">
        <f t="shared" si="0"/>
        <v/>
      </c>
      <c r="G101" s="45">
        <f>IF(D101="", 0, IF(D101="∞",'Fin Statement Scoring Matrix'!F38,IF(D101&gt;='Fin Statement Scoring Matrix'!D38,'Fin Statement Scoring Matrix'!F38,IF(AND(D101&lt;='Fin Statement Scoring Matrix'!E39,D101&gt;='Fin Statement Scoring Matrix'!D39),'Fin Statement Scoring Matrix'!F39,IF(AND(D101&lt;='Fin Statement Scoring Matrix'!E40,D101&gt;='Fin Statement Scoring Matrix'!D40),'Fin Statement Scoring Matrix'!F40,IF(AND(D101&lt;='Fin Statement Scoring Matrix'!E41,D101&gt;='Fin Statement Scoring Matrix'!D41),'Fin Statement Scoring Matrix'!F41,IF(D101&lt;='Fin Statement Scoring Matrix'!E42,'Fin Statement Scoring Matrix'!F42,0)))))))</f>
        <v>0</v>
      </c>
      <c r="H101" s="46">
        <f>VLOOKUP(C101, Financial_Ratio_Weightings[], 2,FALSE)</f>
        <v>0.6</v>
      </c>
      <c r="I101" s="47">
        <f t="shared" si="1"/>
        <v>0</v>
      </c>
    </row>
    <row r="102" spans="2:9" ht="14.85" customHeight="1">
      <c r="B102" s="498"/>
      <c r="C102" s="111" t="s">
        <v>95</v>
      </c>
      <c r="D102" s="450" t="str">
        <f>IF(OR(ISBLANK(D50), D57&lt;=0),"",(D60+D61)/D57)</f>
        <v/>
      </c>
      <c r="E102" s="440" t="str">
        <f>IF(OR(ISBLANK(E50), E57&lt;=0),"",(E60+E61)/E57)</f>
        <v/>
      </c>
      <c r="F102" s="48" t="str">
        <f t="shared" si="0"/>
        <v/>
      </c>
      <c r="G102" s="49">
        <f>IF(D102="", 0, IF(D102="∞",'Fin Statement Scoring Matrix'!F43,IF(D102&gt;='Fin Statement Scoring Matrix'!D43,'Fin Statement Scoring Matrix'!F43,IF(AND(D102&lt;='Fin Statement Scoring Matrix'!E44,D102&gt;='Fin Statement Scoring Matrix'!D44),'Fin Statement Scoring Matrix'!F44,IF(AND(D102&lt;='Fin Statement Scoring Matrix'!E45,D102&gt;='Fin Statement Scoring Matrix'!D45),'Fin Statement Scoring Matrix'!F45,IF(AND(D102&lt;='Fin Statement Scoring Matrix'!E46,D102&gt;='Fin Statement Scoring Matrix'!D46),'Fin Statement Scoring Matrix'!F46,IF(D102&lt;='Fin Statement Scoring Matrix'!E47,'Fin Statement Scoring Matrix'!F47,0)))))))</f>
        <v>0</v>
      </c>
      <c r="H102" s="50">
        <f>VLOOKUP(C102, Financial_Ratio_Weightings[], 2,FALSE)</f>
        <v>0.5</v>
      </c>
      <c r="I102" s="51">
        <f t="shared" si="1"/>
        <v>0</v>
      </c>
    </row>
    <row r="103" spans="2:9" ht="16.350000000000001" customHeight="1" thickBot="1">
      <c r="B103" s="499"/>
      <c r="C103" s="115" t="s">
        <v>96</v>
      </c>
      <c r="D103" s="451" t="str">
        <f>IF(OR(ISBLANK(D50), D67&lt;=0),"",((D80/IF(E50="",D50-DATE(YEAR(D50),1,0),DATEDIF(E50,D50,"d")))*365)/D67)</f>
        <v/>
      </c>
      <c r="E103" s="441" t="str">
        <f>IF(OR(ISBLANK(E50), E67&lt;=0),"",((E80/IF(F50="",E50-DATE(YEAR(E50),1,0),DATEDIF(F50,E50,"d")))*365)/E67)</f>
        <v/>
      </c>
      <c r="F103" s="419" t="str">
        <f t="shared" si="0"/>
        <v/>
      </c>
      <c r="G103" s="53">
        <f>IF(D103="", 0, IF(D103="∞",'Fin Statement Scoring Matrix'!F48,IF(D103&gt;='Fin Statement Scoring Matrix'!D48,'Fin Statement Scoring Matrix'!F48,IF(AND(D103&lt;='Fin Statement Scoring Matrix'!E49,D103&gt;='Fin Statement Scoring Matrix'!D49),'Fin Statement Scoring Matrix'!F49,IF(AND(D103&lt;='Fin Statement Scoring Matrix'!E50,D103&gt;='Fin Statement Scoring Matrix'!D50),'Fin Statement Scoring Matrix'!F50,IF(AND(D103&lt;='Fin Statement Scoring Matrix'!E51,D103&gt;='Fin Statement Scoring Matrix'!D51),'Fin Statement Scoring Matrix'!F51,IF(D103&lt;='Fin Statement Scoring Matrix'!E52,'Fin Statement Scoring Matrix'!F52,0)))))))</f>
        <v>0</v>
      </c>
      <c r="H103" s="54">
        <f>VLOOKUP(C103, Financial_Ratio_Weightings[], 2,FALSE)</f>
        <v>0.2</v>
      </c>
      <c r="I103" s="55">
        <f t="shared" si="1"/>
        <v>0</v>
      </c>
    </row>
    <row r="104" spans="2:9">
      <c r="B104" s="500" t="s">
        <v>97</v>
      </c>
      <c r="C104" s="110" t="s">
        <v>98</v>
      </c>
      <c r="D104" s="449" t="str">
        <f>IF(OR(ISBLANK(D50), D59&lt;=0),"",(D53+D54)/D59)</f>
        <v/>
      </c>
      <c r="E104" s="439" t="str">
        <f>IF(OR(ISBLANK(E50), E59&lt;=0),"",(E53+E54)/E59)</f>
        <v/>
      </c>
      <c r="F104" s="418" t="str">
        <f t="shared" si="0"/>
        <v/>
      </c>
      <c r="G104" s="45">
        <f>IF(D104="", 0, IF(D104="∞",'Fin Statement Scoring Matrix'!F53,IF(D104&gt;='Fin Statement Scoring Matrix'!D53,'Fin Statement Scoring Matrix'!F53,IF(AND(D104&lt;='Fin Statement Scoring Matrix'!E54,D104&gt;='Fin Statement Scoring Matrix'!D54),'Fin Statement Scoring Matrix'!F54,IF(AND(D104&lt;='Fin Statement Scoring Matrix'!E55,D104&gt;='Fin Statement Scoring Matrix'!D55),'Fin Statement Scoring Matrix'!F55,IF(AND(D104&lt;='Fin Statement Scoring Matrix'!E56,D104&gt;='Fin Statement Scoring Matrix'!D56),'Fin Statement Scoring Matrix'!F56,IF(D104&lt;='Fin Statement Scoring Matrix'!E57,'Fin Statement Scoring Matrix'!F57,0)))))))</f>
        <v>0</v>
      </c>
      <c r="H104" s="46">
        <f>VLOOKUP(C104, Financial_Ratio_Weightings[], 2,FALSE)</f>
        <v>0.4</v>
      </c>
      <c r="I104" s="47">
        <f t="shared" si="1"/>
        <v>0</v>
      </c>
    </row>
    <row r="105" spans="2:9">
      <c r="B105" s="501"/>
      <c r="C105" s="111" t="s">
        <v>99</v>
      </c>
      <c r="D105" s="452" t="str">
        <f>IF(OR(ISBLANK(D50), D70&lt;=0),"",D55/((D70/IF(E50="",D50-DATE(YEAR(D50),1,0),DATEDIF(E50,D50,"d")))*365)*365)</f>
        <v/>
      </c>
      <c r="E105" s="442" t="str">
        <f>IF(OR(ISBLANK(E50), E70&lt;=0),"",E55/((E70/IF(F50="",E50-DATE(YEAR(E50),1,0),DATEDIF(F50,E50,"d")))*365)*365)</f>
        <v/>
      </c>
      <c r="F105" s="48" t="str">
        <f>IFERROR(IF(OR(E105="", E105=0), "", (D105-E105)/E105),"")</f>
        <v/>
      </c>
      <c r="G105" s="49">
        <f>IF(D105="", 0, IF(D105="∞",'Fin Statement Scoring Matrix'!F58,IF(D105&gt;='Fin Statement Scoring Matrix'!D58,'Fin Statement Scoring Matrix'!F58,IF(AND(D105&lt;='Fin Statement Scoring Matrix'!E59,D105&gt;='Fin Statement Scoring Matrix'!D59),'Fin Statement Scoring Matrix'!F59,IF(AND(D105&lt;='Fin Statement Scoring Matrix'!E60,D105&gt;='Fin Statement Scoring Matrix'!D60),'Fin Statement Scoring Matrix'!F60,IF(AND(D105&lt;='Fin Statement Scoring Matrix'!E61,D105&gt;='Fin Statement Scoring Matrix'!D61),'Fin Statement Scoring Matrix'!F61,IF(D105&lt;='Fin Statement Scoring Matrix'!E62,'Fin Statement Scoring Matrix'!F62,0)))))))</f>
        <v>0</v>
      </c>
      <c r="H105" s="50">
        <f>VLOOKUP(C105, Financial_Ratio_Weightings[], 2,FALSE)</f>
        <v>0.2</v>
      </c>
      <c r="I105" s="51">
        <f t="shared" si="1"/>
        <v>0</v>
      </c>
    </row>
    <row r="106" spans="2:9" ht="15.75" thickBot="1">
      <c r="B106" s="502"/>
      <c r="C106" s="112" t="s">
        <v>100</v>
      </c>
      <c r="D106" s="453" t="str">
        <f>IF(OR(ISBLANK(D50), D70&lt;=0),"",D54/((D70/IF(E50="",D50-DATE(YEAR(D50),1,0),DATEDIF(E50,D50,"d")))*365)*365)</f>
        <v/>
      </c>
      <c r="E106" s="443" t="str">
        <f>IF(OR(ISBLANK(E50), E70&lt;=0),"",E54/((E70/IF(F50="",E50-DATE(YEAR(E50),1,0),DATEDIF(F50,E50,"d")))*365)*365)</f>
        <v/>
      </c>
      <c r="F106" s="52" t="str">
        <f>IFERROR(IF(E106="", "", (D106-E106)/E106),"")</f>
        <v/>
      </c>
      <c r="G106" s="53">
        <f>IF(D106="", 0, IF(D106="∞",'Fin Statement Scoring Matrix'!F63,IF(D106&gt;='Fin Statement Scoring Matrix'!D63,'Fin Statement Scoring Matrix'!F63,IF(AND(D106&lt;='Fin Statement Scoring Matrix'!E64,D106&gt;='Fin Statement Scoring Matrix'!D64),'Fin Statement Scoring Matrix'!F64,IF(AND(D106&lt;='Fin Statement Scoring Matrix'!E65,D106&gt;='Fin Statement Scoring Matrix'!D65),'Fin Statement Scoring Matrix'!F65,IF(AND(D106&lt;='Fin Statement Scoring Matrix'!E66,D106&gt;='Fin Statement Scoring Matrix'!D66),'Fin Statement Scoring Matrix'!F66,IF(D106&lt;='Fin Statement Scoring Matrix'!E67,'Fin Statement Scoring Matrix'!F67,0)))))))</f>
        <v>0</v>
      </c>
      <c r="H106" s="54">
        <f>VLOOKUP(C106, Financial_Ratio_Weightings[], 2,FALSE)</f>
        <v>0.2</v>
      </c>
      <c r="I106" s="55">
        <f t="shared" si="1"/>
        <v>0</v>
      </c>
    </row>
    <row r="107" spans="2:9">
      <c r="G107" s="43"/>
      <c r="H107" s="43"/>
      <c r="I107" s="43"/>
    </row>
    <row r="108" spans="2:9" ht="15" customHeight="1">
      <c r="B108" s="496" t="s">
        <v>101</v>
      </c>
      <c r="C108" s="496"/>
      <c r="D108" s="496"/>
      <c r="E108" s="496"/>
      <c r="G108" s="457" t="s">
        <v>510</v>
      </c>
      <c r="H108" s="457"/>
      <c r="I108" s="56">
        <f>SUM(I95:I106)</f>
        <v>0</v>
      </c>
    </row>
    <row r="109" spans="2:9">
      <c r="B109" s="464"/>
      <c r="C109" s="464"/>
      <c r="D109" s="464"/>
      <c r="E109" s="464"/>
      <c r="G109" s="44"/>
      <c r="H109" s="44"/>
      <c r="I109" s="43"/>
    </row>
    <row r="110" spans="2:9" ht="15" customHeight="1">
      <c r="B110" s="464"/>
      <c r="C110" s="464"/>
      <c r="D110" s="464"/>
      <c r="E110" s="464"/>
      <c r="G110" s="457" t="s">
        <v>511</v>
      </c>
      <c r="H110" s="457"/>
      <c r="I110" s="56">
        <f>'Model Data'!C97</f>
        <v>20</v>
      </c>
    </row>
    <row r="111" spans="2:9">
      <c r="B111" s="464"/>
      <c r="C111" s="464"/>
      <c r="D111" s="464"/>
      <c r="E111" s="464"/>
      <c r="G111" s="44"/>
      <c r="H111" s="44"/>
      <c r="I111" s="43"/>
    </row>
    <row r="112" spans="2:9" ht="15" customHeight="1">
      <c r="B112" s="464"/>
      <c r="C112" s="464"/>
      <c r="D112" s="464"/>
      <c r="E112" s="464"/>
      <c r="G112" s="457" t="s">
        <v>504</v>
      </c>
      <c r="H112" s="457"/>
      <c r="I112" s="48">
        <f>I108/I110</f>
        <v>0</v>
      </c>
    </row>
    <row r="113" spans="2:9">
      <c r="B113" s="464"/>
      <c r="C113" s="464"/>
      <c r="D113" s="464"/>
      <c r="E113" s="464"/>
      <c r="G113" s="44"/>
      <c r="H113" s="44"/>
      <c r="I113" s="43"/>
    </row>
    <row r="114" spans="2:9" ht="15" customHeight="1">
      <c r="B114" s="464"/>
      <c r="C114" s="464"/>
      <c r="D114" s="464"/>
      <c r="E114" s="464"/>
      <c r="G114" s="457" t="s">
        <v>503</v>
      </c>
      <c r="H114" s="457"/>
      <c r="I114" s="48">
        <f>'Model Data'!C99</f>
        <v>0.6</v>
      </c>
    </row>
    <row r="115" spans="2:9" ht="15.75" thickBot="1">
      <c r="B115" s="464"/>
      <c r="C115" s="464"/>
      <c r="D115" s="464"/>
      <c r="E115" s="464"/>
      <c r="G115" s="44"/>
      <c r="H115" s="44"/>
      <c r="I115" s="43"/>
    </row>
    <row r="116" spans="2:9" ht="15.75" thickBot="1">
      <c r="B116" s="464"/>
      <c r="C116" s="464"/>
      <c r="D116" s="464"/>
      <c r="E116" s="464"/>
      <c r="G116" s="457" t="s">
        <v>502</v>
      </c>
      <c r="H116" s="457"/>
      <c r="I116" s="29" t="str">
        <f>IF(I112&lt;I114,"FAIL", "PASS")</f>
        <v>FAIL</v>
      </c>
    </row>
    <row r="117" spans="2:9">
      <c r="G117" s="43"/>
      <c r="H117" s="43"/>
      <c r="I117" s="43"/>
    </row>
    <row r="118" spans="2:9" ht="26.25" thickBot="1">
      <c r="B118" s="465" t="s">
        <v>517</v>
      </c>
      <c r="C118" s="465"/>
      <c r="G118" s="25" t="s">
        <v>15</v>
      </c>
      <c r="H118" s="25" t="s">
        <v>16</v>
      </c>
      <c r="I118" s="25" t="s">
        <v>17</v>
      </c>
    </row>
    <row r="119" spans="2:9" ht="15.75" thickTop="1">
      <c r="G119" s="43"/>
      <c r="H119" s="43"/>
      <c r="I119" s="43"/>
    </row>
    <row r="120" spans="2:9" ht="18" customHeight="1">
      <c r="B120" s="321" t="s">
        <v>102</v>
      </c>
      <c r="C120" s="321" t="s">
        <v>103</v>
      </c>
      <c r="D120" s="463" t="s">
        <v>104</v>
      </c>
      <c r="E120" s="463"/>
      <c r="G120" s="7" t="s">
        <v>15</v>
      </c>
      <c r="H120" s="7" t="s">
        <v>16</v>
      </c>
      <c r="I120" s="7" t="s">
        <v>17</v>
      </c>
    </row>
    <row r="121" spans="2:9">
      <c r="B121" s="466" t="s">
        <v>105</v>
      </c>
      <c r="C121" s="323" t="s">
        <v>106</v>
      </c>
      <c r="D121" s="458"/>
      <c r="E121" s="459"/>
      <c r="G121" s="56">
        <f>IFERROR(VLOOKUP(D121, Rating_Scores[],2,FALSE),0)</f>
        <v>0</v>
      </c>
      <c r="H121" s="50">
        <f>VLOOKUP(C121, Business_Risk_Review_Weightings[], 2,FALSE)</f>
        <v>1</v>
      </c>
      <c r="I121" s="50">
        <f>G121*H121</f>
        <v>0</v>
      </c>
    </row>
    <row r="122" spans="2:9">
      <c r="B122" s="466"/>
      <c r="C122" s="323" t="s">
        <v>109</v>
      </c>
      <c r="D122" s="458"/>
      <c r="E122" s="459"/>
      <c r="G122" s="56">
        <f>IFERROR(VLOOKUP(D122, Rating_Scores[],2,FALSE),0)</f>
        <v>0</v>
      </c>
      <c r="H122" s="50">
        <f>VLOOKUP(C122, Business_Risk_Review_Weightings[], 2,FALSE)</f>
        <v>0.8</v>
      </c>
      <c r="I122" s="50">
        <f>G122*H122</f>
        <v>0</v>
      </c>
    </row>
    <row r="123" spans="2:9">
      <c r="B123" s="466"/>
      <c r="C123" s="323" t="s">
        <v>110</v>
      </c>
      <c r="D123" s="458"/>
      <c r="E123" s="459"/>
      <c r="G123" s="56">
        <f>IFERROR(VLOOKUP(D123, Rating_Scores[],2,FALSE),0)</f>
        <v>0</v>
      </c>
      <c r="H123" s="50">
        <f>VLOOKUP(C123, Business_Risk_Review_Weightings[], 2,FALSE)</f>
        <v>0.7</v>
      </c>
      <c r="I123" s="50">
        <f>G123*H123</f>
        <v>0</v>
      </c>
    </row>
    <row r="124" spans="2:9">
      <c r="B124" s="466"/>
      <c r="C124" s="323" t="s">
        <v>108</v>
      </c>
      <c r="D124" s="323"/>
      <c r="E124" s="323"/>
      <c r="G124" s="44"/>
      <c r="H124" s="44"/>
      <c r="I124" s="44"/>
    </row>
    <row r="125" spans="2:9" ht="75.75" customHeight="1">
      <c r="B125" s="466"/>
      <c r="C125" s="460"/>
      <c r="D125" s="461"/>
      <c r="E125" s="462"/>
      <c r="G125" s="44"/>
      <c r="H125" s="44"/>
      <c r="I125" s="44"/>
    </row>
    <row r="126" spans="2:9">
      <c r="B126" s="466"/>
      <c r="C126" s="323" t="s">
        <v>111</v>
      </c>
      <c r="D126" s="458"/>
      <c r="E126" s="459"/>
      <c r="G126" s="56">
        <f>IFERROR(VLOOKUP(D126, Rating_Scores[],2,FALSE),0)</f>
        <v>0</v>
      </c>
      <c r="H126" s="50">
        <f>VLOOKUP(C126, Business_Risk_Review_Weightings[], 2,FALSE)</f>
        <v>0.9</v>
      </c>
      <c r="I126" s="50">
        <f>G126*H126</f>
        <v>0</v>
      </c>
    </row>
    <row r="127" spans="2:9">
      <c r="B127" s="466"/>
      <c r="C127" s="323" t="s">
        <v>112</v>
      </c>
      <c r="D127" s="458"/>
      <c r="E127" s="459"/>
      <c r="G127" s="56">
        <f>IFERROR(VLOOKUP(D127, Rating_Scores[],2,FALSE),0)</f>
        <v>0</v>
      </c>
      <c r="H127" s="50">
        <f>VLOOKUP(C127, Business_Risk_Review_Weightings[], 2,FALSE)</f>
        <v>0.8</v>
      </c>
      <c r="I127" s="50">
        <f>G127*H127</f>
        <v>0</v>
      </c>
    </row>
    <row r="128" spans="2:9">
      <c r="B128" s="466"/>
      <c r="C128" s="323" t="s">
        <v>108</v>
      </c>
      <c r="D128" s="323"/>
      <c r="E128" s="323"/>
      <c r="G128" s="44"/>
      <c r="H128" s="44"/>
      <c r="I128" s="44"/>
    </row>
    <row r="129" spans="2:9" ht="67.5" customHeight="1">
      <c r="B129" s="466"/>
      <c r="C129" s="460"/>
      <c r="D129" s="461"/>
      <c r="E129" s="462"/>
      <c r="G129" s="44"/>
      <c r="H129" s="44"/>
      <c r="I129" s="44"/>
    </row>
    <row r="130" spans="2:9">
      <c r="B130" s="489" t="s">
        <v>113</v>
      </c>
      <c r="C130" s="323" t="s">
        <v>114</v>
      </c>
      <c r="D130" s="458"/>
      <c r="E130" s="459"/>
      <c r="G130" s="56">
        <f>IFERROR(VLOOKUP(D130, Rating_Scores[],2,FALSE),0)</f>
        <v>0</v>
      </c>
      <c r="H130" s="50">
        <f>VLOOKUP(C130, Business_Risk_Review_Weightings[], 2,FALSE)</f>
        <v>0.8</v>
      </c>
      <c r="I130" s="50">
        <f>G130*H130</f>
        <v>0</v>
      </c>
    </row>
    <row r="131" spans="2:9">
      <c r="B131" s="489"/>
      <c r="C131" s="323" t="s">
        <v>108</v>
      </c>
      <c r="D131" s="323"/>
      <c r="E131" s="323"/>
      <c r="G131" s="44"/>
      <c r="H131" s="44"/>
      <c r="I131" s="44"/>
    </row>
    <row r="132" spans="2:9" ht="79.5" customHeight="1">
      <c r="B132" s="489"/>
      <c r="C132" s="460"/>
      <c r="D132" s="461"/>
      <c r="E132" s="462"/>
      <c r="G132" s="44"/>
      <c r="H132" s="44"/>
      <c r="I132" s="44"/>
    </row>
    <row r="133" spans="2:9">
      <c r="B133" s="489"/>
      <c r="C133" s="323" t="s">
        <v>115</v>
      </c>
      <c r="D133" s="458"/>
      <c r="E133" s="459"/>
      <c r="G133" s="56">
        <f>IFERROR(VLOOKUP(D133, Rating_Scores[],2,FALSE),0)</f>
        <v>0</v>
      </c>
      <c r="H133" s="50">
        <f>VLOOKUP(C133, Business_Risk_Review_Weightings[], 2,FALSE)</f>
        <v>1</v>
      </c>
      <c r="I133" s="50">
        <f>G133*H133</f>
        <v>0</v>
      </c>
    </row>
    <row r="134" spans="2:9">
      <c r="B134" s="489"/>
      <c r="C134" s="323" t="s">
        <v>108</v>
      </c>
      <c r="D134" s="323"/>
      <c r="E134" s="323"/>
      <c r="G134" s="44"/>
      <c r="H134" s="44"/>
      <c r="I134" s="44"/>
    </row>
    <row r="135" spans="2:9" ht="75" customHeight="1">
      <c r="B135" s="489"/>
      <c r="C135" s="460"/>
      <c r="D135" s="461"/>
      <c r="E135" s="462"/>
      <c r="G135" s="44"/>
      <c r="H135" s="44"/>
      <c r="I135" s="44"/>
    </row>
    <row r="136" spans="2:9">
      <c r="B136" s="489"/>
      <c r="C136" s="323" t="s">
        <v>116</v>
      </c>
      <c r="D136" s="458"/>
      <c r="E136" s="459"/>
      <c r="G136" s="56">
        <f>IFERROR(VLOOKUP(D136, Rating_Scores[],2,FALSE),0)</f>
        <v>0</v>
      </c>
      <c r="H136" s="50">
        <f>VLOOKUP(C136, Business_Risk_Review_Weightings[], 2,FALSE)</f>
        <v>0.7</v>
      </c>
      <c r="I136" s="50">
        <f>G136*H136</f>
        <v>0</v>
      </c>
    </row>
    <row r="137" spans="2:9">
      <c r="B137" s="489"/>
      <c r="C137" s="323" t="s">
        <v>108</v>
      </c>
      <c r="D137" s="323"/>
      <c r="E137" s="323"/>
      <c r="G137" s="44"/>
      <c r="H137" s="44"/>
      <c r="I137" s="44"/>
    </row>
    <row r="138" spans="2:9" ht="77.25" customHeight="1">
      <c r="B138" s="489"/>
      <c r="C138" s="460"/>
      <c r="D138" s="461"/>
      <c r="E138" s="462"/>
      <c r="G138" s="44"/>
      <c r="H138" s="44"/>
      <c r="I138" s="44"/>
    </row>
    <row r="139" spans="2:9">
      <c r="B139" s="489"/>
      <c r="C139" s="323" t="s">
        <v>117</v>
      </c>
      <c r="D139" s="458"/>
      <c r="E139" s="459"/>
      <c r="G139" s="56">
        <f>IFERROR(VLOOKUP(D139, Rating_Scores[],2,FALSE),0)</f>
        <v>0</v>
      </c>
      <c r="H139" s="50">
        <f>VLOOKUP(C139, Business_Risk_Review_Weightings[], 2,FALSE)</f>
        <v>0.7</v>
      </c>
      <c r="I139" s="50">
        <f>G139*H139</f>
        <v>0</v>
      </c>
    </row>
    <row r="140" spans="2:9">
      <c r="B140" s="489"/>
      <c r="C140" s="323" t="s">
        <v>108</v>
      </c>
      <c r="D140" s="323"/>
      <c r="E140" s="323"/>
      <c r="G140" s="44"/>
      <c r="H140" s="44"/>
      <c r="I140" s="44"/>
    </row>
    <row r="141" spans="2:9" ht="70.5" customHeight="1">
      <c r="B141" s="489"/>
      <c r="C141" s="460"/>
      <c r="D141" s="461"/>
      <c r="E141" s="462"/>
      <c r="G141" s="44"/>
      <c r="H141" s="44"/>
      <c r="I141" s="44"/>
    </row>
    <row r="142" spans="2:9">
      <c r="B142" s="489"/>
      <c r="C142" s="323" t="s">
        <v>118</v>
      </c>
      <c r="D142" s="458"/>
      <c r="E142" s="459"/>
      <c r="G142" s="56">
        <f>IFERROR(VLOOKUP(D142, Rating_Scores[],2,FALSE),0)</f>
        <v>0</v>
      </c>
      <c r="H142" s="50">
        <f>VLOOKUP(C142, Business_Risk_Review_Weightings[], 2,FALSE)</f>
        <v>0.8</v>
      </c>
      <c r="I142" s="50">
        <f>G142*H142</f>
        <v>0</v>
      </c>
    </row>
    <row r="143" spans="2:9">
      <c r="B143" s="489"/>
      <c r="C143" s="323" t="s">
        <v>108</v>
      </c>
      <c r="D143" s="323"/>
      <c r="E143" s="323"/>
      <c r="G143" s="44"/>
      <c r="H143" s="44"/>
      <c r="I143" s="44"/>
    </row>
    <row r="144" spans="2:9" ht="82.5" customHeight="1">
      <c r="B144" s="489"/>
      <c r="C144" s="460"/>
      <c r="D144" s="461"/>
      <c r="E144" s="462"/>
      <c r="G144" s="44"/>
      <c r="H144" s="44"/>
      <c r="I144" s="44"/>
    </row>
    <row r="145" spans="2:9">
      <c r="B145" s="489"/>
      <c r="C145" s="323" t="s">
        <v>119</v>
      </c>
      <c r="D145" s="458"/>
      <c r="E145" s="459"/>
      <c r="G145" s="56">
        <f>IFERROR(VLOOKUP(D145, Rating_Scores[],2,FALSE),0)</f>
        <v>0</v>
      </c>
      <c r="H145" s="50">
        <f>VLOOKUP(C145, Business_Risk_Review_Weightings[], 2,FALSE)</f>
        <v>0.7</v>
      </c>
      <c r="I145" s="50">
        <f>G145*H145</f>
        <v>0</v>
      </c>
    </row>
    <row r="146" spans="2:9">
      <c r="B146" s="489"/>
      <c r="C146" s="323" t="s">
        <v>108</v>
      </c>
      <c r="D146" s="323"/>
      <c r="E146" s="323"/>
      <c r="G146" s="44"/>
      <c r="H146" s="44"/>
      <c r="I146" s="44"/>
    </row>
    <row r="147" spans="2:9" ht="63.75" customHeight="1">
      <c r="B147" s="489"/>
      <c r="C147" s="460"/>
      <c r="D147" s="461"/>
      <c r="E147" s="462"/>
      <c r="G147" s="44"/>
      <c r="H147" s="44"/>
      <c r="I147" s="44"/>
    </row>
    <row r="148" spans="2:9">
      <c r="B148" s="466" t="s">
        <v>120</v>
      </c>
      <c r="C148" s="323" t="s">
        <v>121</v>
      </c>
      <c r="D148" s="458"/>
      <c r="E148" s="459"/>
      <c r="G148" s="56">
        <f>IFERROR(VLOOKUP(D148, Rating_Scores[],2,FALSE),0)</f>
        <v>0</v>
      </c>
      <c r="H148" s="50">
        <f>VLOOKUP(C148, Business_Risk_Review_Weightings[], 2,FALSE)</f>
        <v>0.6</v>
      </c>
      <c r="I148" s="50">
        <f>G148*H148</f>
        <v>0</v>
      </c>
    </row>
    <row r="149" spans="2:9">
      <c r="B149" s="466"/>
      <c r="C149" s="323" t="s">
        <v>122</v>
      </c>
      <c r="D149" s="458"/>
      <c r="E149" s="459"/>
      <c r="G149" s="56">
        <f>IFERROR(VLOOKUP(D149, Rating_Scores[],2,FALSE),0)</f>
        <v>0</v>
      </c>
      <c r="H149" s="50">
        <f>VLOOKUP(C149, Business_Risk_Review_Weightings[], 2,FALSE)</f>
        <v>0.9</v>
      </c>
      <c r="I149" s="50">
        <f>G149*H149</f>
        <v>0</v>
      </c>
    </row>
    <row r="150" spans="2:9">
      <c r="B150" s="466"/>
      <c r="C150" s="323" t="s">
        <v>108</v>
      </c>
      <c r="D150" s="323"/>
      <c r="E150" s="323"/>
      <c r="G150" s="44"/>
      <c r="H150" s="44"/>
      <c r="I150" s="44"/>
    </row>
    <row r="151" spans="2:9" ht="66.75" customHeight="1">
      <c r="B151" s="466"/>
      <c r="C151" s="460"/>
      <c r="D151" s="461"/>
      <c r="E151" s="462"/>
      <c r="G151" s="44"/>
      <c r="H151" s="44"/>
      <c r="I151" s="44"/>
    </row>
    <row r="152" spans="2:9">
      <c r="B152" s="489" t="s">
        <v>123</v>
      </c>
      <c r="C152" s="323" t="s">
        <v>124</v>
      </c>
      <c r="D152" s="458"/>
      <c r="E152" s="459"/>
      <c r="G152" s="56">
        <f>IFERROR(VLOOKUP(D152, Rating_Scores[],2,FALSE),0)</f>
        <v>0</v>
      </c>
      <c r="H152" s="50">
        <f>VLOOKUP(C152, Business_Risk_Review_Weightings[], 2,FALSE)</f>
        <v>0.8</v>
      </c>
      <c r="I152" s="50">
        <f>G152*H152</f>
        <v>0</v>
      </c>
    </row>
    <row r="153" spans="2:9">
      <c r="B153" s="489"/>
      <c r="C153" s="323" t="s">
        <v>108</v>
      </c>
      <c r="D153" s="323"/>
      <c r="E153" s="323"/>
      <c r="G153" s="44"/>
      <c r="H153" s="44"/>
      <c r="I153" s="44"/>
    </row>
    <row r="154" spans="2:9" ht="69.75" customHeight="1">
      <c r="B154" s="489"/>
      <c r="C154" s="460"/>
      <c r="D154" s="461"/>
      <c r="E154" s="462"/>
      <c r="G154" s="44"/>
      <c r="H154" s="44"/>
      <c r="I154" s="44"/>
    </row>
    <row r="155" spans="2:9">
      <c r="B155" s="489"/>
      <c r="C155" s="323" t="s">
        <v>125</v>
      </c>
      <c r="D155" s="458"/>
      <c r="E155" s="459"/>
      <c r="G155" s="56">
        <f>IFERROR(VLOOKUP(D155, Rating_Scores[],2,FALSE),0)</f>
        <v>0</v>
      </c>
      <c r="H155" s="50">
        <f>VLOOKUP(C155, Business_Risk_Review_Weightings[], 2,FALSE)</f>
        <v>0.8</v>
      </c>
      <c r="I155" s="50">
        <f>G155*H155</f>
        <v>0</v>
      </c>
    </row>
    <row r="156" spans="2:9">
      <c r="B156" s="489"/>
      <c r="C156" s="323" t="s">
        <v>108</v>
      </c>
      <c r="D156" s="323"/>
      <c r="E156" s="323"/>
      <c r="G156" s="44"/>
      <c r="H156" s="44"/>
      <c r="I156" s="44"/>
    </row>
    <row r="157" spans="2:9" ht="72" customHeight="1">
      <c r="B157" s="489"/>
      <c r="C157" s="460"/>
      <c r="D157" s="461"/>
      <c r="E157" s="462"/>
      <c r="G157" s="44"/>
      <c r="H157" s="44"/>
      <c r="I157" s="44"/>
    </row>
    <row r="158" spans="2:9">
      <c r="B158" s="489"/>
      <c r="C158" s="323" t="s">
        <v>126</v>
      </c>
      <c r="D158" s="458"/>
      <c r="E158" s="459"/>
      <c r="G158" s="56">
        <f>IFERROR(VLOOKUP(D158, Rating_Scores[],2,FALSE),0)</f>
        <v>0</v>
      </c>
      <c r="H158" s="50">
        <f>VLOOKUP(C158, Business_Risk_Review_Weightings[], 2,FALSE)</f>
        <v>0.7</v>
      </c>
      <c r="I158" s="50">
        <f>G158*H158</f>
        <v>0</v>
      </c>
    </row>
    <row r="159" spans="2:9">
      <c r="B159" s="489"/>
      <c r="C159" s="323" t="s">
        <v>108</v>
      </c>
      <c r="D159" s="323"/>
      <c r="E159" s="323"/>
      <c r="G159" s="44"/>
      <c r="H159" s="44"/>
      <c r="I159" s="44"/>
    </row>
    <row r="160" spans="2:9" ht="69.75" customHeight="1">
      <c r="B160" s="489"/>
      <c r="C160" s="460"/>
      <c r="D160" s="461"/>
      <c r="E160" s="462"/>
      <c r="G160" s="44"/>
      <c r="H160" s="44"/>
      <c r="I160" s="44"/>
    </row>
    <row r="161" spans="2:9">
      <c r="B161" s="489"/>
      <c r="C161" s="323" t="s">
        <v>127</v>
      </c>
      <c r="D161" s="458"/>
      <c r="E161" s="459"/>
      <c r="G161" s="56">
        <f>IFERROR(VLOOKUP(D161, Rating_Scores[],2,FALSE),0)</f>
        <v>0</v>
      </c>
      <c r="H161" s="50">
        <f>VLOOKUP(C161, Business_Risk_Review_Weightings[], 2,FALSE)</f>
        <v>0.7</v>
      </c>
      <c r="I161" s="50">
        <f>G161*H161</f>
        <v>0</v>
      </c>
    </row>
    <row r="162" spans="2:9">
      <c r="B162" s="489"/>
      <c r="C162" s="323" t="s">
        <v>108</v>
      </c>
      <c r="D162" s="323"/>
      <c r="E162" s="323"/>
      <c r="G162" s="43"/>
      <c r="H162" s="43"/>
      <c r="I162" s="43"/>
    </row>
    <row r="163" spans="2:9" ht="84.75" customHeight="1">
      <c r="B163" s="489"/>
      <c r="C163" s="460"/>
      <c r="D163" s="461"/>
      <c r="E163" s="462"/>
      <c r="G163" s="43"/>
      <c r="H163" s="43"/>
      <c r="I163" s="43"/>
    </row>
    <row r="164" spans="2:9">
      <c r="G164" s="43"/>
      <c r="H164" s="43"/>
      <c r="I164" s="43"/>
    </row>
    <row r="165" spans="2:9">
      <c r="G165" s="43"/>
      <c r="H165" s="43"/>
      <c r="I165" s="43"/>
    </row>
    <row r="166" spans="2:9" ht="14.85" customHeight="1">
      <c r="G166" s="457" t="s">
        <v>512</v>
      </c>
      <c r="H166" s="457"/>
      <c r="I166" s="50">
        <f>I121+I122+I123+I126+I127+I130+I133+I136+I139+I142+I145+I148+I149+I152+I155+I158+I161</f>
        <v>0</v>
      </c>
    </row>
    <row r="167" spans="2:9">
      <c r="G167" s="44"/>
      <c r="H167" s="44"/>
      <c r="I167" s="43"/>
    </row>
    <row r="168" spans="2:9" ht="14.85" customHeight="1">
      <c r="G168" s="457" t="s">
        <v>513</v>
      </c>
      <c r="H168" s="457"/>
      <c r="I168" s="56">
        <f>'Model Data'!C137</f>
        <v>67</v>
      </c>
    </row>
    <row r="169" spans="2:9">
      <c r="G169" s="44"/>
      <c r="H169" s="44"/>
      <c r="I169" s="43"/>
    </row>
    <row r="170" spans="2:9" ht="14.85" customHeight="1">
      <c r="G170" s="457" t="s">
        <v>514</v>
      </c>
      <c r="H170" s="457"/>
      <c r="I170" s="48">
        <f>I166/I168</f>
        <v>0</v>
      </c>
    </row>
    <row r="171" spans="2:9">
      <c r="G171" s="44"/>
      <c r="H171" s="44"/>
      <c r="I171" s="43"/>
    </row>
    <row r="172" spans="2:9" ht="14.85" customHeight="1">
      <c r="G172" s="457" t="s">
        <v>515</v>
      </c>
      <c r="H172" s="457"/>
      <c r="I172" s="48">
        <f>'Model Data'!C139</f>
        <v>0.6</v>
      </c>
    </row>
    <row r="173" spans="2:9" ht="15.75" thickBot="1">
      <c r="G173" s="44"/>
      <c r="H173" s="44"/>
      <c r="I173" s="43"/>
    </row>
    <row r="174" spans="2:9" ht="15.75" thickBot="1">
      <c r="G174" s="457" t="s">
        <v>516</v>
      </c>
      <c r="H174" s="457"/>
      <c r="I174" s="29" t="str">
        <f>IF(I170&lt;I172,"FAIL", "PASS")</f>
        <v>FAIL</v>
      </c>
    </row>
    <row r="175" spans="2:9">
      <c r="G175" s="43"/>
      <c r="H175" s="43"/>
      <c r="I175" s="43"/>
    </row>
    <row r="176" spans="2:9" ht="26.25" thickBot="1">
      <c r="B176" s="465" t="s">
        <v>518</v>
      </c>
      <c r="C176" s="465"/>
      <c r="G176" s="26" t="s">
        <v>128</v>
      </c>
      <c r="H176" s="26" t="s">
        <v>16</v>
      </c>
      <c r="I176" s="26" t="s">
        <v>17</v>
      </c>
    </row>
    <row r="177" spans="2:9" ht="15.75" thickTop="1">
      <c r="G177" s="43"/>
      <c r="H177" s="43"/>
      <c r="I177" s="43"/>
    </row>
    <row r="178" spans="2:9" ht="24.75" thickBot="1">
      <c r="D178" s="507" t="s">
        <v>129</v>
      </c>
      <c r="E178" s="507"/>
      <c r="F178" s="321" t="s">
        <v>145</v>
      </c>
      <c r="G178" s="7" t="s">
        <v>538</v>
      </c>
      <c r="H178" s="7" t="s">
        <v>16</v>
      </c>
      <c r="I178" s="7" t="s">
        <v>539</v>
      </c>
    </row>
    <row r="179" spans="2:9" ht="15.6" customHeight="1" thickBot="1">
      <c r="D179" s="457" t="s">
        <v>130</v>
      </c>
      <c r="E179" s="508"/>
      <c r="F179" s="422" t="str">
        <f>I44</f>
        <v>FAIL</v>
      </c>
      <c r="G179" s="48">
        <f>I40</f>
        <v>0</v>
      </c>
      <c r="H179" s="48">
        <f>'Model Data'!C28</f>
        <v>0.4</v>
      </c>
      <c r="I179" s="48">
        <f>G179*H179</f>
        <v>0</v>
      </c>
    </row>
    <row r="180" spans="2:9" ht="15" customHeight="1" thickBot="1">
      <c r="D180" s="457" t="s">
        <v>537</v>
      </c>
      <c r="E180" s="508"/>
      <c r="F180" s="422" t="str">
        <f>I116</f>
        <v>FAIL</v>
      </c>
      <c r="G180" s="48">
        <f>I112</f>
        <v>0</v>
      </c>
      <c r="H180" s="48">
        <f>'Model Data'!C29</f>
        <v>0.4</v>
      </c>
      <c r="I180" s="48">
        <f>G180*H180</f>
        <v>0</v>
      </c>
    </row>
    <row r="181" spans="2:9" ht="15.75" thickBot="1">
      <c r="D181" s="457" t="s">
        <v>131</v>
      </c>
      <c r="E181" s="508"/>
      <c r="F181" s="422" t="str">
        <f>I174</f>
        <v>FAIL</v>
      </c>
      <c r="G181" s="48">
        <f>I170</f>
        <v>0</v>
      </c>
      <c r="H181" s="48">
        <f>'Model Data'!C30</f>
        <v>0.2</v>
      </c>
      <c r="I181" s="48">
        <f>G181*H181</f>
        <v>0</v>
      </c>
    </row>
    <row r="182" spans="2:9">
      <c r="D182" s="43"/>
      <c r="E182" s="43"/>
      <c r="F182" s="43"/>
      <c r="G182" s="457" t="s">
        <v>464</v>
      </c>
      <c r="H182" s="457"/>
      <c r="I182" s="48">
        <f>SUM(I179:I181)</f>
        <v>0</v>
      </c>
    </row>
    <row r="183" spans="2:9" ht="15.75" thickBot="1">
      <c r="D183" s="43"/>
      <c r="E183" s="43"/>
      <c r="F183" s="43"/>
      <c r="G183" s="43"/>
      <c r="H183" s="43"/>
      <c r="I183" s="43"/>
    </row>
    <row r="184" spans="2:9" ht="15.75" thickBot="1">
      <c r="D184" s="43"/>
      <c r="E184" s="43"/>
      <c r="F184" s="43"/>
      <c r="G184" s="457" t="s">
        <v>19</v>
      </c>
      <c r="H184" s="457"/>
      <c r="I184" s="29" t="str">
        <f>IF(AND(F179="PASS", F180="PASS", F181="PASS"), "PASS", "FAIL")</f>
        <v>FAIL</v>
      </c>
    </row>
    <row r="185" spans="2:9">
      <c r="D185" s="43"/>
      <c r="E185" s="43"/>
      <c r="F185" s="43"/>
      <c r="G185" s="43"/>
      <c r="H185" s="43"/>
      <c r="I185" s="43"/>
    </row>
    <row r="186" spans="2:9" ht="26.25" thickBot="1">
      <c r="B186" s="465" t="s">
        <v>519</v>
      </c>
      <c r="C186" s="465"/>
      <c r="G186" s="38"/>
      <c r="H186" s="38"/>
      <c r="I186" s="38"/>
    </row>
    <row r="187" spans="2:9" s="27" customFormat="1" ht="15.75" thickTop="1">
      <c r="G187" s="38"/>
      <c r="H187" s="38"/>
      <c r="I187" s="38"/>
    </row>
    <row r="188" spans="2:9" s="27" customFormat="1">
      <c r="B188" s="130" t="s">
        <v>441</v>
      </c>
      <c r="C188" s="130"/>
      <c r="D188" s="130"/>
      <c r="E188" s="130"/>
      <c r="F188" s="130"/>
      <c r="G188" s="130"/>
      <c r="H188" s="130"/>
      <c r="I188" s="130"/>
    </row>
    <row r="189" spans="2:9" s="27" customFormat="1">
      <c r="B189" s="38" t="s">
        <v>452</v>
      </c>
      <c r="C189" s="38" t="s">
        <v>451</v>
      </c>
      <c r="D189" s="38" t="s">
        <v>446</v>
      </c>
      <c r="E189" s="38"/>
      <c r="F189" s="38"/>
      <c r="G189" s="38"/>
      <c r="H189" s="38"/>
      <c r="I189" s="38"/>
    </row>
    <row r="190" spans="2:9" s="27" customFormat="1">
      <c r="B190" s="88"/>
      <c r="C190" s="122"/>
      <c r="D190" s="402" t="str">
        <f>IFERROR(VLOOKUP(B190, Currencies[],2,FALSE), "")</f>
        <v/>
      </c>
      <c r="G190" s="38"/>
      <c r="H190" s="38"/>
      <c r="I190" s="38"/>
    </row>
    <row r="191" spans="2:9" s="27" customFormat="1">
      <c r="G191" s="38"/>
      <c r="H191" s="38"/>
      <c r="I191" s="38"/>
    </row>
    <row r="192" spans="2:9" s="27" customFormat="1">
      <c r="B192" s="130" t="s">
        <v>435</v>
      </c>
      <c r="C192" s="130"/>
      <c r="D192" s="130"/>
      <c r="E192" s="130"/>
      <c r="F192" s="130"/>
      <c r="G192" s="130"/>
      <c r="H192" s="130"/>
      <c r="I192" s="130"/>
    </row>
    <row r="193" spans="2:9" s="27" customFormat="1">
      <c r="B193" s="38" t="s">
        <v>136</v>
      </c>
      <c r="C193" s="38" t="s">
        <v>133</v>
      </c>
      <c r="D193" s="38" t="s">
        <v>134</v>
      </c>
      <c r="E193" s="38" t="s">
        <v>138</v>
      </c>
      <c r="F193" s="38" t="s">
        <v>139</v>
      </c>
      <c r="G193" s="38" t="s">
        <v>140</v>
      </c>
      <c r="H193" s="38" t="s">
        <v>137</v>
      </c>
      <c r="I193" s="38" t="s">
        <v>135</v>
      </c>
    </row>
    <row r="194" spans="2:9" s="27" customFormat="1">
      <c r="B194" s="34"/>
      <c r="C194" s="122"/>
      <c r="D194" s="123"/>
      <c r="E194" s="123"/>
      <c r="F194" s="123"/>
      <c r="G194" s="351"/>
      <c r="H194" s="349"/>
      <c r="I194" s="58">
        <f>IFERROR(PMT(D194/12,C194,B194),0)</f>
        <v>0</v>
      </c>
    </row>
    <row r="195" spans="2:9">
      <c r="B195"/>
      <c r="C195"/>
      <c r="G195"/>
      <c r="H195" s="43"/>
      <c r="I195" s="38"/>
    </row>
    <row r="196" spans="2:9" s="27" customFormat="1" ht="14.45" customHeight="1">
      <c r="B196" s="130" t="s">
        <v>436</v>
      </c>
      <c r="C196" s="130"/>
      <c r="D196" s="130"/>
      <c r="E196" s="130"/>
      <c r="F196" s="130"/>
      <c r="G196" s="130"/>
      <c r="H196" s="130"/>
      <c r="I196" s="130"/>
    </row>
    <row r="197" spans="2:9" s="27" customFormat="1" ht="14.45" customHeight="1">
      <c r="B197" s="38" t="s">
        <v>136</v>
      </c>
      <c r="C197" s="38" t="s">
        <v>133</v>
      </c>
      <c r="D197" s="38" t="s">
        <v>134</v>
      </c>
      <c r="E197" s="38" t="s">
        <v>138</v>
      </c>
      <c r="F197" s="38" t="s">
        <v>139</v>
      </c>
      <c r="G197" s="38" t="s">
        <v>140</v>
      </c>
      <c r="H197" s="38" t="s">
        <v>137</v>
      </c>
      <c r="I197" s="38" t="s">
        <v>135</v>
      </c>
    </row>
    <row r="198" spans="2:9" s="27" customFormat="1">
      <c r="B198" s="34"/>
      <c r="C198" s="122"/>
      <c r="D198" s="123"/>
      <c r="E198" s="123"/>
      <c r="F198" s="123"/>
      <c r="G198" s="351"/>
      <c r="H198" s="349"/>
      <c r="I198" s="58">
        <f>IFERROR(PMT(D198/12,C198,B198),0)</f>
        <v>0</v>
      </c>
    </row>
    <row r="199" spans="2:9" s="27" customFormat="1">
      <c r="E199"/>
      <c r="F199"/>
      <c r="G199"/>
      <c r="H199"/>
      <c r="I199"/>
    </row>
    <row r="200" spans="2:9" s="27" customFormat="1">
      <c r="B200" s="130" t="s">
        <v>141</v>
      </c>
      <c r="C200" s="130"/>
      <c r="D200" s="130"/>
      <c r="E200" s="130"/>
      <c r="F200" s="130"/>
      <c r="G200" s="130"/>
      <c r="H200" s="130"/>
      <c r="I200" s="130"/>
    </row>
    <row r="201" spans="2:9">
      <c r="B201" s="117" t="s">
        <v>142</v>
      </c>
      <c r="F201" s="43"/>
      <c r="G201" s="457" t="s">
        <v>143</v>
      </c>
      <c r="H201" s="509"/>
      <c r="I201" s="58">
        <f>I198+I194</f>
        <v>0</v>
      </c>
    </row>
    <row r="202" spans="2:9">
      <c r="B202" s="59">
        <f>B198+B194</f>
        <v>0</v>
      </c>
      <c r="C202"/>
      <c r="D202"/>
      <c r="F202" s="43"/>
      <c r="G202"/>
      <c r="H202" s="43"/>
      <c r="I202"/>
    </row>
    <row r="203" spans="2:9" customFormat="1"/>
    <row r="204" spans="2:9" s="27" customFormat="1">
      <c r="B204" s="130" t="s">
        <v>144</v>
      </c>
      <c r="C204" s="130"/>
      <c r="D204" s="130"/>
      <c r="E204" s="130"/>
      <c r="F204" s="130"/>
      <c r="G204" s="130"/>
      <c r="H204" s="130"/>
      <c r="I204" s="130"/>
    </row>
    <row r="205" spans="2:9" customFormat="1"/>
    <row r="206" spans="2:9" s="27" customFormat="1" ht="25.5">
      <c r="C206"/>
      <c r="E206" s="321" t="s">
        <v>424</v>
      </c>
      <c r="G206" s="117" t="s">
        <v>145</v>
      </c>
      <c r="I206"/>
    </row>
    <row r="207" spans="2:9" s="27" customFormat="1">
      <c r="E207" s="118">
        <f>C194</f>
        <v>0</v>
      </c>
      <c r="F207" s="120" t="s">
        <v>146</v>
      </c>
      <c r="G207" s="57" t="str">
        <f>IF(AND($I$182&gt;'Model Data'!C6, $I$182&lt;'Model Data'!D6), 'Model Data'!$E$6, IF(AND($I$182&gt;'Model Data'!$C$7, $I$182&lt;'Model Data'!$D$7), 'Model Data'!$E$7, IF(AND($I$182&gt;'Model Data'!$C$8, $I$182&lt;'Model Data'!$D$8), 'Model Data'!$E$8, IF(AND($I$182&gt;'Model Data'!$C$9, $I$182&lt;'Model Data'!$D$9), 'Model Data'!$E$9, "N/A"))))</f>
        <v>N/A</v>
      </c>
      <c r="I207"/>
    </row>
    <row r="208" spans="2:9" s="27" customFormat="1">
      <c r="F208" s="121"/>
    </row>
    <row r="209" spans="2:10" s="27" customFormat="1">
      <c r="E209" s="321" t="s">
        <v>147</v>
      </c>
      <c r="F209" s="120"/>
      <c r="G209" s="117" t="s">
        <v>145</v>
      </c>
      <c r="H209" s="38"/>
      <c r="I209" s="117" t="s">
        <v>148</v>
      </c>
    </row>
    <row r="210" spans="2:10" s="27" customFormat="1">
      <c r="E210" s="60" t="str">
        <f>IFERROR((B202*C190+D60+D61)/(D67+I210), "N/A")</f>
        <v>N/A</v>
      </c>
      <c r="F210" s="120" t="s">
        <v>146</v>
      </c>
      <c r="G210" s="60" t="str">
        <f>IF(AND($I$182&gt;'Model Data'!C6, $I$182&lt;'Model Data'!D6), 'Model Data'!$F$6, IF(AND($I$182&gt;'Model Data'!$C$7, $I$182&lt;'Model Data'!$D$7), 'Model Data'!$F$7, IF(AND($I$182&gt;'Model Data'!$C$8, $I$182&lt;'Model Data'!$D$8), 'Model Data'!$F$8, IF(AND($I$182&gt;'Model Data'!$C$9, $I$182&lt;'Model Data'!$D$9), 'Model Data'!$F$9, "N/A"))))</f>
        <v>N/A</v>
      </c>
      <c r="H210" s="38"/>
      <c r="I210" s="34"/>
    </row>
    <row r="211" spans="2:10" s="27" customFormat="1">
      <c r="F211" s="121"/>
    </row>
    <row r="212" spans="2:10" s="27" customFormat="1">
      <c r="D212" s="507" t="s">
        <v>149</v>
      </c>
      <c r="E212" s="507"/>
      <c r="F212" s="121"/>
    </row>
    <row r="213" spans="2:10" s="27" customFormat="1">
      <c r="D213"/>
      <c r="E213" s="117" t="s">
        <v>150</v>
      </c>
      <c r="F213" s="120"/>
      <c r="G213" s="117" t="s">
        <v>145</v>
      </c>
      <c r="H213" s="38"/>
    </row>
    <row r="214" spans="2:10" s="27" customFormat="1">
      <c r="D214"/>
      <c r="E214" s="57" t="str">
        <f>IFERROR((B202*C190+D61)/(D84+(B202*C190/D57*D84))*365, "N/A")</f>
        <v>N/A</v>
      </c>
      <c r="F214" s="120" t="s">
        <v>146</v>
      </c>
      <c r="G214" s="57" t="str">
        <f>IF(AND($I$182&gt;'Model Data'!C6, $I$182&lt;'Model Data'!D6), 'Model Data'!$G$6, IF(AND($I$182&gt;'Model Data'!$C$7, $I$182&lt;'Model Data'!$D$7), 'Model Data'!$G$7, IF(AND($I$182&gt;'Model Data'!$C$8, $I$182&lt;'Model Data'!$D$8), 'Model Data'!$G$8, IF(AND($I$182&gt;'Model Data'!$C$9, $I$182&lt;'Model Data'!$D$9), 'Model Data'!$G$9, "N/A"))))</f>
        <v>N/A</v>
      </c>
    </row>
    <row r="215" spans="2:10" s="27" customFormat="1">
      <c r="D215"/>
      <c r="E215" s="119"/>
      <c r="F215" s="121"/>
      <c r="G215" s="38"/>
      <c r="H215" s="38"/>
    </row>
    <row r="216" spans="2:10" s="27" customFormat="1">
      <c r="D216" s="507" t="s">
        <v>151</v>
      </c>
      <c r="E216" s="507"/>
      <c r="F216" s="121"/>
      <c r="G216" s="38"/>
      <c r="H216" s="38"/>
    </row>
    <row r="217" spans="2:10" s="27" customFormat="1">
      <c r="D217"/>
      <c r="E217" s="117" t="s">
        <v>150</v>
      </c>
      <c r="F217" s="121"/>
      <c r="G217" s="117" t="s">
        <v>145</v>
      </c>
      <c r="H217" s="38"/>
    </row>
    <row r="218" spans="2:10" s="27" customFormat="1">
      <c r="D218"/>
      <c r="E218" s="60" t="str">
        <f>IFERROR((D84+((B202*C190)/D57*D84))/(ABS(D77)+B194*C190*D194+B198*C190*D198),"N/A")</f>
        <v>N/A</v>
      </c>
      <c r="F218" s="120" t="s">
        <v>152</v>
      </c>
      <c r="G218" s="60" t="str">
        <f>IF(AND($I$182&gt;'Model Data'!C6, $I$182&lt;'Model Data'!D6), 'Model Data'!$H$6, IF(AND($I$182&gt;'Model Data'!$C$7, $I$182&lt;'Model Data'!$D$7), 'Model Data'!$H$7, IF(AND($I$182&gt;'Model Data'!$C$8, $I$182&lt;'Model Data'!$D$8), 'Model Data'!$H$8, IF(AND($I$182&gt;'Model Data'!$C$9, $I$182&lt;'Model Data'!$D$9), 'Model Data'!$H$9, "N/A"))))</f>
        <v>N/A</v>
      </c>
      <c r="H218" s="38"/>
    </row>
    <row r="219" spans="2:10" s="27" customFormat="1">
      <c r="D219"/>
      <c r="E219" s="24"/>
      <c r="F219" s="24"/>
      <c r="G219" s="24"/>
      <c r="H219" s="24"/>
      <c r="I219" s="24"/>
    </row>
    <row r="220" spans="2:10" s="27" customFormat="1" ht="14.45" customHeight="1">
      <c r="B220" s="487" t="s">
        <v>462</v>
      </c>
      <c r="C220" s="487"/>
      <c r="D220" s="507" t="s">
        <v>427</v>
      </c>
      <c r="E220" s="507"/>
      <c r="F220" s="24"/>
      <c r="G220" s="117" t="s">
        <v>145</v>
      </c>
      <c r="H220" s="414"/>
      <c r="I220" s="414"/>
      <c r="J220" s="414"/>
    </row>
    <row r="221" spans="2:10" s="27" customFormat="1">
      <c r="B221" s="487"/>
      <c r="C221" s="487"/>
      <c r="D221" s="24"/>
      <c r="E221" s="353" t="str">
        <f>IFERROR((B198*C190)/(D54+D55+D98*D55), "N/A")</f>
        <v>N/A</v>
      </c>
      <c r="F221" s="120" t="s">
        <v>146</v>
      </c>
      <c r="G221" s="353" t="str">
        <f>IF(AND($I$182&gt;'Model Data'!C6, $I$182&lt;'Model Data'!D6), 'Model Data'!$I$6, IF(AND($I$182&gt;'Model Data'!$C$7, $I$182&lt;'Model Data'!$D$7), 'Model Data'!$I$7, IF(AND($I$182&gt;'Model Data'!$C$8, $I$182&lt;'Model Data'!$D$8), 'Model Data'!$I$8, IF(AND($I$182&gt;'Model Data'!$C$9, $I$182&lt;'Model Data'!$D$9), 'Model Data'!$I$9, "N/A"))))</f>
        <v>N/A</v>
      </c>
      <c r="H221" s="414"/>
      <c r="I221" s="414"/>
      <c r="J221" s="414"/>
    </row>
    <row r="222" spans="2:10" s="27" customFormat="1">
      <c r="B222" s="487"/>
      <c r="C222" s="487"/>
      <c r="D222" s="24"/>
      <c r="E222" s="24"/>
      <c r="F222" s="24"/>
      <c r="G222" s="24"/>
      <c r="H222" s="414"/>
      <c r="I222" s="414"/>
      <c r="J222" s="414"/>
    </row>
    <row r="223" spans="2:10" s="27" customFormat="1">
      <c r="B223" s="487"/>
      <c r="C223" s="487"/>
      <c r="D223" s="507" t="s">
        <v>425</v>
      </c>
      <c r="E223" s="507" t="s">
        <v>425</v>
      </c>
      <c r="F223" s="24"/>
      <c r="G223" s="117" t="s">
        <v>145</v>
      </c>
      <c r="H223" s="24"/>
      <c r="I223" s="24"/>
    </row>
    <row r="224" spans="2:10" s="27" customFormat="1">
      <c r="B224" s="487"/>
      <c r="C224" s="487"/>
      <c r="D224" s="24"/>
      <c r="E224" s="118">
        <f>C198</f>
        <v>0</v>
      </c>
      <c r="F224" s="120" t="s">
        <v>146</v>
      </c>
      <c r="G224" s="57" t="str">
        <f>IF(AND($I$182&gt;'Model Data'!C6, $I$182&lt;'Model Data'!D6), 'Model Data'!$J$6, IF(AND($I$182&gt;'Model Data'!$C$7, $I$182&lt;'Model Data'!$D$7), 'Model Data'!$J$7, IF(AND($I$182&gt;'Model Data'!$C$8, $I$182&lt;'Model Data'!$D$8), 'Model Data'!$J$8, IF(AND($I$182&gt;'Model Data'!$C$9, $I$182&lt;'Model Data'!$D$9), 'Model Data'!$J$9, "N/A"))))</f>
        <v>N/A</v>
      </c>
      <c r="H224" s="24"/>
      <c r="I224" s="24"/>
    </row>
    <row r="225" spans="2:9" s="27" customFormat="1">
      <c r="B225" s="487"/>
      <c r="C225" s="487"/>
      <c r="D225" s="24"/>
      <c r="E225"/>
      <c r="F225" s="120"/>
      <c r="G225" s="24"/>
      <c r="H225" s="24"/>
      <c r="I225" s="24"/>
    </row>
    <row r="226" spans="2:9" s="27" customFormat="1">
      <c r="B226" s="487"/>
      <c r="C226" s="487"/>
      <c r="D226" s="507" t="s">
        <v>533</v>
      </c>
      <c r="E226" s="507" t="s">
        <v>425</v>
      </c>
      <c r="F226"/>
      <c r="G226"/>
      <c r="H226" s="24"/>
      <c r="I226" s="24"/>
    </row>
    <row r="227" spans="2:9" s="27" customFormat="1">
      <c r="B227" s="487"/>
      <c r="C227" s="487"/>
      <c r="D227" s="24"/>
      <c r="E227" s="354" t="e">
        <f>(IF(D106&gt;30,(30/D106*D54), D54)+D53)/D59</f>
        <v>#VALUE!</v>
      </c>
      <c r="F227"/>
      <c r="G227"/>
      <c r="H227" s="24"/>
      <c r="I227" s="24"/>
    </row>
    <row r="228" spans="2:9" s="27" customFormat="1">
      <c r="B228" s="487"/>
      <c r="C228" s="487"/>
      <c r="D228" s="24"/>
      <c r="E228"/>
      <c r="F228" s="120"/>
      <c r="G228" s="24"/>
      <c r="H228" s="24"/>
      <c r="I228" s="24"/>
    </row>
    <row r="229" spans="2:9" s="27" customFormat="1" ht="14.45" customHeight="1">
      <c r="B229" s="487"/>
      <c r="C229" s="487"/>
      <c r="D229" s="507" t="s">
        <v>426</v>
      </c>
      <c r="E229" s="507" t="s">
        <v>425</v>
      </c>
      <c r="F229" s="120"/>
      <c r="G229" s="24"/>
      <c r="H229" s="24"/>
      <c r="I229" s="24"/>
    </row>
    <row r="230" spans="2:9" s="27" customFormat="1">
      <c r="B230" s="487"/>
      <c r="C230" s="487"/>
      <c r="D230" s="117" t="s">
        <v>426</v>
      </c>
      <c r="E230" s="117" t="s">
        <v>428</v>
      </c>
      <c r="F230" s="120"/>
      <c r="G230" s="24"/>
      <c r="H230" s="24"/>
      <c r="I230" s="24"/>
    </row>
    <row r="231" spans="2:9" s="27" customFormat="1">
      <c r="B231" s="487"/>
      <c r="C231" s="487"/>
      <c r="D231" s="59">
        <f>D54+D55-D60</f>
        <v>0</v>
      </c>
      <c r="E231" s="354" t="str">
        <f>IFERROR(D105+D106-(D60/D70*365), "N/A")</f>
        <v>N/A</v>
      </c>
      <c r="F231" s="120"/>
      <c r="G231" s="24"/>
      <c r="H231" s="24"/>
      <c r="I231" s="24"/>
    </row>
    <row r="232" spans="2:9" s="27" customFormat="1" ht="25.5">
      <c r="B232" s="487"/>
      <c r="C232" s="487"/>
      <c r="D232" s="117" t="s">
        <v>429</v>
      </c>
      <c r="E232"/>
      <c r="F232"/>
      <c r="G232" s="24"/>
      <c r="H232" s="24"/>
      <c r="I232" s="24"/>
    </row>
    <row r="233" spans="2:9" s="27" customFormat="1">
      <c r="B233" s="487"/>
      <c r="C233" s="487"/>
      <c r="D233" s="57" t="str">
        <f>IFERROR(D231/D84*365, "N/A")</f>
        <v>N/A</v>
      </c>
      <c r="E233" s="355"/>
      <c r="F233"/>
      <c r="G233" s="24"/>
      <c r="H233" s="24"/>
      <c r="I233" s="24"/>
    </row>
    <row r="234" spans="2:9" s="27" customFormat="1">
      <c r="D234"/>
      <c r="E234"/>
      <c r="F234"/>
      <c r="G234" s="24"/>
      <c r="H234" s="24"/>
      <c r="I234" s="24"/>
    </row>
  </sheetData>
  <sheetProtection algorithmName="SHA-512" hashValue="Q783zM9fKXSJHgxUWhNVhR/ohsaGp4PCeXFiUe8H6ux98uPTS01uoNtXZa6RW/WRkr8qf9EzDlaUpZSzCElTFA==" saltValue="NBQm1SUT0Y0YJJiEBuZKPA==" spinCount="100000" sheet="1" selectLockedCells="1"/>
  <mergeCells count="99">
    <mergeCell ref="D226:E226"/>
    <mergeCell ref="G36:H36"/>
    <mergeCell ref="G38:H38"/>
    <mergeCell ref="G40:H40"/>
    <mergeCell ref="G42:H42"/>
    <mergeCell ref="G44:H44"/>
    <mergeCell ref="G201:H201"/>
    <mergeCell ref="D149:E149"/>
    <mergeCell ref="D142:E142"/>
    <mergeCell ref="C141:E141"/>
    <mergeCell ref="D139:E139"/>
    <mergeCell ref="G184:H184"/>
    <mergeCell ref="G174:H174"/>
    <mergeCell ref="B186:C186"/>
    <mergeCell ref="D178:E178"/>
    <mergeCell ref="D179:E179"/>
    <mergeCell ref="D180:E180"/>
    <mergeCell ref="D181:E181"/>
    <mergeCell ref="G182:H182"/>
    <mergeCell ref="G172:H172"/>
    <mergeCell ref="G170:H170"/>
    <mergeCell ref="B148:B151"/>
    <mergeCell ref="B220:C233"/>
    <mergeCell ref="B152:B163"/>
    <mergeCell ref="C147:E147"/>
    <mergeCell ref="D145:E145"/>
    <mergeCell ref="B176:C176"/>
    <mergeCell ref="D216:E216"/>
    <mergeCell ref="D212:E212"/>
    <mergeCell ref="C160:E160"/>
    <mergeCell ref="D158:E158"/>
    <mergeCell ref="C157:E157"/>
    <mergeCell ref="D155:E155"/>
    <mergeCell ref="C154:E154"/>
    <mergeCell ref="D220:E220"/>
    <mergeCell ref="D223:E223"/>
    <mergeCell ref="D229:E229"/>
    <mergeCell ref="B130:B147"/>
    <mergeCell ref="B24:C25"/>
    <mergeCell ref="E21:F21"/>
    <mergeCell ref="B51:B68"/>
    <mergeCell ref="B70:B82"/>
    <mergeCell ref="B108:E108"/>
    <mergeCell ref="B84:B88"/>
    <mergeCell ref="B95:B97"/>
    <mergeCell ref="B92:C92"/>
    <mergeCell ref="B98:B100"/>
    <mergeCell ref="B101:B103"/>
    <mergeCell ref="B104:B106"/>
    <mergeCell ref="C48:D48"/>
    <mergeCell ref="B23:C23"/>
    <mergeCell ref="E33:F34"/>
    <mergeCell ref="E29:F29"/>
    <mergeCell ref="G72:I72"/>
    <mergeCell ref="G73:I77"/>
    <mergeCell ref="G90:I91"/>
    <mergeCell ref="D2:I2"/>
    <mergeCell ref="E22:F22"/>
    <mergeCell ref="C4:I4"/>
    <mergeCell ref="B50:C50"/>
    <mergeCell ref="B6:C6"/>
    <mergeCell ref="B19:C19"/>
    <mergeCell ref="B46:D46"/>
    <mergeCell ref="B11:C11"/>
    <mergeCell ref="B12:C12"/>
    <mergeCell ref="B13:C13"/>
    <mergeCell ref="B29:C31"/>
    <mergeCell ref="D8:F9"/>
    <mergeCell ref="E30:F30"/>
    <mergeCell ref="G166:H166"/>
    <mergeCell ref="G168:H168"/>
    <mergeCell ref="C163:E163"/>
    <mergeCell ref="D161:E161"/>
    <mergeCell ref="C129:E129"/>
    <mergeCell ref="D152:E152"/>
    <mergeCell ref="C151:E151"/>
    <mergeCell ref="C144:E144"/>
    <mergeCell ref="D130:E130"/>
    <mergeCell ref="D148:E148"/>
    <mergeCell ref="C135:E135"/>
    <mergeCell ref="D133:E133"/>
    <mergeCell ref="C132:E132"/>
    <mergeCell ref="C138:E138"/>
    <mergeCell ref="D136:E136"/>
    <mergeCell ref="G108:H108"/>
    <mergeCell ref="G110:H110"/>
    <mergeCell ref="G112:H112"/>
    <mergeCell ref="D127:E127"/>
    <mergeCell ref="C125:E125"/>
    <mergeCell ref="D123:E123"/>
    <mergeCell ref="D121:E121"/>
    <mergeCell ref="D120:E120"/>
    <mergeCell ref="D122:E122"/>
    <mergeCell ref="G114:H114"/>
    <mergeCell ref="G116:H116"/>
    <mergeCell ref="B109:E116"/>
    <mergeCell ref="B118:C118"/>
    <mergeCell ref="B121:B129"/>
    <mergeCell ref="D126:E126"/>
  </mergeCells>
  <conditionalFormatting sqref="I44">
    <cfRule type="cellIs" dxfId="255" priority="186" operator="equal">
      <formula>"FAIL"</formula>
    </cfRule>
    <cfRule type="cellIs" dxfId="254" priority="187" operator="equal">
      <formula>"PASS"</formula>
    </cfRule>
  </conditionalFormatting>
  <conditionalFormatting sqref="I174">
    <cfRule type="cellIs" dxfId="253" priority="178" operator="equal">
      <formula>"FAIL"</formula>
    </cfRule>
    <cfRule type="cellIs" dxfId="252" priority="179" operator="equal">
      <formula>"PASS"</formula>
    </cfRule>
  </conditionalFormatting>
  <conditionalFormatting sqref="F179:F181">
    <cfRule type="cellIs" dxfId="251" priority="174" operator="equal">
      <formula>"FAIL"</formula>
    </cfRule>
    <cfRule type="cellIs" dxfId="250" priority="175" operator="equal">
      <formula>"PASS"</formula>
    </cfRule>
  </conditionalFormatting>
  <conditionalFormatting sqref="G95:G106">
    <cfRule type="colorScale" priority="173">
      <colorScale>
        <cfvo type="min"/>
        <cfvo type="percentile" val="50"/>
        <cfvo type="max"/>
        <color rgb="FFFF0000"/>
        <color rgb="FFFFFF00"/>
        <color rgb="FF92D050"/>
      </colorScale>
    </cfRule>
  </conditionalFormatting>
  <conditionalFormatting sqref="G207">
    <cfRule type="expression" dxfId="249" priority="171">
      <formula>$E$207&lt;=$G$207</formula>
    </cfRule>
    <cfRule type="expression" dxfId="248" priority="172">
      <formula>$E$207&gt;$G$207</formula>
    </cfRule>
  </conditionalFormatting>
  <conditionalFormatting sqref="G210">
    <cfRule type="expression" dxfId="247" priority="169">
      <formula>$E$210&gt;$G$210</formula>
    </cfRule>
    <cfRule type="expression" dxfId="246" priority="170">
      <formula>$E$210&lt;=$G$210</formula>
    </cfRule>
  </conditionalFormatting>
  <conditionalFormatting sqref="G214">
    <cfRule type="expression" dxfId="245" priority="165">
      <formula>$E$214&gt;$G$214</formula>
    </cfRule>
    <cfRule type="expression" dxfId="244" priority="168">
      <formula>$E$214&lt;=$G$214</formula>
    </cfRule>
  </conditionalFormatting>
  <conditionalFormatting sqref="G218">
    <cfRule type="expression" dxfId="243" priority="166">
      <formula>$E$218&lt;$G$218</formula>
    </cfRule>
    <cfRule type="expression" dxfId="242" priority="167">
      <formula>$E$218&gt;=$G$218</formula>
    </cfRule>
  </conditionalFormatting>
  <conditionalFormatting sqref="D91">
    <cfRule type="cellIs" dxfId="241" priority="161" operator="equal">
      <formula>"FAIL"</formula>
    </cfRule>
    <cfRule type="cellIs" dxfId="240" priority="162" operator="equal">
      <formula>"PASS"</formula>
    </cfRule>
  </conditionalFormatting>
  <conditionalFormatting sqref="E91">
    <cfRule type="cellIs" dxfId="239" priority="157" operator="equal">
      <formula>"FAIL"</formula>
    </cfRule>
    <cfRule type="cellIs" dxfId="238" priority="158" operator="equal">
      <formula>"PASS"</formula>
    </cfRule>
  </conditionalFormatting>
  <conditionalFormatting sqref="I184">
    <cfRule type="cellIs" dxfId="237" priority="144" operator="equal">
      <formula>"FAIL"</formula>
    </cfRule>
    <cfRule type="cellIs" dxfId="236" priority="145" operator="equal">
      <formula>"PASS"</formula>
    </cfRule>
  </conditionalFormatting>
  <conditionalFormatting sqref="D13">
    <cfRule type="cellIs" dxfId="235" priority="134" operator="equal">
      <formula>"FAIL"</formula>
    </cfRule>
    <cfRule type="cellIs" dxfId="234" priority="135" operator="equal">
      <formula>"PASS"</formula>
    </cfRule>
  </conditionalFormatting>
  <conditionalFormatting sqref="D11">
    <cfRule type="cellIs" dxfId="233" priority="136" operator="equal">
      <formula>"FAIL"</formula>
    </cfRule>
    <cfRule type="cellIs" dxfId="232" priority="137" operator="equal">
      <formula>"PASS"</formula>
    </cfRule>
  </conditionalFormatting>
  <conditionalFormatting sqref="D90">
    <cfRule type="cellIs" dxfId="231" priority="132" operator="equal">
      <formula>"FAIL"</formula>
    </cfRule>
    <cfRule type="cellIs" dxfId="230" priority="133" operator="equal">
      <formula>"PASS"</formula>
    </cfRule>
  </conditionalFormatting>
  <conditionalFormatting sqref="E90">
    <cfRule type="cellIs" dxfId="229" priority="130" operator="equal">
      <formula>"FAIL"</formula>
    </cfRule>
    <cfRule type="cellIs" dxfId="228" priority="131" operator="equal">
      <formula>"PASS"</formula>
    </cfRule>
  </conditionalFormatting>
  <conditionalFormatting sqref="I116">
    <cfRule type="cellIs" dxfId="227" priority="128" operator="equal">
      <formula>"FAIL"</formula>
    </cfRule>
    <cfRule type="cellIs" dxfId="226" priority="129" operator="equal">
      <formula>"PASS"</formula>
    </cfRule>
  </conditionalFormatting>
  <conditionalFormatting sqref="G221">
    <cfRule type="expression" dxfId="225" priority="71">
      <formula>$E$221&gt;$G$221</formula>
    </cfRule>
    <cfRule type="expression" dxfId="224" priority="72">
      <formula>$E$221&lt;=$G$221</formula>
    </cfRule>
  </conditionalFormatting>
  <conditionalFormatting sqref="G224">
    <cfRule type="expression" dxfId="223" priority="69">
      <formula>$E$224&gt;$G$224</formula>
    </cfRule>
    <cfRule type="expression" dxfId="222" priority="70">
      <formula>$E$224&lt;=$G$224</formula>
    </cfRule>
  </conditionalFormatting>
  <conditionalFormatting sqref="E24">
    <cfRule type="expression" dxfId="221" priority="68">
      <formula>$E$22="New Customer"</formula>
    </cfRule>
  </conditionalFormatting>
  <conditionalFormatting sqref="E25">
    <cfRule type="expression" dxfId="220" priority="66">
      <formula>$E$22="New Customer"</formula>
    </cfRule>
  </conditionalFormatting>
  <conditionalFormatting sqref="F24:F27">
    <cfRule type="expression" dxfId="219" priority="65">
      <formula>$E$22="New Customer"</formula>
    </cfRule>
  </conditionalFormatting>
  <conditionalFormatting sqref="E27">
    <cfRule type="expression" dxfId="218" priority="64">
      <formula>$E$22="New Customer"</formula>
    </cfRule>
  </conditionalFormatting>
  <conditionalFormatting sqref="F26">
    <cfRule type="expression" dxfId="217" priority="62">
      <formula>$E$22="New Customer"</formula>
    </cfRule>
  </conditionalFormatting>
  <conditionalFormatting sqref="E26">
    <cfRule type="expression" dxfId="216" priority="63">
      <formula>$E$22="New Customer"</formula>
    </cfRule>
  </conditionalFormatting>
  <conditionalFormatting sqref="B198 B202 I194 I198 I201 B194">
    <cfRule type="expression" dxfId="215" priority="54">
      <formula>$B$190="GBP"</formula>
    </cfRule>
    <cfRule type="expression" dxfId="214" priority="55">
      <formula>$B$190="EUR"</formula>
    </cfRule>
    <cfRule type="expression" dxfId="213" priority="57">
      <formula>$B$190="USD"</formula>
    </cfRule>
  </conditionalFormatting>
  <conditionalFormatting sqref="I70">
    <cfRule type="cellIs" dxfId="212" priority="49" operator="equal">
      <formula>"CONDITIONAL"</formula>
    </cfRule>
    <cfRule type="cellIs" dxfId="211" priority="50" operator="equal">
      <formula>"FAIL"</formula>
    </cfRule>
    <cfRule type="cellIs" dxfId="210" priority="51" operator="equal">
      <formula>"PASS"</formula>
    </cfRule>
  </conditionalFormatting>
  <conditionalFormatting sqref="G72:I77">
    <cfRule type="expression" dxfId="209" priority="48">
      <formula>AND($D$70/$H$70&lt;=1.5,$H$70&gt;0)</formula>
    </cfRule>
  </conditionalFormatting>
  <conditionalFormatting sqref="H70">
    <cfRule type="expression" dxfId="208" priority="45">
      <formula>AND($D$70/$H$70&lt;=1.5,$H$70&gt;0)</formula>
    </cfRule>
  </conditionalFormatting>
  <conditionalFormatting sqref="F95">
    <cfRule type="expression" dxfId="207" priority="36">
      <formula>F95=""</formula>
    </cfRule>
    <cfRule type="expression" dxfId="206" priority="43">
      <formula>F95&lt;0</formula>
    </cfRule>
    <cfRule type="expression" dxfId="205" priority="44">
      <formula>F95&gt;0</formula>
    </cfRule>
  </conditionalFormatting>
  <conditionalFormatting sqref="F96">
    <cfRule type="expression" dxfId="204" priority="33">
      <formula>F96=""</formula>
    </cfRule>
    <cfRule type="expression" dxfId="203" priority="34">
      <formula>F96&lt;0</formula>
    </cfRule>
    <cfRule type="expression" dxfId="202" priority="35">
      <formula>F96&gt;0</formula>
    </cfRule>
  </conditionalFormatting>
  <conditionalFormatting sqref="F98">
    <cfRule type="expression" dxfId="201" priority="30">
      <formula>F98=""</formula>
    </cfRule>
    <cfRule type="expression" dxfId="200" priority="31">
      <formula>F98&lt;0</formula>
    </cfRule>
    <cfRule type="expression" dxfId="199" priority="32">
      <formula>F98&gt;0</formula>
    </cfRule>
  </conditionalFormatting>
  <conditionalFormatting sqref="F99">
    <cfRule type="expression" dxfId="198" priority="27">
      <formula>F99=""</formula>
    </cfRule>
    <cfRule type="expression" dxfId="197" priority="28">
      <formula>F99&lt;0</formula>
    </cfRule>
    <cfRule type="expression" dxfId="196" priority="29">
      <formula>F99&gt;0</formula>
    </cfRule>
  </conditionalFormatting>
  <conditionalFormatting sqref="F100">
    <cfRule type="expression" dxfId="195" priority="24">
      <formula>F100=""</formula>
    </cfRule>
    <cfRule type="expression" dxfId="194" priority="25">
      <formula>F100&lt;0</formula>
    </cfRule>
    <cfRule type="expression" dxfId="193" priority="26">
      <formula>F100&gt;0</formula>
    </cfRule>
  </conditionalFormatting>
  <conditionalFormatting sqref="F103">
    <cfRule type="expression" dxfId="192" priority="21">
      <formula>F103=""</formula>
    </cfRule>
    <cfRule type="expression" dxfId="191" priority="22">
      <formula>F103&lt;0</formula>
    </cfRule>
    <cfRule type="expression" dxfId="190" priority="23">
      <formula>F103&gt;0</formula>
    </cfRule>
  </conditionalFormatting>
  <conditionalFormatting sqref="F104">
    <cfRule type="expression" dxfId="189" priority="18">
      <formula>F104=""</formula>
    </cfRule>
    <cfRule type="expression" dxfId="188" priority="19">
      <formula>F104&lt;0</formula>
    </cfRule>
    <cfRule type="expression" dxfId="187" priority="20">
      <formula>F104&gt;0</formula>
    </cfRule>
  </conditionalFormatting>
  <conditionalFormatting sqref="F97">
    <cfRule type="expression" dxfId="186" priority="15">
      <formula>F97=""</formula>
    </cfRule>
    <cfRule type="expression" dxfId="185" priority="16">
      <formula>F97&gt;0</formula>
    </cfRule>
    <cfRule type="expression" dxfId="184" priority="17">
      <formula>F97&lt;0</formula>
    </cfRule>
  </conditionalFormatting>
  <conditionalFormatting sqref="F101">
    <cfRule type="expression" dxfId="183" priority="12">
      <formula>F101=""</formula>
    </cfRule>
    <cfRule type="expression" dxfId="182" priority="13">
      <formula>F101&gt;0</formula>
    </cfRule>
    <cfRule type="expression" dxfId="181" priority="14">
      <formula>F101&lt;0</formula>
    </cfRule>
  </conditionalFormatting>
  <conditionalFormatting sqref="F102">
    <cfRule type="expression" dxfId="180" priority="9">
      <formula>F102=""</formula>
    </cfRule>
    <cfRule type="expression" dxfId="179" priority="10">
      <formula>F102&gt;0</formula>
    </cfRule>
    <cfRule type="expression" dxfId="178" priority="11">
      <formula>F102&lt;0</formula>
    </cfRule>
  </conditionalFormatting>
  <conditionalFormatting sqref="F105">
    <cfRule type="expression" dxfId="177" priority="6">
      <formula>F105=""</formula>
    </cfRule>
    <cfRule type="expression" dxfId="176" priority="7">
      <formula>F105&gt;0</formula>
    </cfRule>
    <cfRule type="expression" dxfId="175" priority="8">
      <formula>F105&lt;0</formula>
    </cfRule>
  </conditionalFormatting>
  <conditionalFormatting sqref="F106">
    <cfRule type="expression" dxfId="174" priority="3">
      <formula>F106=""</formula>
    </cfRule>
    <cfRule type="expression" dxfId="173" priority="4">
      <formula>F106&gt;0</formula>
    </cfRule>
    <cfRule type="expression" dxfId="172" priority="5">
      <formula>F106&lt;0</formula>
    </cfRule>
  </conditionalFormatting>
  <dataValidations xWindow="656" yWindow="782" count="23">
    <dataValidation type="list" allowBlank="1" showInputMessage="1" showErrorMessage="1" promptTitle="Enter Fin. S/ment Peer Group" prompt="For the model to use the right scoring parameters, you must select the 'Peer Group' that most reflects the financial operations of the Customer" sqref="C27">
      <formula1>INDIRECT("Financial_Statement_Peer_Group")</formula1>
    </dataValidation>
    <dataValidation type="list" allowBlank="1" showInputMessage="1" showErrorMessage="1" promptTitle="Please specify qualifications" prompt="This is currently for information purposes only." sqref="F48">
      <formula1>INDIRECT("Qualification_Types[Qualification Type]")</formula1>
    </dataValidation>
    <dataValidation type="date" allowBlank="1" showInputMessage="1" showErrorMessage="1" promptTitle="Previous Statement Period End" prompt="Please enter the date of the financial statement in the format - dd/mm/yyyy. The model will adjust for partial year statements." sqref="F50">
      <formula1>36526</formula1>
      <formula2>73050</formula2>
    </dataValidation>
    <dataValidation type="date" allowBlank="1" showInputMessage="1" showErrorMessage="1" errorTitle="Invalid Application Date" error="Dates must be in the format dd/mm/yyyy, and between 1/1/2017 and 31/12/2019." promptTitle="Enter Appraisal Date" prompt="Please enter the date of the appraisal in the format dd/mm/yyyy." sqref="E16">
      <formula1>42736</formula1>
      <formula2>43830</formula2>
    </dataValidation>
    <dataValidation allowBlank="1" showInputMessage="1" showErrorMessage="1" promptTitle="Enter Customer's Full Name" prompt="Please enter the Customer's full name, as it appears on their Certificate of Registration of Company Name." sqref="B24"/>
    <dataValidation type="list" allowBlank="1" showInputMessage="1" showErrorMessage="1" promptTitle="Enter Industry Sector" prompt="Please select the applicable Industry Sector from the dropdown list. If the relevant Industry Sector is not shown, please select 'Default' for the time being." sqref="E33">
      <formula1>INDIRECT("Industry_Sector_Ratings[Industry Sector]")</formula1>
    </dataValidation>
    <dataValidation type="date" allowBlank="1" showInputMessage="1" showErrorMessage="1" promptTitle="Most Recent Statement Period End" prompt="Please enter the date of the most recent financial statement in the format - dd/mm/yyyy. The model will adjust for partial year statements." sqref="D50">
      <formula1>36526</formula1>
      <formula2>73050</formula2>
    </dataValidation>
    <dataValidation type="date" allowBlank="1" showInputMessage="1" showErrorMessage="1" promptTitle="Previous Statement Period End" prompt="Please enter the date of the second most recent financial statement in the format - dd/mm/yyyy. The model will adjust for partial year statements." sqref="E50">
      <formula1>36526</formula1>
      <formula2>73050</formula2>
    </dataValidation>
    <dataValidation type="whole" operator="greaterThanOrEqual" allowBlank="1" showInputMessage="1" showErrorMessage="1" errorTitle="Input Error" error="Please enter whole numbers greater than or equal to zero. Value should be absolute." sqref="D59:F60 D64:F64 D52:F56">
      <formula1>0</formula1>
    </dataValidation>
    <dataValidation allowBlank="1" showInputMessage="1" showErrorMessage="1" errorTitle="Input Error" error="Please enter whole numbers greater than or equal to zero. Values should be absolute." sqref="D71:F71"/>
    <dataValidation type="whole" allowBlank="1" showInputMessage="1" showErrorMessage="1" errorTitle="Input Error" error="Please enter whole numbers less than or equal to zero. Value should be absolute." sqref="D77:F77 D81:F82 D72:F72 D74:F75 D79:F79">
      <formula1>-9999999999999</formula1>
      <formula2>9999999999999</formula2>
    </dataValidation>
    <dataValidation type="list" allowBlank="1" showInputMessage="1" showErrorMessage="1" promptTitle="Enter Rating" prompt="Please select the appropriate rating from the dropdown list." sqref="D155:E155 D152:E152 D158:E158 D121:E123 D126:E127 D130:E130 D133:E133 D136:E136 D139:E139 D142:E142 D145:E145 D148:E149 D161:E161">
      <formula1>INDIRECT("Rating_Scores[Rating]")</formula1>
    </dataValidation>
    <dataValidation allowBlank="1" showInputMessage="1" showErrorMessage="1" promptTitle="Enter Comments" prompt="Please enter a brief comment justifying the proposed rating." sqref="C125:E125 C129:E129 C132:E132 C135:E135 C138:E138 C141:E141 C144:E144 C147:E147 C151:E151 C154:E154 C157:E157 C160:E160 C163:E163"/>
    <dataValidation type="whole" allowBlank="1" showInputMessage="1" showErrorMessage="1" errorTitle="Input Error" error="Please enter whole numbers greater than or equal to zero. Value should be absolute." sqref="D61:F61 D65:F66">
      <formula1>-9999999999999</formula1>
      <formula2>9999999999999</formula2>
    </dataValidation>
    <dataValidation type="whole" operator="greaterThanOrEqual" allowBlank="1" showInputMessage="1" showErrorMessage="1" errorTitle="Input Error" error="Please enter whole numbers greater than or equal to zero. Values should be absolute." sqref="D70:F70">
      <formula1>0</formula1>
    </dataValidation>
    <dataValidation type="list" allowBlank="1" showInputMessage="1" showErrorMessage="1" sqref="D12">
      <formula1>INDIRECT("Yes_or_No[Yes or No]")</formula1>
    </dataValidation>
    <dataValidation type="list" allowBlank="1" showInputMessage="1" promptTitle="Enter State Office" prompt="Please select the relevant State Office." sqref="C15">
      <formula1>INDIRECT("State_Offices")</formula1>
    </dataValidation>
    <dataValidation type="list" allowBlank="1" showInputMessage="1" showErrorMessage="1" promptTitle="Other" prompt="In the judgement of the Project Officer and Credit Analyst, does the total current account credit turnover support the financial statements?" sqref="I70">
      <formula1>INDIRECT("Hurdle_Options")</formula1>
    </dataValidation>
    <dataValidation allowBlank="1" showInputMessage="1" showErrorMessage="1" promptTitle="Validate Customer Turnover" prompt="Check that the credit turnover in the Customer's current accounts support the figures provided in the financial statements." sqref="H70"/>
    <dataValidation type="list" allowBlank="1" showInputMessage="1" showErrorMessage="1" promptTitle="Select the borrowing currency" prompt="You must select an item from the drop down list." sqref="B190">
      <formula1>INDIRECT("Currencies[Currency]")</formula1>
    </dataValidation>
    <dataValidation type="whole" operator="greaterThanOrEqual" allowBlank="1" showInputMessage="1" showErrorMessage="1" promptTitle="Conversion rate of base to NGN" prompt="Enter the correct exchange rate using the foreign currency as the base currency (NGN MUST equal 1 exactly). All other currencies are assumed to be integers greater than 1." sqref="C190">
      <formula1>1</formula1>
    </dataValidation>
    <dataValidation type="list" allowBlank="1" showInputMessage="1" showErrorMessage="1" errorTitle="Invalid Selection" error="Select Yes or No from the dropdown list." promptTitle="Customer Relationship" prompt="Select the appropriate category for the proposed customer." sqref="E22:F22">
      <formula1>INDIRECT("Customer_Relationship_Scoring[Customer Relationship]")</formula1>
    </dataValidation>
    <dataValidation type="list" allowBlank="1" showInputMessage="1" showErrorMessage="1" errorTitle="Invalid Selection" error="Select Yes or No from the dropdown list." promptTitle="Due Diligence" prompt="Select the appropriate category for the proposed customer." sqref="E30:F30">
      <formula1>INDIRECT("Due_Diligence_Scoring[Due Diligence Issue]")</formula1>
    </dataValidation>
  </dataValidations>
  <pageMargins left="0.7" right="0.7" top="0.75" bottom="0.75" header="0.3" footer="0.3"/>
  <pageSetup scale="54" fitToHeight="0" orientation="portrait" r:id="rId1"/>
  <rowBreaks count="4" manualBreakCount="4">
    <brk id="68" min="1" max="8" man="1"/>
    <brk id="117" min="1" max="8" man="1"/>
    <brk id="147" min="1" max="8" man="1"/>
    <brk id="185" min="1" max="8" man="1"/>
  </rowBreaks>
  <colBreaks count="1" manualBreakCount="1">
    <brk id="10" min="1" max="202" man="1"/>
  </colBreaks>
  <ignoredErrors>
    <ignoredError sqref="G98:G101 I98:I101 G210 G214" evalError="1"/>
    <ignoredError sqref="F105"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269"/>
  <sheetViews>
    <sheetView showGridLines="0" tabSelected="1" topLeftCell="A231" zoomScaleNormal="100" zoomScaleSheetLayoutView="100" workbookViewId="0">
      <selection activeCell="G239" sqref="G239"/>
    </sheetView>
  </sheetViews>
  <sheetFormatPr defaultColWidth="8.85546875" defaultRowHeight="15"/>
  <cols>
    <col min="1" max="1" width="5.5703125" style="24" customWidth="1"/>
    <col min="2" max="2" width="21.140625" style="24" bestFit="1" customWidth="1"/>
    <col min="3" max="3" width="19.85546875" style="24" bestFit="1" customWidth="1"/>
    <col min="4" max="5" width="15.85546875" style="24" customWidth="1"/>
    <col min="6" max="7" width="17.85546875" style="24" customWidth="1"/>
    <col min="8" max="8" width="17.85546875" style="24" bestFit="1" customWidth="1"/>
    <col min="9" max="9" width="17.85546875" style="24" customWidth="1"/>
    <col min="10" max="11" width="15.85546875" style="24" customWidth="1"/>
    <col min="12" max="34" width="16.85546875" style="24" customWidth="1"/>
    <col min="35" max="16384" width="8.85546875" style="24"/>
  </cols>
  <sheetData>
    <row r="2" spans="2:13" ht="64.5" customHeight="1">
      <c r="B2" s="320"/>
      <c r="C2" s="320"/>
      <c r="D2" s="320"/>
      <c r="E2" s="483" t="s">
        <v>566</v>
      </c>
      <c r="F2" s="483"/>
      <c r="G2" s="483"/>
      <c r="H2" s="483"/>
      <c r="I2" s="483"/>
      <c r="J2" s="483"/>
      <c r="K2" s="483"/>
      <c r="L2"/>
      <c r="M2"/>
    </row>
    <row r="3" spans="2:13" ht="15.75" hidden="1" thickBot="1"/>
    <row r="4" spans="2:13" ht="129.94999999999999" hidden="1" customHeight="1" thickBot="1">
      <c r="B4" s="520" t="s">
        <v>368</v>
      </c>
      <c r="C4" s="521"/>
      <c r="D4" s="484"/>
      <c r="E4" s="485"/>
      <c r="F4" s="485"/>
      <c r="G4" s="485"/>
      <c r="H4" s="485"/>
      <c r="I4" s="485"/>
      <c r="J4" s="485"/>
      <c r="K4" s="486"/>
      <c r="L4"/>
      <c r="M4"/>
    </row>
    <row r="6" spans="2:13" ht="26.25" thickBot="1">
      <c r="B6" s="465" t="s">
        <v>471</v>
      </c>
      <c r="C6" s="465"/>
      <c r="D6" s="465"/>
      <c r="E6" s="465"/>
      <c r="I6" s="7" t="s">
        <v>15</v>
      </c>
      <c r="J6" s="7" t="s">
        <v>16</v>
      </c>
      <c r="K6" s="7" t="s">
        <v>17</v>
      </c>
    </row>
    <row r="7" spans="2:13" ht="16.5" thickTop="1" thickBot="1"/>
    <row r="8" spans="2:13" ht="46.5">
      <c r="B8" s="131" t="s">
        <v>18</v>
      </c>
      <c r="C8" s="421" t="str">
        <f>IFERROR(IF($G$231&gt;'Model Data'!C20, 'Model Data'!B20, IF($G$231&gt;'Model Data'!C21, 'Model Data'!B21, IF($G$231&gt;'Model Data'!C22, 'Model Data'!B22, 'Model Data'!B23))), "N/A")</f>
        <v>Good</v>
      </c>
      <c r="D8" s="488" t="str">
        <f>IFERROR(IF($G$231&gt;'Model Data'!C20, 'Model Data'!I20, IF($G$231&gt;'Model Data'!C21, 'Model Data'!I21, IF($G$231&gt;'Model Data'!C22, 'Model Data'!I22, 'Model Data'!I23))), "N/A")</f>
        <v>Enter 'Good' definition</v>
      </c>
      <c r="E8" s="488"/>
      <c r="F8" s="488"/>
    </row>
    <row r="9" spans="2:13" ht="15" customHeight="1">
      <c r="D9" s="488"/>
      <c r="E9" s="488"/>
      <c r="F9" s="488"/>
    </row>
    <row r="10" spans="2:13" ht="15.75" thickBot="1"/>
    <row r="11" spans="2:13" ht="15" customHeight="1" thickBot="1">
      <c r="B11" s="457" t="s">
        <v>19</v>
      </c>
      <c r="C11" s="457"/>
      <c r="D11" s="422" t="str">
        <f>G233</f>
        <v>PASS</v>
      </c>
    </row>
    <row r="12" spans="2:13" ht="15.75" thickBot="1">
      <c r="B12" s="457" t="s">
        <v>20</v>
      </c>
      <c r="C12" s="457"/>
      <c r="D12" s="432" t="s">
        <v>153</v>
      </c>
    </row>
    <row r="13" spans="2:13" ht="15.75" thickBot="1">
      <c r="B13" s="457" t="s">
        <v>21</v>
      </c>
      <c r="C13" s="457"/>
      <c r="D13" s="422" t="str">
        <f>IF(D12="Yes", IF(D11="PASS", "FAIL", "PASS"), D11)</f>
        <v>PASS</v>
      </c>
    </row>
    <row r="14" spans="2:13" ht="15.75" thickBot="1"/>
    <row r="15" spans="2:13">
      <c r="B15" s="510" t="s">
        <v>22</v>
      </c>
      <c r="C15" s="511"/>
      <c r="D15" s="531" t="s">
        <v>154</v>
      </c>
      <c r="E15" s="532"/>
      <c r="G15" s="319" t="s">
        <v>0</v>
      </c>
      <c r="H15"/>
    </row>
    <row r="16" spans="2:13" ht="15.75" thickBot="1">
      <c r="G16" s="428">
        <f ca="1">NOW()</f>
        <v>44613.647905324076</v>
      </c>
      <c r="H16"/>
    </row>
    <row r="17" spans="2:11">
      <c r="B17" s="510" t="s">
        <v>24</v>
      </c>
      <c r="C17" s="511"/>
      <c r="D17" s="531" t="s">
        <v>572</v>
      </c>
      <c r="E17" s="532"/>
    </row>
    <row r="18" spans="2:11" s="27" customFormat="1">
      <c r="E18" s="24"/>
      <c r="G18"/>
      <c r="H18"/>
    </row>
    <row r="19" spans="2:11" ht="26.25" thickBot="1">
      <c r="B19" s="465" t="s">
        <v>25</v>
      </c>
      <c r="C19" s="465"/>
      <c r="D19" s="465"/>
      <c r="E19" s="465"/>
    </row>
    <row r="20" spans="2:11" customFormat="1" ht="16.5" thickTop="1" thickBot="1"/>
    <row r="21" spans="2:11" customFormat="1" ht="14.45" customHeight="1">
      <c r="B21" s="510" t="s">
        <v>482</v>
      </c>
      <c r="C21" s="511"/>
      <c r="D21" s="531" t="s">
        <v>573</v>
      </c>
      <c r="E21" s="532"/>
      <c r="G21" s="319" t="s">
        <v>29</v>
      </c>
      <c r="H21" s="426"/>
      <c r="I21" s="43"/>
      <c r="J21" s="43"/>
      <c r="K21" s="43"/>
    </row>
    <row r="22" spans="2:11" customFormat="1" ht="15.75" thickBot="1">
      <c r="G22" s="514" t="s">
        <v>284</v>
      </c>
      <c r="H22" s="515"/>
      <c r="I22" s="433">
        <f>IFERROR(VLOOKUP(G22, Industry_Sector_Ratings[], 20, FALSE),0)</f>
        <v>40.70000000000001</v>
      </c>
      <c r="J22" s="433">
        <v>1</v>
      </c>
      <c r="K22" s="50">
        <f>I22*J22</f>
        <v>40.70000000000001</v>
      </c>
    </row>
    <row r="23" spans="2:11" ht="14.45" customHeight="1">
      <c r="B23" s="510" t="s">
        <v>155</v>
      </c>
      <c r="C23" s="511"/>
      <c r="D23" s="518" t="str">
        <f>'[1]Starting Balance Set-up'!$C$7</f>
        <v>ONE TERMINALS LIMITED</v>
      </c>
      <c r="E23" s="519"/>
      <c r="F23"/>
      <c r="G23" s="516"/>
      <c r="H23" s="517"/>
      <c r="I23" s="43"/>
      <c r="J23" s="43"/>
      <c r="K23" s="43"/>
    </row>
    <row r="24" spans="2:11" ht="14.85" customHeight="1" thickBot="1">
      <c r="F24"/>
      <c r="J24" s="414"/>
      <c r="K24" s="414"/>
    </row>
    <row r="25" spans="2:11" ht="14.45" customHeight="1">
      <c r="B25" s="510" t="s">
        <v>27</v>
      </c>
      <c r="C25" s="511"/>
      <c r="D25" s="512" t="s">
        <v>362</v>
      </c>
      <c r="E25" s="513"/>
      <c r="F25"/>
      <c r="H25"/>
      <c r="I25" s="457" t="s">
        <v>505</v>
      </c>
      <c r="J25" s="509"/>
      <c r="K25" s="50">
        <f>K22</f>
        <v>40.70000000000001</v>
      </c>
    </row>
    <row r="26" spans="2:11" ht="14.85" customHeight="1">
      <c r="B26"/>
      <c r="C26"/>
      <c r="D26"/>
      <c r="E26"/>
      <c r="H26"/>
      <c r="I26" s="44"/>
      <c r="J26" s="44"/>
      <c r="K26" s="43"/>
    </row>
    <row r="27" spans="2:11" ht="14.45" customHeight="1">
      <c r="B27" s="487" t="s">
        <v>457</v>
      </c>
      <c r="C27" s="487"/>
      <c r="D27" s="487"/>
      <c r="E27" s="487"/>
      <c r="I27" s="457" t="s">
        <v>506</v>
      </c>
      <c r="J27" s="509"/>
      <c r="K27" s="50">
        <f>'Model Data'!C53</f>
        <v>63.5</v>
      </c>
    </row>
    <row r="28" spans="2:11" ht="14.45" customHeight="1">
      <c r="B28" s="487"/>
      <c r="C28" s="487"/>
      <c r="D28" s="487"/>
      <c r="E28" s="487"/>
      <c r="G28"/>
      <c r="I28" s="44"/>
      <c r="J28" s="44"/>
      <c r="K28" s="43"/>
    </row>
    <row r="29" spans="2:11" ht="15" customHeight="1">
      <c r="B29" s="487"/>
      <c r="C29" s="487"/>
      <c r="D29" s="487"/>
      <c r="E29" s="487"/>
      <c r="G29"/>
      <c r="I29" s="457" t="s">
        <v>507</v>
      </c>
      <c r="J29" s="509"/>
      <c r="K29" s="48">
        <f>K25/K27</f>
        <v>0.64094488188976395</v>
      </c>
    </row>
    <row r="30" spans="2:11" ht="14.45" customHeight="1">
      <c r="B30"/>
      <c r="C30"/>
      <c r="D30"/>
      <c r="E30"/>
      <c r="G30"/>
      <c r="I30" s="44"/>
      <c r="J30" s="44"/>
      <c r="K30" s="43"/>
    </row>
    <row r="31" spans="2:11" ht="14.85" customHeight="1">
      <c r="B31"/>
      <c r="C31"/>
      <c r="D31"/>
      <c r="E31"/>
      <c r="G31"/>
      <c r="H31" s="27"/>
      <c r="I31" s="457" t="s">
        <v>508</v>
      </c>
      <c r="J31" s="509"/>
      <c r="K31" s="48">
        <f>'Model Data'!C55</f>
        <v>0.6</v>
      </c>
    </row>
    <row r="32" spans="2:11" ht="14.85" customHeight="1" thickBot="1">
      <c r="B32"/>
      <c r="C32"/>
      <c r="D32"/>
      <c r="E32"/>
      <c r="G32"/>
      <c r="H32" s="27"/>
      <c r="I32" s="44"/>
      <c r="J32" s="44"/>
      <c r="K32" s="43"/>
    </row>
    <row r="33" spans="2:11" ht="14.85" customHeight="1" thickBot="1">
      <c r="B33"/>
      <c r="C33"/>
      <c r="D33"/>
      <c r="E33"/>
      <c r="G33"/>
      <c r="H33" s="27"/>
      <c r="I33" s="457" t="s">
        <v>509</v>
      </c>
      <c r="J33" s="509"/>
      <c r="K33" s="29" t="str">
        <f>IF(K29&lt;K31,"FAIL", "PASS")</f>
        <v>PASS</v>
      </c>
    </row>
    <row r="34" spans="2:11" ht="14.85" customHeight="1">
      <c r="B34"/>
      <c r="C34"/>
      <c r="D34"/>
      <c r="E34"/>
      <c r="F34"/>
      <c r="G34"/>
      <c r="H34" s="27"/>
    </row>
    <row r="35" spans="2:11" ht="26.25" thickBot="1">
      <c r="B35" s="465" t="s">
        <v>476</v>
      </c>
      <c r="C35" s="465"/>
      <c r="D35" s="465"/>
      <c r="E35" s="465"/>
      <c r="G35" s="43"/>
      <c r="H35" s="43"/>
      <c r="I35" s="43"/>
    </row>
    <row r="36" spans="2:11" customFormat="1" ht="15.75" thickTop="1"/>
    <row r="37" spans="2:11" customFormat="1">
      <c r="B37" s="457" t="s">
        <v>494</v>
      </c>
      <c r="C37" s="509"/>
      <c r="D37" s="89">
        <f>'[1]Starting Balance Set-up'!$I$9</f>
        <v>43862</v>
      </c>
    </row>
    <row r="38" spans="2:11" customFormat="1"/>
    <row r="39" spans="2:11" customFormat="1">
      <c r="B39" s="457" t="s">
        <v>157</v>
      </c>
      <c r="C39" s="509"/>
      <c r="D39" s="89">
        <f>'[1]Starting Balance Set-up'!$I$11</f>
        <v>43893</v>
      </c>
    </row>
    <row r="40" spans="2:11" customFormat="1"/>
    <row r="41" spans="2:11" customFormat="1" ht="18.75" thickBot="1">
      <c r="B41" s="547" t="s">
        <v>495</v>
      </c>
      <c r="C41" s="547"/>
      <c r="D41" s="547"/>
      <c r="E41" s="24"/>
      <c r="F41" s="24"/>
    </row>
    <row r="42" spans="2:11" customFormat="1" ht="15.75" thickTop="1">
      <c r="E42" s="24"/>
      <c r="F42" s="24"/>
    </row>
    <row r="43" spans="2:11" customFormat="1">
      <c r="B43" s="457" t="s">
        <v>158</v>
      </c>
      <c r="C43" s="509"/>
      <c r="D43" s="63">
        <f>'[1]Starting Balance Set-up'!$C$17</f>
        <v>364340499</v>
      </c>
      <c r="E43" s="24"/>
      <c r="F43" s="24"/>
      <c r="I43" s="7" t="s">
        <v>15</v>
      </c>
      <c r="J43" s="7" t="s">
        <v>16</v>
      </c>
      <c r="K43" s="7" t="s">
        <v>17</v>
      </c>
    </row>
    <row r="44" spans="2:11" customFormat="1">
      <c r="E44" s="24"/>
      <c r="F44" s="457" t="s">
        <v>496</v>
      </c>
      <c r="G44" s="509" t="s">
        <v>97</v>
      </c>
      <c r="H44" s="90">
        <f>IFERROR(D43/(D43+D45+D47+D49+D51),"NEG")</f>
        <v>0.14511107056922956</v>
      </c>
      <c r="I44" s="49">
        <f>IF(OR(H44="", H44="NEG"), 0, IF(H44="∞",'Fin Statement Scoring Matrix'!G69,IF(H44&gt;='Fin Statement Scoring Matrix'!D69,'Fin Statement Scoring Matrix'!G69,IF(AND(H44&lt;='Fin Statement Scoring Matrix'!E70,H44&gt;='Fin Statement Scoring Matrix'!D70),'Fin Statement Scoring Matrix'!G70,IF(AND(H44&lt;='Fin Statement Scoring Matrix'!E71,H44&gt;='Fin Statement Scoring Matrix'!D71),'Fin Statement Scoring Matrix'!G71,IF(AND(H44&lt;='Fin Statement Scoring Matrix'!E72,H44&gt;='Fin Statement Scoring Matrix'!D72),'Fin Statement Scoring Matrix'!G72,IF(H44&lt;='Fin Statement Scoring Matrix'!E73,'Fin Statement Scoring Matrix'!G73,0)))))))</f>
        <v>3</v>
      </c>
      <c r="J44" s="64">
        <f>'Model Data'!C104</f>
        <v>0.5</v>
      </c>
      <c r="K44" s="64">
        <f>I44*J44</f>
        <v>1.5</v>
      </c>
    </row>
    <row r="45" spans="2:11" customFormat="1">
      <c r="B45" s="457" t="s">
        <v>159</v>
      </c>
      <c r="C45" s="509"/>
      <c r="D45" s="63">
        <f>'[1]Starting Balance Set-up'!$C$20</f>
        <v>0</v>
      </c>
      <c r="E45" s="24"/>
      <c r="F45" s="24"/>
    </row>
    <row r="46" spans="2:11" customFormat="1">
      <c r="E46" s="24"/>
      <c r="F46" s="457" t="s">
        <v>547</v>
      </c>
      <c r="G46" s="509" t="s">
        <v>161</v>
      </c>
      <c r="H46" s="91">
        <f>IFERROR(D63/(D55+D57+D59),"NEG")</f>
        <v>0.4103283659446828</v>
      </c>
      <c r="I46" s="49">
        <f>IFERROR(IF(OR(H46="", H46="NEG"), 0, IF(H46="∞",'Fin Statement Scoring Matrix'!G74,IF(H46&gt;='Fin Statement Scoring Matrix'!D74,'Fin Statement Scoring Matrix'!G74,IF(AND(H46&lt;='Fin Statement Scoring Matrix'!E75,H46&gt;='Fin Statement Scoring Matrix'!D75),'Fin Statement Scoring Matrix'!G75,IF(AND(H46&lt;='Fin Statement Scoring Matrix'!E76,H46&gt;='Fin Statement Scoring Matrix'!D76),'Fin Statement Scoring Matrix'!G76,IF(AND(H46&lt;='Fin Statement Scoring Matrix'!E77,H46&gt;='Fin Statement Scoring Matrix'!D77),'Fin Statement Scoring Matrix'!G77,IF(H46&lt;='Fin Statement Scoring Matrix'!E78,'Fin Statement Scoring Matrix'!G78,0))))))),0)</f>
        <v>5</v>
      </c>
      <c r="J46" s="64">
        <f>'Model Data'!C105</f>
        <v>1</v>
      </c>
      <c r="K46" s="64">
        <f>I46*J46</f>
        <v>5</v>
      </c>
    </row>
    <row r="47" spans="2:11" customFormat="1">
      <c r="B47" s="457" t="s">
        <v>162</v>
      </c>
      <c r="C47" s="509"/>
      <c r="D47" s="63">
        <f>'[1]Starting Balance Set-up'!$C$22</f>
        <v>0</v>
      </c>
      <c r="E47" s="24"/>
      <c r="F47" s="24"/>
    </row>
    <row r="48" spans="2:11" customFormat="1">
      <c r="E48" s="24"/>
      <c r="F48" s="457" t="s">
        <v>497</v>
      </c>
      <c r="G48" s="509" t="s">
        <v>163</v>
      </c>
      <c r="H48" s="90">
        <f>IFERROR((D43+E66-D66)/(D43+D45+D47+D49+D51),"NEG")</f>
        <v>0.14511107056922956</v>
      </c>
      <c r="I48" s="49">
        <f>IF(OR(H48="", H48="NEG"), 0, IF(H48="∞",'Fin Statement Scoring Matrix'!G73,IF(H48&gt;='Fin Statement Scoring Matrix'!D79,'Fin Statement Scoring Matrix'!G79,IF(AND(H48&lt;='Fin Statement Scoring Matrix'!E74,H53&gt;='Fin Statement Scoring Matrix'!D80),'Fin Statement Scoring Matrix'!G80,IF(AND(H48&lt;='Fin Statement Scoring Matrix'!E81,H48&gt;='Fin Statement Scoring Matrix'!D81),'Fin Statement Scoring Matrix'!G81,IF(AND(H48&lt;='Fin Statement Scoring Matrix'!E82,H48&gt;='Fin Statement Scoring Matrix'!D82),'Fin Statement Scoring Matrix'!G82,IF(H48&lt;='Fin Statement Scoring Matrix'!E83,'Fin Statement Scoring Matrix'!G83,0)))))))</f>
        <v>1</v>
      </c>
      <c r="J48" s="64">
        <f>'Model Data'!C106</f>
        <v>0.1</v>
      </c>
      <c r="K48" s="64">
        <f>I48*J48</f>
        <v>0.1</v>
      </c>
    </row>
    <row r="49" spans="2:12" customFormat="1">
      <c r="B49" s="457" t="s">
        <v>367</v>
      </c>
      <c r="C49" s="509"/>
      <c r="D49" s="63">
        <f>'[1]Starting Balance Set-up'!$C$27</f>
        <v>13009033</v>
      </c>
      <c r="E49" s="24"/>
      <c r="F49" s="24"/>
    </row>
    <row r="50" spans="2:12" customFormat="1" ht="14.85" customHeight="1">
      <c r="E50" s="24"/>
      <c r="F50" s="24"/>
      <c r="H50" s="24"/>
      <c r="I50" s="457" t="s">
        <v>549</v>
      </c>
      <c r="J50" s="509"/>
      <c r="K50" s="50">
        <f>K44+K46+K48</f>
        <v>6.6</v>
      </c>
    </row>
    <row r="51" spans="2:12" customFormat="1">
      <c r="B51" s="457" t="s">
        <v>164</v>
      </c>
      <c r="C51" s="509"/>
      <c r="D51" s="63">
        <f>'[1]Starting Balance Set-up'!$C$25</f>
        <v>2133420305</v>
      </c>
      <c r="E51" s="24"/>
      <c r="F51" s="24"/>
      <c r="H51" s="24"/>
      <c r="I51" s="44"/>
      <c r="J51" s="44"/>
      <c r="K51" s="43"/>
    </row>
    <row r="52" spans="2:12" customFormat="1">
      <c r="B52" s="24"/>
      <c r="D52" s="24"/>
      <c r="E52" s="24"/>
      <c r="F52" s="24"/>
      <c r="I52" s="457" t="s">
        <v>550</v>
      </c>
      <c r="J52" s="509"/>
      <c r="K52" s="50">
        <f>'Model Data'!C108</f>
        <v>8</v>
      </c>
    </row>
    <row r="53" spans="2:12" customFormat="1" ht="18.75" thickBot="1">
      <c r="B53" s="345" t="s">
        <v>165</v>
      </c>
      <c r="C53" s="345"/>
      <c r="D53" s="345"/>
      <c r="E53" s="24"/>
      <c r="F53" s="24"/>
      <c r="I53" s="44"/>
      <c r="J53" s="44"/>
      <c r="K53" s="43"/>
    </row>
    <row r="54" spans="2:12" customFormat="1" ht="15.75" thickTop="1">
      <c r="I54" s="457" t="s">
        <v>551</v>
      </c>
      <c r="J54" s="509"/>
      <c r="K54" s="48">
        <f>K50/K52</f>
        <v>0.82499999999999996</v>
      </c>
    </row>
    <row r="55" spans="2:12" customFormat="1">
      <c r="B55" s="457" t="s">
        <v>166</v>
      </c>
      <c r="C55" s="509"/>
      <c r="D55" s="63">
        <f>'[1]Starting Balance Set-up'!$H$17</f>
        <v>1505000000</v>
      </c>
      <c r="I55" s="44"/>
      <c r="J55" s="44"/>
      <c r="K55" s="43"/>
    </row>
    <row r="56" spans="2:12" customFormat="1" ht="14.85" customHeight="1">
      <c r="I56" s="457" t="s">
        <v>553</v>
      </c>
      <c r="J56" s="509"/>
      <c r="K56" s="48">
        <f>'Model Data'!C110</f>
        <v>0.6</v>
      </c>
    </row>
    <row r="57" spans="2:12" customFormat="1" ht="15.75" thickBot="1">
      <c r="B57" s="457" t="s">
        <v>534</v>
      </c>
      <c r="C57" s="509"/>
      <c r="D57" s="63">
        <f>'[1]Starting Balance Set-up'!$H$19</f>
        <v>599000000</v>
      </c>
      <c r="F57" s="24"/>
      <c r="H57" s="24"/>
      <c r="I57" s="44"/>
      <c r="J57" s="44"/>
      <c r="K57" s="43"/>
      <c r="L57" s="24"/>
    </row>
    <row r="58" spans="2:12" customFormat="1" ht="15.75" thickBot="1">
      <c r="F58" s="24"/>
      <c r="H58" s="24"/>
      <c r="I58" s="457" t="s">
        <v>552</v>
      </c>
      <c r="J58" s="509"/>
      <c r="K58" s="29" t="str">
        <f>IF(K54&lt;K56,"FAIL", "PASS")</f>
        <v>PASS</v>
      </c>
      <c r="L58" s="24"/>
    </row>
    <row r="59" spans="2:12" customFormat="1">
      <c r="B59" s="457" t="s">
        <v>55</v>
      </c>
      <c r="C59" s="509"/>
      <c r="D59" s="63">
        <f>'[1]Starting Balance Set-up'!$H$21</f>
        <v>-350901485</v>
      </c>
      <c r="E59" s="24"/>
      <c r="F59" s="24"/>
      <c r="H59" s="24"/>
      <c r="I59" s="24"/>
      <c r="J59" s="24"/>
      <c r="K59" s="24"/>
      <c r="L59" s="24"/>
    </row>
    <row r="60" spans="2:12" customFormat="1">
      <c r="E60" s="24"/>
      <c r="F60" s="24"/>
      <c r="H60" s="24"/>
      <c r="I60" s="24"/>
      <c r="J60" s="24"/>
      <c r="K60" s="24"/>
      <c r="L60" s="24"/>
    </row>
    <row r="61" spans="2:12" customFormat="1">
      <c r="B61" s="457" t="s">
        <v>167</v>
      </c>
      <c r="C61" s="509"/>
      <c r="D61" s="63">
        <f>'[1]Starting Balance Set-up'!$H$24</f>
        <v>38325273</v>
      </c>
      <c r="E61" s="24"/>
      <c r="F61" s="24"/>
      <c r="H61" s="24"/>
      <c r="I61" s="24"/>
      <c r="J61" s="24"/>
      <c r="K61" s="24"/>
      <c r="L61" s="24"/>
    </row>
    <row r="62" spans="2:12" customFormat="1">
      <c r="E62" s="24"/>
      <c r="F62" s="24"/>
      <c r="H62" s="24"/>
      <c r="I62" s="24"/>
      <c r="J62" s="24"/>
      <c r="K62" s="24"/>
      <c r="L62" s="24"/>
    </row>
    <row r="63" spans="2:12" customFormat="1">
      <c r="B63" s="457" t="s">
        <v>168</v>
      </c>
      <c r="C63" s="509"/>
      <c r="D63" s="63">
        <f>'[1]Starting Balance Set-up'!$H$27</f>
        <v>719346049</v>
      </c>
      <c r="E63" s="24"/>
    </row>
    <row r="64" spans="2:12" customFormat="1">
      <c r="E64" s="24"/>
    </row>
    <row r="65" spans="2:9" customFormat="1">
      <c r="E65" s="420" t="s">
        <v>463</v>
      </c>
    </row>
    <row r="66" spans="2:9" customFormat="1">
      <c r="B66" s="457" t="s">
        <v>169</v>
      </c>
      <c r="C66" s="509"/>
      <c r="D66" s="63">
        <f>'[1]Starting Balance Set-up'!$H$30</f>
        <v>0</v>
      </c>
      <c r="E66" s="63">
        <f>'[1]Starting Balance Set-up'!$I$30</f>
        <v>0</v>
      </c>
    </row>
    <row r="67" spans="2:9" customFormat="1"/>
    <row r="68" spans="2:9" customFormat="1" ht="26.25" thickBot="1">
      <c r="B68" s="465" t="s">
        <v>477</v>
      </c>
      <c r="C68" s="465"/>
      <c r="D68" s="465"/>
      <c r="E68" s="62"/>
      <c r="F68" s="62"/>
      <c r="G68" s="62"/>
    </row>
    <row r="69" spans="2:9" customFormat="1" ht="15.75" thickTop="1"/>
    <row r="70" spans="2:9">
      <c r="B70" s="92" t="s">
        <v>170</v>
      </c>
      <c r="C70" s="93" t="s">
        <v>171</v>
      </c>
      <c r="D70" s="93" t="s">
        <v>97</v>
      </c>
    </row>
    <row r="71" spans="2:9">
      <c r="B71" s="94" t="s">
        <v>172</v>
      </c>
      <c r="C71" s="95">
        <f>'[1]Balance Sheet'!$C$10</f>
        <v>364340499</v>
      </c>
      <c r="D71" s="124">
        <f>H44</f>
        <v>0.14511107056922956</v>
      </c>
    </row>
    <row r="72" spans="2:9">
      <c r="B72" s="96" t="s">
        <v>173</v>
      </c>
      <c r="C72" s="97">
        <f>'[1]Balance Sheet'!$D$10</f>
        <v>261556936.92474031</v>
      </c>
      <c r="D72" s="125">
        <f>'[1]Balance Sheet'!$D$10/'[1]Balance Sheet'!$D$8</f>
        <v>0.11136126259698058</v>
      </c>
      <c r="G72" s="43"/>
      <c r="H72" s="43"/>
      <c r="I72" s="43"/>
    </row>
    <row r="73" spans="2:9">
      <c r="B73" s="94" t="s">
        <v>174</v>
      </c>
      <c r="C73" s="95">
        <f>'[1]Balance Sheet'!$E$10</f>
        <v>540831272.84948063</v>
      </c>
      <c r="D73" s="126">
        <f>'[1]Balance Sheet'!$E$10/'[1]Balance Sheet'!$E$8</f>
        <v>0.1616102920954515</v>
      </c>
      <c r="G73" s="43"/>
      <c r="H73" s="43"/>
      <c r="I73" s="43"/>
    </row>
    <row r="74" spans="2:9">
      <c r="B74" s="96" t="s">
        <v>175</v>
      </c>
      <c r="C74" s="97">
        <f>'[1]Balance Sheet'!$F$10</f>
        <v>460804650.44088745</v>
      </c>
      <c r="D74" s="125">
        <f>'[1]Balance Sheet'!$F$10/'[1]Balance Sheet'!$F$8</f>
        <v>0.14467943381328846</v>
      </c>
      <c r="G74" s="43"/>
      <c r="H74" s="43"/>
      <c r="I74" s="43"/>
    </row>
    <row r="75" spans="2:9">
      <c r="B75" s="94" t="s">
        <v>176</v>
      </c>
      <c r="C75" s="95">
        <f>'[1]Balance Sheet'!$G$10</f>
        <v>836906328.03229427</v>
      </c>
      <c r="D75" s="126">
        <f>'[1]Balance Sheet'!$G$10/'[1]Balance Sheet'!$G$8</f>
        <v>0.24051642855561983</v>
      </c>
      <c r="G75" s="43"/>
      <c r="H75" s="43"/>
      <c r="I75" s="43"/>
    </row>
    <row r="76" spans="2:9">
      <c r="B76" s="96" t="s">
        <v>177</v>
      </c>
      <c r="C76" s="97">
        <f>'[1]Balance Sheet'!$H$10</f>
        <v>769559705.62370157</v>
      </c>
      <c r="D76" s="125">
        <f>'[1]Balance Sheet'!$H$10/'[1]Balance Sheet'!$H$8</f>
        <v>0.23104407500531865</v>
      </c>
      <c r="G76" s="43"/>
      <c r="H76" s="43"/>
      <c r="I76" s="43"/>
    </row>
    <row r="77" spans="2:9">
      <c r="B77" s="94" t="s">
        <v>178</v>
      </c>
      <c r="C77" s="95">
        <f>'[1]Balance Sheet'!$I$10</f>
        <v>1151778587.2151084</v>
      </c>
      <c r="D77" s="126">
        <f>'[1]Balance Sheet'!$I$10/'[1]Balance Sheet'!$I$8</f>
        <v>0.31716098002201737</v>
      </c>
      <c r="G77" s="43"/>
      <c r="H77" s="43"/>
      <c r="I77" s="43"/>
    </row>
    <row r="78" spans="2:9">
      <c r="B78" s="96" t="s">
        <v>179</v>
      </c>
      <c r="C78" s="97">
        <f>'[1]Balance Sheet'!$J$10</f>
        <v>1076874464.8065152</v>
      </c>
      <c r="D78" s="125">
        <f>'[1]Balance Sheet'!$J$10/'[1]Balance Sheet'!$J$8</f>
        <v>0.30987956000906003</v>
      </c>
      <c r="G78" s="43"/>
      <c r="H78" s="43"/>
      <c r="I78" s="43"/>
    </row>
    <row r="79" spans="2:9">
      <c r="B79" s="94" t="s">
        <v>180</v>
      </c>
      <c r="C79" s="95">
        <f>'[1]Balance Sheet'!$K$10</f>
        <v>1460634842.3979225</v>
      </c>
      <c r="D79" s="126">
        <f>'[1]Balance Sheet'!$K$10/'[1]Balance Sheet'!$K$8</f>
        <v>0.38667574409655092</v>
      </c>
      <c r="G79" s="43"/>
      <c r="H79" s="43"/>
      <c r="I79" s="43"/>
    </row>
    <row r="80" spans="2:9">
      <c r="B80" s="96" t="s">
        <v>181</v>
      </c>
      <c r="C80" s="97">
        <f>'[1]Balance Sheet'!$L$10</f>
        <v>1385990576.8073931</v>
      </c>
      <c r="D80" s="125">
        <f>'[1]Balance Sheet'!$L$10/'[1]Balance Sheet'!$L$8</f>
        <v>0.38273424711848375</v>
      </c>
      <c r="G80" s="43"/>
      <c r="H80" s="43"/>
      <c r="I80" s="43"/>
    </row>
    <row r="81" spans="2:16">
      <c r="B81" s="94" t="s">
        <v>182</v>
      </c>
      <c r="C81" s="95">
        <f>'[1]Balance Sheet'!$M$10</f>
        <v>1431397111.2168646</v>
      </c>
      <c r="D81" s="126">
        <f>'[1]Balance Sheet'!$M$10/'[1]Balance Sheet'!$M$8</f>
        <v>0.39925059671796786</v>
      </c>
      <c r="G81" s="43"/>
      <c r="H81" s="43"/>
      <c r="I81" s="43"/>
    </row>
    <row r="82" spans="2:16">
      <c r="B82" s="96" t="s">
        <v>183</v>
      </c>
      <c r="C82" s="97">
        <f>'[1]Balance Sheet'!$N$10</f>
        <v>1470335497.6263361</v>
      </c>
      <c r="D82" s="125">
        <f>'[1]Balance Sheet'!$N$10/'[1]Balance Sheet'!$N$8</f>
        <v>0.41503665604917839</v>
      </c>
      <c r="G82" s="43"/>
      <c r="H82" s="43"/>
      <c r="I82" s="43"/>
    </row>
    <row r="83" spans="2:16">
      <c r="B83" s="94" t="s">
        <v>184</v>
      </c>
      <c r="C83" s="95">
        <f>'[1]Balance Sheet'!$O$10</f>
        <v>1518027032.0358069</v>
      </c>
      <c r="D83" s="126">
        <f>'[1]Balance Sheet'!$O$10/'[1]Balance Sheet'!$O$8</f>
        <v>0.43262538736393163</v>
      </c>
      <c r="G83" s="43"/>
      <c r="H83" s="43"/>
      <c r="I83" s="43"/>
    </row>
    <row r="84" spans="2:16">
      <c r="B84" s="96" t="s">
        <v>185</v>
      </c>
      <c r="C84" s="97">
        <f>'[1]Balance Sheet'!$P$10</f>
        <v>1518027032.0358069</v>
      </c>
      <c r="D84" s="125">
        <f>'[1]Balance Sheet'!$P$10/'[1]Balance Sheet'!$P$8</f>
        <v>0.43262538736393163</v>
      </c>
      <c r="G84" s="43"/>
      <c r="H84" s="43"/>
      <c r="I84" s="43"/>
    </row>
    <row r="85" spans="2:16">
      <c r="B85" s="94" t="s">
        <v>186</v>
      </c>
      <c r="C85" s="95">
        <f>'[1]Balance Sheet'!$Q$10</f>
        <v>2477184886.0877123</v>
      </c>
      <c r="D85" s="126">
        <f>'[1]Balance Sheet'!$Q$10/'[1]Balance Sheet'!$Q$8</f>
        <v>0.70974976390287414</v>
      </c>
      <c r="G85" s="43"/>
      <c r="H85" s="43"/>
      <c r="I85" s="43"/>
    </row>
    <row r="86" spans="2:16">
      <c r="B86" s="98" t="s">
        <v>187</v>
      </c>
      <c r="C86" s="99">
        <f>'[1]Balance Sheet'!$R$10</f>
        <v>3812948948.3090692</v>
      </c>
      <c r="D86" s="127">
        <f>'[1]Balance Sheet'!$R$10/'[1]Balance Sheet'!$R$8</f>
        <v>0.99084469714024981</v>
      </c>
      <c r="G86" s="43"/>
      <c r="H86" s="43"/>
      <c r="I86" s="43"/>
    </row>
    <row r="87" spans="2:16">
      <c r="G87" s="43"/>
      <c r="H87" s="43"/>
      <c r="I87" s="43"/>
    </row>
    <row r="88" spans="2:16">
      <c r="G88" s="43"/>
      <c r="H88" s="43"/>
      <c r="I88" s="457" t="s">
        <v>188</v>
      </c>
      <c r="J88" s="509"/>
      <c r="K88" s="48">
        <f>IFERROR(MIN(D71:D86),0)</f>
        <v>0.11136126259698058</v>
      </c>
    </row>
    <row r="89" spans="2:16">
      <c r="G89" s="43"/>
      <c r="H89" s="43"/>
      <c r="I89"/>
      <c r="J89"/>
      <c r="K89"/>
    </row>
    <row r="90" spans="2:16">
      <c r="G90" s="43"/>
      <c r="H90" s="43"/>
      <c r="I90" s="457" t="s">
        <v>189</v>
      </c>
      <c r="J90" s="509"/>
      <c r="K90" s="48">
        <f>'Model Data'!C114</f>
        <v>0.1</v>
      </c>
    </row>
    <row r="91" spans="2:16" ht="15.75" thickBot="1">
      <c r="G91" s="43"/>
      <c r="H91" s="43"/>
      <c r="I91" s="43"/>
    </row>
    <row r="92" spans="2:16" ht="15.75" thickBot="1">
      <c r="G92" s="43"/>
      <c r="H92" s="43"/>
      <c r="I92" s="457" t="s">
        <v>554</v>
      </c>
      <c r="J92" s="509"/>
      <c r="K92" s="29" t="str">
        <f>IF(K88&lt;K90,"FAIL", "PASS")</f>
        <v>PASS</v>
      </c>
      <c r="M92"/>
      <c r="N92"/>
      <c r="O92"/>
      <c r="P92"/>
    </row>
    <row r="93" spans="2:16">
      <c r="G93" s="43"/>
      <c r="H93" s="43"/>
      <c r="I93" s="43"/>
      <c r="M93"/>
      <c r="N93"/>
      <c r="O93"/>
      <c r="P93"/>
    </row>
    <row r="94" spans="2:16" ht="26.25" thickBot="1">
      <c r="B94" s="465" t="s">
        <v>478</v>
      </c>
      <c r="C94" s="465"/>
      <c r="D94" s="465"/>
      <c r="E94" s="465"/>
      <c r="G94" s="25" t="s">
        <v>15</v>
      </c>
      <c r="H94" s="25" t="s">
        <v>16</v>
      </c>
      <c r="I94" s="25" t="s">
        <v>17</v>
      </c>
    </row>
    <row r="95" spans="2:16" ht="15.75" thickTop="1">
      <c r="G95" s="43"/>
      <c r="H95" s="43"/>
      <c r="I95" s="43"/>
      <c r="M95"/>
      <c r="N95"/>
      <c r="O95"/>
      <c r="P95"/>
    </row>
    <row r="96" spans="2:16" ht="14.85" customHeight="1">
      <c r="B96"/>
      <c r="C96"/>
      <c r="D96"/>
      <c r="E96"/>
      <c r="F96" s="76" t="s">
        <v>190</v>
      </c>
      <c r="G96" s="77" t="s">
        <v>191</v>
      </c>
      <c r="H96" s="76" t="s">
        <v>192</v>
      </c>
      <c r="I96" s="77" t="s">
        <v>193</v>
      </c>
      <c r="K96"/>
      <c r="L96"/>
      <c r="M96"/>
      <c r="N96"/>
    </row>
    <row r="97" spans="2:14">
      <c r="B97" s="495" t="s">
        <v>39</v>
      </c>
      <c r="C97" s="507" t="s">
        <v>40</v>
      </c>
      <c r="D97" s="507"/>
      <c r="E97" s="507"/>
      <c r="F97" s="33"/>
      <c r="G97" s="33"/>
      <c r="H97" s="33"/>
      <c r="I97" s="33"/>
      <c r="K97"/>
      <c r="L97"/>
      <c r="M97"/>
      <c r="N97"/>
    </row>
    <row r="98" spans="2:14">
      <c r="B98" s="495"/>
      <c r="C98" s="533" t="s">
        <v>42</v>
      </c>
      <c r="D98" s="533"/>
      <c r="E98" s="534"/>
      <c r="F98" s="78">
        <f>F99+F100+F101</f>
        <v>364340499</v>
      </c>
      <c r="G98" s="78">
        <f>'[1]Balance Sheet'!$P$9</f>
        <v>1518027032.0358069</v>
      </c>
      <c r="H98" s="78">
        <f>'[1]Balance Sheet'!$Q$9</f>
        <v>2477184886.0877123</v>
      </c>
      <c r="I98" s="78">
        <f>'[1]Balance Sheet'!$R$9</f>
        <v>3812948948.3090692</v>
      </c>
      <c r="K98"/>
      <c r="L98"/>
      <c r="M98"/>
      <c r="N98"/>
    </row>
    <row r="99" spans="2:14">
      <c r="B99" s="495"/>
      <c r="C99" s="535" t="s">
        <v>43</v>
      </c>
      <c r="D99" s="535"/>
      <c r="E99" s="536"/>
      <c r="F99" s="79">
        <f>D43</f>
        <v>364340499</v>
      </c>
      <c r="G99" s="79">
        <f>'[1]Balance Sheet'!$P$10</f>
        <v>1518027032.0358069</v>
      </c>
      <c r="H99" s="79">
        <f>'[1]Balance Sheet'!$Q$10</f>
        <v>2477184886.0877123</v>
      </c>
      <c r="I99" s="79">
        <f>'[1]Balance Sheet'!$R$10</f>
        <v>3812948948.3090692</v>
      </c>
      <c r="K99"/>
      <c r="L99"/>
      <c r="M99"/>
      <c r="N99"/>
    </row>
    <row r="100" spans="2:14">
      <c r="B100" s="495"/>
      <c r="C100" s="535" t="s">
        <v>44</v>
      </c>
      <c r="D100" s="535"/>
      <c r="E100" s="536"/>
      <c r="F100" s="79">
        <f>D45</f>
        <v>0</v>
      </c>
      <c r="G100" s="79">
        <f>'[1]Balance Sheet'!$P$11</f>
        <v>0</v>
      </c>
      <c r="H100" s="79">
        <f>'[1]Balance Sheet'!$Q$11</f>
        <v>0</v>
      </c>
      <c r="I100" s="79">
        <f>'[1]Balance Sheet'!$R$11</f>
        <v>0</v>
      </c>
      <c r="K100"/>
      <c r="L100"/>
      <c r="M100"/>
      <c r="N100"/>
    </row>
    <row r="101" spans="2:14">
      <c r="B101" s="495"/>
      <c r="C101" s="535" t="s">
        <v>45</v>
      </c>
      <c r="D101" s="535"/>
      <c r="E101" s="536"/>
      <c r="F101" s="79">
        <f>D47</f>
        <v>0</v>
      </c>
      <c r="G101" s="79">
        <f>'[1]Balance Sheet'!$P$12</f>
        <v>0</v>
      </c>
      <c r="H101" s="79">
        <f>'[1]Balance Sheet'!$Q$12</f>
        <v>0</v>
      </c>
      <c r="I101" s="79">
        <f>'[1]Balance Sheet'!$R$12</f>
        <v>0</v>
      </c>
      <c r="K101"/>
      <c r="L101"/>
      <c r="M101"/>
      <c r="N101"/>
    </row>
    <row r="102" spans="2:14" ht="14.85" customHeight="1">
      <c r="B102" s="495"/>
      <c r="C102" s="533" t="s">
        <v>46</v>
      </c>
      <c r="D102" s="533"/>
      <c r="E102" s="534"/>
      <c r="F102" s="78">
        <f>D49+D51</f>
        <v>2146429338</v>
      </c>
      <c r="G102" s="78">
        <f>'[1]Balance Sheet'!$P$13</f>
        <v>1990844791.8888891</v>
      </c>
      <c r="H102" s="78">
        <f>'[1]Balance Sheet'!$Q$13</f>
        <v>1013038023.5555565</v>
      </c>
      <c r="I102" s="78">
        <f>'[1]Balance Sheet'!$R$13</f>
        <v>35231255.222224236</v>
      </c>
      <c r="K102"/>
      <c r="L102"/>
      <c r="M102"/>
      <c r="N102"/>
    </row>
    <row r="103" spans="2:14" ht="15.75" thickBot="1">
      <c r="B103" s="495"/>
      <c r="C103" s="533" t="s">
        <v>47</v>
      </c>
      <c r="D103" s="533"/>
      <c r="E103" s="534"/>
      <c r="F103" s="35">
        <f t="shared" ref="F103:I103" si="0">F98+F102</f>
        <v>2510769837</v>
      </c>
      <c r="G103" s="35">
        <f t="shared" si="0"/>
        <v>3508871823.924696</v>
      </c>
      <c r="H103" s="35">
        <f t="shared" si="0"/>
        <v>3490222909.6432686</v>
      </c>
      <c r="I103" s="35">
        <f t="shared" si="0"/>
        <v>3848180203.5312934</v>
      </c>
      <c r="K103"/>
      <c r="L103"/>
      <c r="M103"/>
      <c r="N103"/>
    </row>
    <row r="104" spans="2:14" ht="15" customHeight="1" thickTop="1">
      <c r="B104" s="495"/>
      <c r="C104" s="507" t="s">
        <v>48</v>
      </c>
      <c r="D104" s="507"/>
      <c r="E104" s="507"/>
      <c r="F104" s="33"/>
      <c r="G104" s="33"/>
      <c r="H104" s="33"/>
      <c r="I104" s="33"/>
      <c r="K104"/>
      <c r="L104"/>
      <c r="M104"/>
      <c r="N104"/>
    </row>
    <row r="105" spans="2:14" ht="14.85" customHeight="1">
      <c r="B105" s="495"/>
      <c r="C105" s="533" t="s">
        <v>49</v>
      </c>
      <c r="D105" s="533"/>
      <c r="E105" s="534"/>
      <c r="F105" s="78">
        <f>F106</f>
        <v>38325273</v>
      </c>
      <c r="G105" s="78">
        <f>'[1]Balance Sheet'!$P$18</f>
        <v>741153117.68094218</v>
      </c>
      <c r="H105" s="78">
        <f>'[1]Balance Sheet'!$Q$18</f>
        <v>510377473.51506442</v>
      </c>
      <c r="I105" s="78">
        <f>'[1]Balance Sheet'!$R$18</f>
        <v>507462494.4624815</v>
      </c>
      <c r="K105"/>
      <c r="L105"/>
      <c r="M105"/>
      <c r="N105"/>
    </row>
    <row r="106" spans="2:14" ht="14.85" customHeight="1">
      <c r="B106" s="495"/>
      <c r="C106" s="537" t="s">
        <v>50</v>
      </c>
      <c r="D106" s="537"/>
      <c r="E106" s="538"/>
      <c r="F106" s="79">
        <f>D66+D61</f>
        <v>38325273</v>
      </c>
      <c r="G106" s="79">
        <f>'[1]Balance Sheet'!$P$19+'[1]Balance Sheet'!$P$21</f>
        <v>615709760.38050437</v>
      </c>
      <c r="H106" s="79">
        <f>'[1]Balance Sheet'!$Q$19+'[1]Balance Sheet'!$Q$21</f>
        <v>271951086.39322472</v>
      </c>
      <c r="I106" s="79">
        <f>'[1]Balance Sheet'!$R$19+'[1]Balance Sheet'!$R$21</f>
        <v>220912021.2194621</v>
      </c>
      <c r="K106"/>
      <c r="L106"/>
      <c r="M106"/>
      <c r="N106"/>
    </row>
    <row r="107" spans="2:14" ht="14.85" customHeight="1">
      <c r="B107" s="495"/>
      <c r="C107" s="533" t="s">
        <v>51</v>
      </c>
      <c r="D107" s="533"/>
      <c r="E107" s="534"/>
      <c r="F107" s="78">
        <f>D63</f>
        <v>719346049</v>
      </c>
      <c r="G107" s="78">
        <f>'[1]Balance Sheet'!$P$22</f>
        <v>759932162.78528917</v>
      </c>
      <c r="H107" s="78">
        <f>'[1]Balance Sheet'!$Q$22</f>
        <v>487981076.39206517</v>
      </c>
      <c r="I107" s="78">
        <f>'[1]Balance Sheet'!$R$22</f>
        <v>267069055.17260301</v>
      </c>
      <c r="K107"/>
      <c r="L107"/>
      <c r="M107"/>
      <c r="N107"/>
    </row>
    <row r="108" spans="2:14" ht="15" customHeight="1" thickBot="1">
      <c r="B108" s="495"/>
      <c r="C108" s="533" t="s">
        <v>52</v>
      </c>
      <c r="D108" s="533"/>
      <c r="E108" s="534"/>
      <c r="F108" s="36">
        <f t="shared" ref="F108:I108" si="1">F105+F107</f>
        <v>757671322</v>
      </c>
      <c r="G108" s="36">
        <f t="shared" si="1"/>
        <v>1501085280.4662313</v>
      </c>
      <c r="H108" s="36">
        <f t="shared" si="1"/>
        <v>998358549.90712953</v>
      </c>
      <c r="I108" s="36">
        <f t="shared" si="1"/>
        <v>774531549.63508451</v>
      </c>
      <c r="K108"/>
      <c r="L108"/>
      <c r="M108"/>
      <c r="N108"/>
    </row>
    <row r="109" spans="2:14" ht="14.85" customHeight="1">
      <c r="B109" s="495"/>
      <c r="C109" s="37" t="s">
        <v>53</v>
      </c>
      <c r="F109" s="33"/>
      <c r="G109" s="33"/>
      <c r="H109" s="33"/>
      <c r="I109" s="33"/>
      <c r="K109"/>
      <c r="L109"/>
      <c r="M109"/>
      <c r="N109"/>
    </row>
    <row r="110" spans="2:14">
      <c r="B110" s="495"/>
      <c r="C110" s="535" t="s">
        <v>54</v>
      </c>
      <c r="D110" s="535"/>
      <c r="E110" s="536"/>
      <c r="F110" s="79">
        <f>D55+D57</f>
        <v>2104000000</v>
      </c>
      <c r="G110" s="79">
        <f>'[1]Balance Sheet'!$P$26</f>
        <v>2104000000</v>
      </c>
      <c r="H110" s="79">
        <f>'[1]Balance Sheet'!$Q$26</f>
        <v>2104000000</v>
      </c>
      <c r="I110" s="79">
        <f>'[1]Balance Sheet'!$R$26</f>
        <v>2104000000</v>
      </c>
      <c r="K110"/>
      <c r="L110"/>
      <c r="M110"/>
      <c r="N110"/>
    </row>
    <row r="111" spans="2:14" ht="14.85" customHeight="1">
      <c r="B111" s="495"/>
      <c r="C111" s="535" t="s">
        <v>55</v>
      </c>
      <c r="D111" s="535"/>
      <c r="E111" s="536"/>
      <c r="F111" s="79">
        <f>D59</f>
        <v>-350901485</v>
      </c>
      <c r="G111" s="79">
        <f>'[1]Balance Sheet'!$P$25+'[1]Balance Sheet'!$P$29</f>
        <v>-96213456.541535378</v>
      </c>
      <c r="H111" s="79">
        <f>'[1]Balance Sheet'!$Q$25+'[1]Balance Sheet'!$Q$29</f>
        <v>387864359.73613906</v>
      </c>
      <c r="I111" s="79">
        <f>'[1]Balance Sheet'!$R$25+'[1]Balance Sheet'!$R$29</f>
        <v>969648653.89620876</v>
      </c>
      <c r="K111"/>
      <c r="L111"/>
      <c r="M111"/>
      <c r="N111"/>
    </row>
    <row r="112" spans="2:14" ht="14.85" customHeight="1">
      <c r="B112" s="495"/>
      <c r="C112" s="535" t="s">
        <v>56</v>
      </c>
      <c r="D112" s="535"/>
      <c r="E112" s="536"/>
      <c r="F112" s="79">
        <v>0</v>
      </c>
      <c r="G112" s="79"/>
      <c r="H112" s="79"/>
      <c r="I112" s="79"/>
      <c r="K112"/>
      <c r="L112"/>
      <c r="M112"/>
      <c r="N112"/>
    </row>
    <row r="113" spans="2:14" ht="15" customHeight="1" thickBot="1">
      <c r="B113" s="495"/>
      <c r="C113" s="533" t="s">
        <v>57</v>
      </c>
      <c r="D113" s="533"/>
      <c r="E113" s="534"/>
      <c r="F113" s="36">
        <f t="shared" ref="F113:I113" si="2">F110+F111+F112</f>
        <v>1753098515</v>
      </c>
      <c r="G113" s="36">
        <f t="shared" si="2"/>
        <v>2007786543.4584646</v>
      </c>
      <c r="H113" s="36">
        <f t="shared" si="2"/>
        <v>2491864359.7361393</v>
      </c>
      <c r="I113" s="36">
        <f t="shared" si="2"/>
        <v>3073648653.8962088</v>
      </c>
      <c r="K113"/>
      <c r="L113"/>
      <c r="M113"/>
      <c r="N113"/>
    </row>
    <row r="114" spans="2:14" ht="15" customHeight="1" thickBot="1">
      <c r="B114" s="495"/>
      <c r="C114" s="548" t="s">
        <v>58</v>
      </c>
      <c r="D114" s="548"/>
      <c r="E114" s="549"/>
      <c r="F114" s="35">
        <f t="shared" ref="F114:I114" si="3">F113+F108</f>
        <v>2510769837</v>
      </c>
      <c r="G114" s="35">
        <f t="shared" si="3"/>
        <v>3508871823.924696</v>
      </c>
      <c r="H114" s="35">
        <f t="shared" si="3"/>
        <v>3490222909.6432686</v>
      </c>
      <c r="I114" s="35">
        <f t="shared" si="3"/>
        <v>3848180203.5312934</v>
      </c>
      <c r="K114"/>
      <c r="L114"/>
      <c r="M114"/>
      <c r="N114"/>
    </row>
    <row r="115" spans="2:14" s="27" customFormat="1" ht="15.75" thickTop="1">
      <c r="C115" s="38"/>
      <c r="F115" s="38"/>
      <c r="G115" s="38"/>
      <c r="H115" s="38"/>
      <c r="I115" s="38"/>
      <c r="K115"/>
      <c r="L115"/>
      <c r="M115"/>
      <c r="N115"/>
    </row>
    <row r="116" spans="2:14">
      <c r="B116" s="495" t="s">
        <v>59</v>
      </c>
      <c r="C116" s="507" t="s">
        <v>60</v>
      </c>
      <c r="D116" s="507"/>
      <c r="E116" s="550"/>
      <c r="F116"/>
      <c r="G116" s="78">
        <f>'[1]Income Statement'!$O$8</f>
        <v>20092860000</v>
      </c>
      <c r="H116" s="78">
        <f>'[1]Income Statement'!$P$8</f>
        <v>29420790000</v>
      </c>
      <c r="I116" s="78">
        <f>'[1]Income Statement'!$Q$8</f>
        <v>40973040000</v>
      </c>
      <c r="K116"/>
      <c r="L116"/>
      <c r="M116"/>
      <c r="N116"/>
    </row>
    <row r="117" spans="2:14">
      <c r="B117" s="495"/>
      <c r="C117" s="535" t="s">
        <v>61</v>
      </c>
      <c r="D117" s="535"/>
      <c r="E117" s="535"/>
      <c r="F117"/>
      <c r="G117" s="78">
        <f>'[1]Income Statement'!$O$20</f>
        <v>0</v>
      </c>
      <c r="H117" s="78">
        <f>'[1]Income Statement'!$P$20</f>
        <v>0</v>
      </c>
      <c r="I117" s="78">
        <f>'[1]Income Statement'!$Q$20</f>
        <v>0</v>
      </c>
      <c r="K117"/>
      <c r="L117"/>
      <c r="M117"/>
      <c r="N117"/>
    </row>
    <row r="118" spans="2:14">
      <c r="B118" s="495"/>
      <c r="C118" s="546" t="s">
        <v>62</v>
      </c>
      <c r="D118" s="546"/>
      <c r="E118" s="546"/>
      <c r="F118"/>
      <c r="G118" s="78">
        <f>'[1]Income Statement'!$O$9</f>
        <v>-18229025800</v>
      </c>
      <c r="H118" s="78">
        <f>'[1]Income Statement'!$P$9</f>
        <v>-27238395900</v>
      </c>
      <c r="I118" s="78">
        <f>'[1]Income Statement'!$Q$9</f>
        <v>-38645714000</v>
      </c>
      <c r="K118"/>
      <c r="L118"/>
      <c r="M118"/>
      <c r="N118"/>
    </row>
    <row r="119" spans="2:14" ht="15.75" thickBot="1">
      <c r="B119" s="495"/>
      <c r="C119" s="533" t="s">
        <v>63</v>
      </c>
      <c r="D119" s="533"/>
      <c r="E119" s="533"/>
      <c r="F119"/>
      <c r="G119" s="36">
        <f t="shared" ref="G119:I119" si="4">G116+G117-ABS(G118)</f>
        <v>1863834200</v>
      </c>
      <c r="H119" s="36">
        <f t="shared" si="4"/>
        <v>2182394100</v>
      </c>
      <c r="I119" s="36">
        <f t="shared" si="4"/>
        <v>2327326000</v>
      </c>
      <c r="K119"/>
      <c r="L119"/>
      <c r="M119"/>
      <c r="N119"/>
    </row>
    <row r="120" spans="2:14" ht="14.85" customHeight="1">
      <c r="B120" s="495"/>
      <c r="C120" s="546" t="s">
        <v>64</v>
      </c>
      <c r="D120" s="546"/>
      <c r="E120" s="546"/>
      <c r="F120"/>
      <c r="G120" s="79">
        <f>'[1]Income Statement'!$O$15+'[1]Income Statement'!$O$19</f>
        <v>-1268542887.1111114</v>
      </c>
      <c r="H120" s="79">
        <f>'[1]Income Statement'!$P$15+'[1]Income Statement'!$P$19</f>
        <v>-1317413791.0833335</v>
      </c>
      <c r="I120" s="79">
        <f>'[1]Income Statement'!$Q$15+'[1]Income Statement'!$Q$19</f>
        <v>-1393329799.8333335</v>
      </c>
      <c r="K120"/>
      <c r="L120"/>
      <c r="M120"/>
      <c r="N120"/>
    </row>
    <row r="121" spans="2:14">
      <c r="B121" s="495"/>
      <c r="C121" s="551" t="s">
        <v>65</v>
      </c>
      <c r="D121" s="551"/>
      <c r="E121" s="551"/>
      <c r="F121"/>
      <c r="G121" s="79">
        <f>'[1]Income Statement'!$O$19</f>
        <v>-955584546.1111114</v>
      </c>
      <c r="H121" s="79">
        <f>'[1]Income Statement'!$O$19</f>
        <v>-955584546.1111114</v>
      </c>
      <c r="I121" s="79">
        <f>'[1]Income Statement'!$O$19</f>
        <v>-955584546.1111114</v>
      </c>
      <c r="K121"/>
      <c r="L121"/>
      <c r="M121"/>
      <c r="N121"/>
    </row>
    <row r="122" spans="2:14" ht="15" customHeight="1" thickBot="1">
      <c r="B122" s="495"/>
      <c r="C122" s="533" t="s">
        <v>66</v>
      </c>
      <c r="D122" s="533"/>
      <c r="E122" s="533"/>
      <c r="F122"/>
      <c r="G122" s="36">
        <f t="shared" ref="G122:I122" si="5">G119-ABS(G120)</f>
        <v>595291312.8888886</v>
      </c>
      <c r="H122" s="36">
        <f t="shared" si="5"/>
        <v>864980308.91666651</v>
      </c>
      <c r="I122" s="36">
        <f t="shared" si="5"/>
        <v>933996200.16666651</v>
      </c>
    </row>
    <row r="123" spans="2:14">
      <c r="B123" s="495"/>
      <c r="C123" s="546" t="s">
        <v>67</v>
      </c>
      <c r="D123" s="546"/>
      <c r="E123" s="546"/>
      <c r="F123"/>
      <c r="G123" s="79">
        <f>'[1]Income Statement'!$O$17</f>
        <v>-215159927.1299862</v>
      </c>
      <c r="H123" s="79">
        <f>'[1]Income Statement'!$P$17</f>
        <v>-142476105.51715219</v>
      </c>
      <c r="I123" s="79">
        <f>'[1]Income Statement'!$Q$17</f>
        <v>-65661432.763577521</v>
      </c>
    </row>
    <row r="124" spans="2:14" ht="15" customHeight="1" thickBot="1">
      <c r="B124" s="495"/>
      <c r="C124" s="533" t="s">
        <v>68</v>
      </c>
      <c r="D124" s="533"/>
      <c r="E124" s="533"/>
      <c r="F124"/>
      <c r="G124" s="36">
        <f t="shared" ref="G124:I124" si="6">G122-ABS(G123)</f>
        <v>380131385.75890243</v>
      </c>
      <c r="H124" s="36">
        <f t="shared" si="6"/>
        <v>722504203.39951432</v>
      </c>
      <c r="I124" s="36">
        <f t="shared" si="6"/>
        <v>868334767.40308905</v>
      </c>
    </row>
    <row r="125" spans="2:14">
      <c r="B125" s="495"/>
      <c r="C125" s="546" t="s">
        <v>69</v>
      </c>
      <c r="D125" s="546"/>
      <c r="E125" s="546"/>
      <c r="F125"/>
      <c r="G125" s="79">
        <f>G126-G124</f>
        <v>-125443357.30043781</v>
      </c>
      <c r="H125" s="79">
        <f>H126-H124</f>
        <v>-238426387.12183988</v>
      </c>
      <c r="I125" s="79">
        <f>I126-I124</f>
        <v>-286550473.24301934</v>
      </c>
    </row>
    <row r="126" spans="2:14" ht="15.75" thickBot="1">
      <c r="B126" s="495"/>
      <c r="C126" s="533" t="s">
        <v>70</v>
      </c>
      <c r="D126" s="533"/>
      <c r="E126" s="533"/>
      <c r="F126"/>
      <c r="G126" s="36">
        <f>'[1]Income Statement'!$O$21</f>
        <v>254688028.45846462</v>
      </c>
      <c r="H126" s="36">
        <f>'[1]Income Statement'!$P$21</f>
        <v>484077816.27767444</v>
      </c>
      <c r="I126" s="36">
        <f>'[1]Income Statement'!$Q$21</f>
        <v>581784294.1600697</v>
      </c>
    </row>
    <row r="127" spans="2:14">
      <c r="B127" s="495"/>
      <c r="C127" s="546" t="s">
        <v>71</v>
      </c>
      <c r="D127" s="546"/>
      <c r="E127" s="546"/>
      <c r="F127"/>
      <c r="G127" s="79">
        <f>'[1]Balance Sheet'!$P$28</f>
        <v>0</v>
      </c>
      <c r="H127" s="79">
        <f>'[1]Balance Sheet'!$Q$28</f>
        <v>0</v>
      </c>
      <c r="I127" s="79">
        <f>'[1]Balance Sheet'!$R$28</f>
        <v>0</v>
      </c>
    </row>
    <row r="128" spans="2:14" ht="14.85" customHeight="1">
      <c r="B128" s="495"/>
      <c r="C128" s="546" t="s">
        <v>72</v>
      </c>
      <c r="D128" s="546"/>
      <c r="E128" s="546"/>
      <c r="F128"/>
      <c r="G128" s="80">
        <f>G126-G127</f>
        <v>254688028.45846462</v>
      </c>
      <c r="H128" s="80">
        <f>H126-H127</f>
        <v>484077816.27767444</v>
      </c>
      <c r="I128" s="80">
        <f>I126-I127</f>
        <v>581784294.1600697</v>
      </c>
    </row>
    <row r="129" spans="2:14">
      <c r="C129" s="43"/>
      <c r="F129"/>
      <c r="G129" s="43"/>
      <c r="H129" s="43"/>
      <c r="I129" s="43"/>
    </row>
    <row r="130" spans="2:14" ht="14.85" customHeight="1">
      <c r="B130" s="495" t="s">
        <v>73</v>
      </c>
      <c r="C130" s="535" t="s">
        <v>74</v>
      </c>
      <c r="D130" s="535"/>
      <c r="E130" s="535"/>
      <c r="F130"/>
      <c r="G130" s="40">
        <f>G122+ABS(G121)-ABS(G125)</f>
        <v>1425432501.6995621</v>
      </c>
      <c r="H130" s="40">
        <f>H122+ABS(H121)-ABS(H125)</f>
        <v>1582138467.9059381</v>
      </c>
      <c r="I130" s="40">
        <f>I122+ABS(I121)-ABS(I125)</f>
        <v>1603030273.0347586</v>
      </c>
    </row>
    <row r="131" spans="2:14" ht="14.85" customHeight="1">
      <c r="B131" s="495"/>
      <c r="C131" s="535" t="s">
        <v>75</v>
      </c>
      <c r="D131" s="535"/>
      <c r="E131" s="535"/>
      <c r="F131"/>
      <c r="G131" s="40">
        <f>G102-F102+ABS(G121)</f>
        <v>800000000.00000048</v>
      </c>
      <c r="H131" s="40">
        <f>H102-G102+ABS(H121)</f>
        <v>-22222222.222221136</v>
      </c>
      <c r="I131" s="40">
        <f>I102-H102+ABS(I121)</f>
        <v>-22222222.222220898</v>
      </c>
    </row>
    <row r="132" spans="2:14" ht="14.85" customHeight="1">
      <c r="B132" s="495"/>
      <c r="C132" s="535" t="s">
        <v>76</v>
      </c>
      <c r="D132" s="535"/>
      <c r="E132" s="535"/>
      <c r="F132"/>
      <c r="G132" s="40">
        <f>(G98-G105)-(F98-F105)</f>
        <v>450858688.35486472</v>
      </c>
      <c r="H132" s="40">
        <f>(H98-H105)-(G98-G105)</f>
        <v>1189933498.217783</v>
      </c>
      <c r="I132" s="40">
        <f>(I98-I105)-(H98-H105)</f>
        <v>1338679041.2739398</v>
      </c>
    </row>
    <row r="133" spans="2:14" ht="14.85" customHeight="1">
      <c r="B133" s="495"/>
      <c r="C133" s="535" t="s">
        <v>77</v>
      </c>
      <c r="D133" s="535"/>
      <c r="E133" s="535"/>
      <c r="F133"/>
      <c r="G133" s="40">
        <f>-(G107-F107-ABS(G123))</f>
        <v>174573813.34469703</v>
      </c>
      <c r="H133" s="40">
        <f>-(H107-G107-ABS(H123))</f>
        <v>414427191.91037619</v>
      </c>
      <c r="I133" s="40">
        <f>-(I107-H107-ABS(I123))</f>
        <v>286573453.98303968</v>
      </c>
    </row>
    <row r="134" spans="2:14" ht="14.85" customHeight="1">
      <c r="B134" s="495"/>
      <c r="C134" s="535" t="s">
        <v>78</v>
      </c>
      <c r="D134" s="535"/>
      <c r="E134" s="535"/>
      <c r="F134"/>
      <c r="G134" s="40">
        <f>ABS(G127)-(G110-F110)-(G112-F112)</f>
        <v>0</v>
      </c>
      <c r="H134" s="40">
        <f>ABS(H127)-(H110-G110)-(H112-G112)</f>
        <v>0</v>
      </c>
      <c r="I134" s="40">
        <f>ABS(I127)-(I110-H110)-(I112-H112)</f>
        <v>0</v>
      </c>
    </row>
    <row r="135" spans="2:14" ht="15.75" thickBot="1">
      <c r="F135"/>
      <c r="H135" s="43"/>
      <c r="I135" s="43"/>
    </row>
    <row r="136" spans="2:14" ht="15" customHeight="1" thickBot="1">
      <c r="D136" s="457" t="s">
        <v>79</v>
      </c>
      <c r="E136" s="457"/>
      <c r="F136"/>
      <c r="G136" s="29" t="str">
        <f>IF(AND(ABS(G114-G103)&lt;=1000,ABS(SUM(G131:G134)-G130)&lt;=1000),"PASS", "FAIL")</f>
        <v>PASS</v>
      </c>
      <c r="H136" s="29" t="str">
        <f>IF(AND(ABS(H114-H103)&lt;=1000,ABS(SUM(H131:H134)-H130)&lt;=1000),"PASS", "FAIL")</f>
        <v>PASS</v>
      </c>
      <c r="I136" s="29" t="str">
        <f>IF(AND(ABS(I114-I103)&lt;=1000,ABS(SUM(I131:I134)-I130)&lt;=1000),"PASS", "FAIL")</f>
        <v>PASS</v>
      </c>
      <c r="J136"/>
    </row>
    <row r="137" spans="2:14" ht="15.75" thickBot="1">
      <c r="C137" s="41"/>
      <c r="H137" s="42"/>
      <c r="I137" s="42"/>
      <c r="K137"/>
      <c r="L137"/>
      <c r="M137"/>
      <c r="N137"/>
    </row>
    <row r="138" spans="2:14" ht="60.6" customHeight="1" thickBot="1">
      <c r="C138" s="41"/>
      <c r="G138" s="484" t="s">
        <v>80</v>
      </c>
      <c r="H138" s="485"/>
      <c r="I138" s="486"/>
      <c r="J138"/>
      <c r="N138"/>
    </row>
    <row r="139" spans="2:14">
      <c r="G139" s="43"/>
      <c r="H139" s="43"/>
      <c r="I139" s="43"/>
    </row>
    <row r="140" spans="2:14" ht="15.75" thickBot="1">
      <c r="B140" s="321" t="s">
        <v>81</v>
      </c>
      <c r="C140" s="321" t="s">
        <v>82</v>
      </c>
      <c r="D140" s="321"/>
      <c r="E140" s="321" t="s">
        <v>191</v>
      </c>
      <c r="F140" s="321" t="s">
        <v>192</v>
      </c>
      <c r="G140" s="321" t="s">
        <v>193</v>
      </c>
      <c r="H140" s="321" t="s">
        <v>398</v>
      </c>
      <c r="I140" s="7" t="s">
        <v>15</v>
      </c>
      <c r="J140" s="7" t="s">
        <v>16</v>
      </c>
      <c r="K140" s="7" t="s">
        <v>17</v>
      </c>
    </row>
    <row r="141" spans="2:14" ht="14.45" customHeight="1" thickBot="1">
      <c r="B141" s="543" t="s">
        <v>85</v>
      </c>
      <c r="C141" s="528" t="s">
        <v>86</v>
      </c>
      <c r="D141" s="529"/>
      <c r="E141" s="100">
        <f>IF(G130=0,"",IF(G130&gt;0,IFERROR(G130/ABS(G123),"∞"),"NEG"))</f>
        <v>6.6249906323792569</v>
      </c>
      <c r="F141" s="66">
        <f>IF(H130=0,"",IF(H130&gt;0,IFERROR(H130/ABS(H123),"∞"),"NEG"))</f>
        <v>11.104588114359078</v>
      </c>
      <c r="G141" s="66">
        <f>IF(I130=0,"",IF(I130&gt;0,IFERROR(I130/ABS(I123),"∞"),"NEG"))</f>
        <v>24.413574385540389</v>
      </c>
      <c r="H141" s="66" t="str">
        <f>CONCATENATE("&gt;",'Fin Statement Scoring Matrix'!D8)</f>
        <v>&gt;10</v>
      </c>
      <c r="I141" s="346">
        <f>IF(OR(G141="", G141="NEG"), 0, IF(G141="∞",'Fin Statement Scoring Matrix'!G8,IF(G141&gt;='Fin Statement Scoring Matrix'!D8,'Fin Statement Scoring Matrix'!G8,IF(AND(G141&lt;='Fin Statement Scoring Matrix'!E9,G141&gt;='Fin Statement Scoring Matrix'!D9),'Fin Statement Scoring Matrix'!G9,IF(AND(G141&lt;='Fin Statement Scoring Matrix'!E10,G141&gt;='Fin Statement Scoring Matrix'!D10),'Fin Statement Scoring Matrix'!G10,IF(AND(G141&lt;='Fin Statement Scoring Matrix'!E11,G141&gt;='Fin Statement Scoring Matrix'!D11),'Fin Statement Scoring Matrix'!G11,IF(G141&lt;='Fin Statement Scoring Matrix'!E12,'Fin Statement Scoring Matrix'!G12,0)))))))</f>
        <v>5</v>
      </c>
      <c r="J141" s="66">
        <f>VLOOKUP(C141, Financial_Ratio_Weightings[], 2,FALSE)</f>
        <v>0.6</v>
      </c>
      <c r="K141" s="67">
        <f>I141*J141</f>
        <v>3</v>
      </c>
    </row>
    <row r="142" spans="2:14" ht="14.85" customHeight="1" thickBot="1">
      <c r="B142" s="544"/>
      <c r="C142" s="528" t="s">
        <v>87</v>
      </c>
      <c r="D142" s="529"/>
      <c r="E142" s="101">
        <f>IF(OR(G130=0, G116=0),"",IF(G130&gt;0,G130/G116,"NEG"))</f>
        <v>7.0942240263434972E-2</v>
      </c>
      <c r="F142" s="101">
        <f>IF(OR(H130=0, H116=0),"",IF(H130&gt;0,H130/H116,"NEG"))</f>
        <v>5.3776206142185104E-2</v>
      </c>
      <c r="G142" s="101">
        <f>IF(OR(I130=0, I116=0),"",IF(I130&gt;0,I130/I116,"NEG"))</f>
        <v>3.9124025774869488E-2</v>
      </c>
      <c r="H142" s="350" t="str">
        <f>CONCATENATE(TEXT('Fin Statement Scoring Matrix'!D15, "0%"), " - ", TEXT('Fin Statement Scoring Matrix'!E15, "0%"))</f>
        <v>8% - 12%</v>
      </c>
      <c r="I142" s="347">
        <f>IF(OR(G142="", G142="NEG"), 0, IF(G142="∞",'Fin Statement Scoring Matrix'!G13,IF(G142&gt;='Fin Statement Scoring Matrix'!D13,'Fin Statement Scoring Matrix'!G13,IF(AND(G142&lt;='Fin Statement Scoring Matrix'!E14,G142&gt;='Fin Statement Scoring Matrix'!D14),'Fin Statement Scoring Matrix'!G14,IF(AND(G142&lt;='Fin Statement Scoring Matrix'!E15,G142&gt;='Fin Statement Scoring Matrix'!D15),'Fin Statement Scoring Matrix'!G15,IF(AND(G142&lt;='Fin Statement Scoring Matrix'!E16,G142&gt;='Fin Statement Scoring Matrix'!D16),'Fin Statement Scoring Matrix'!G16,IF(G142&lt;='Fin Statement Scoring Matrix'!E17,'Fin Statement Scoring Matrix'!G17,0)))))))</f>
        <v>1</v>
      </c>
      <c r="J142" s="64">
        <f>VLOOKUP(C142, Financial_Ratio_Weightings[], 2,FALSE)</f>
        <v>0.4</v>
      </c>
      <c r="K142" s="68">
        <f t="shared" ref="K142:K152" si="7">I142*J142</f>
        <v>0.4</v>
      </c>
    </row>
    <row r="143" spans="2:14" ht="15" customHeight="1" thickBot="1">
      <c r="B143" s="545"/>
      <c r="C143" s="528" t="s">
        <v>88</v>
      </c>
      <c r="D143" s="529"/>
      <c r="E143" s="102">
        <f>IF(G130=0,"",IF(G130&gt;0,G107/G130*365,"NEG"))</f>
        <v>194.59023074464235</v>
      </c>
      <c r="F143" s="81">
        <f>IF(H130=0,"",IF(H130&gt;0,H107/H130*365,"NEG"))</f>
        <v>112.57743648623112</v>
      </c>
      <c r="G143" s="81">
        <f>IF(I130=0,"",IF(I130&gt;0,I107/I130*365,"NEG"))</f>
        <v>60.80995897442196</v>
      </c>
      <c r="H143" s="81" t="str">
        <f>CONCATENATE("&lt;", 'Fin Statement Scoring Matrix'!E22)</f>
        <v>&lt;250</v>
      </c>
      <c r="I143" s="348">
        <f>IF(OR(G143="", G143="NEG"), 0, IF(G143="∞",'Fin Statement Scoring Matrix'!G18,IF(G143&gt;='Fin Statement Scoring Matrix'!D18,'Fin Statement Scoring Matrix'!G18,IF(AND(G143&lt;='Fin Statement Scoring Matrix'!E19,G143&gt;='Fin Statement Scoring Matrix'!D19),'Fin Statement Scoring Matrix'!G19,IF(AND(G143&lt;='Fin Statement Scoring Matrix'!E20,G143&gt;='Fin Statement Scoring Matrix'!D20),'Fin Statement Scoring Matrix'!G20,IF(AND(G143&lt;='Fin Statement Scoring Matrix'!E21,G143&gt;='Fin Statement Scoring Matrix'!D21),'Fin Statement Scoring Matrix'!G21,IF(G143&lt;='Fin Statement Scoring Matrix'!E22,'Fin Statement Scoring Matrix'!G22,0)))))))</f>
        <v>5</v>
      </c>
      <c r="J143" s="69">
        <f>VLOOKUP(C143, Financial_Ratio_Weightings[], 2,FALSE)</f>
        <v>0.4</v>
      </c>
      <c r="K143" s="70">
        <f t="shared" si="7"/>
        <v>2</v>
      </c>
    </row>
    <row r="144" spans="2:14" ht="14.85" customHeight="1" thickBot="1">
      <c r="B144" s="539" t="s">
        <v>89</v>
      </c>
      <c r="C144" s="528" t="s">
        <v>90</v>
      </c>
      <c r="D144" s="529"/>
      <c r="E144" s="103">
        <f>IF(G116&lt;=0,"",G119/G116)</f>
        <v>9.2761020581440368E-2</v>
      </c>
      <c r="F144" s="82">
        <f>IF(H116&lt;=0,"",H119/H116)</f>
        <v>7.4178636943467532E-2</v>
      </c>
      <c r="G144" s="82">
        <f>IF(I116&lt;=0,"",I119/I116)</f>
        <v>5.6801399163938046E-2</v>
      </c>
      <c r="H144" s="82" t="str">
        <f>CONCATENATE(TEXT('Fin Statement Scoring Matrix'!D25, "0%"), " - ", TEXT('Fin Statement Scoring Matrix'!E25, "0%"))</f>
        <v>5% - 8%</v>
      </c>
      <c r="I144" s="346">
        <f>IF(G144="", 0, IF(G144="∞",'Fin Statement Scoring Matrix'!G23,IF(G144&gt;='Fin Statement Scoring Matrix'!D23,'Fin Statement Scoring Matrix'!G23,IF(AND(G144&lt;='Fin Statement Scoring Matrix'!E24,G144&gt;='Fin Statement Scoring Matrix'!D24),'Fin Statement Scoring Matrix'!G24,IF(AND(G144&lt;='Fin Statement Scoring Matrix'!E25,G144&gt;='Fin Statement Scoring Matrix'!D25),'Fin Statement Scoring Matrix'!G25,IF(AND(G144&lt;='Fin Statement Scoring Matrix'!E26,G144&gt;='Fin Statement Scoring Matrix'!D26),'Fin Statement Scoring Matrix'!G26,IF(G144&lt;='Fin Statement Scoring Matrix'!E27,'Fin Statement Scoring Matrix'!G27,0)))))))</f>
        <v>5</v>
      </c>
      <c r="J144" s="71">
        <f>VLOOKUP(C144, Financial_Ratio_Weightings[], 2,FALSE)</f>
        <v>0.2</v>
      </c>
      <c r="K144" s="72">
        <f t="shared" si="7"/>
        <v>1</v>
      </c>
    </row>
    <row r="145" spans="2:11" ht="14.45" customHeight="1" thickBot="1">
      <c r="B145" s="540"/>
      <c r="C145" s="528" t="s">
        <v>91</v>
      </c>
      <c r="D145" s="529"/>
      <c r="E145" s="104">
        <f>IF(G103&lt;=0,"",G124/G103)</f>
        <v>0.10833436068169712</v>
      </c>
      <c r="F145" s="83">
        <f>IF(H103&lt;=0,"",H124/H103)</f>
        <v>0.20700803991724431</v>
      </c>
      <c r="G145" s="83">
        <f>IF(I103&lt;=0,"",I124/I103)</f>
        <v>0.2256481561352712</v>
      </c>
      <c r="H145" s="83" t="str">
        <f>CONCATENATE(TEXT('Fin Statement Scoring Matrix'!D30, "0%"), " - ", TEXT('Fin Statement Scoring Matrix'!E30, "0%"))</f>
        <v>2% - 3%</v>
      </c>
      <c r="I145" s="347">
        <f>IF(G145="",0,(IF(G145="∞",'Fin Statement Scoring Matrix'!G28,IF(G145&gt;='Fin Statement Scoring Matrix'!D28,'Fin Statement Scoring Matrix'!G28,IF(AND(G145&lt;='Fin Statement Scoring Matrix'!E29,G145&gt;='Fin Statement Scoring Matrix'!D29),'Fin Statement Scoring Matrix'!G29,IF(AND(G145&lt;='Fin Statement Scoring Matrix'!E30,G145&gt;='Fin Statement Scoring Matrix'!D30),'Fin Statement Scoring Matrix'!G30,IF(AND(G145&lt;='Fin Statement Scoring Matrix'!E31,G145&gt;='Fin Statement Scoring Matrix'!D31),'Fin Statement Scoring Matrix'!G31,IF(G145&lt;='Fin Statement Scoring Matrix'!E32,'Fin Statement Scoring Matrix'!G32,0))))))))</f>
        <v>2</v>
      </c>
      <c r="J145" s="65">
        <f>VLOOKUP(C145, Financial_Ratio_Weightings[], 2,FALSE)</f>
        <v>0.1</v>
      </c>
      <c r="K145" s="73">
        <f t="shared" si="7"/>
        <v>0.2</v>
      </c>
    </row>
    <row r="146" spans="2:11" ht="15" customHeight="1" thickBot="1">
      <c r="B146" s="541"/>
      <c r="C146" s="528" t="s">
        <v>92</v>
      </c>
      <c r="D146" s="529"/>
      <c r="E146" s="105">
        <f>IF(G116&lt;=0,"",(G116-F116)/G116)</f>
        <v>1</v>
      </c>
      <c r="F146" s="84">
        <f>IF(H116&lt;=0,"",(H116-G116)/H116)</f>
        <v>0.31705232932222416</v>
      </c>
      <c r="G146" s="84">
        <f>IF(I116&lt;=0,"",(I116-H116)/I116)</f>
        <v>0.28194759285618054</v>
      </c>
      <c r="H146" s="84" t="str">
        <f>CONCATENATE(TEXT('Fin Statement Scoring Matrix'!D35, "0%"), " - ", TEXT('Fin Statement Scoring Matrix'!E35, "0%"))</f>
        <v>10% - 20%</v>
      </c>
      <c r="I146" s="348">
        <f>IF(G146="", 0, IF(G146="∞",'Fin Statement Scoring Matrix'!G33,IF(G146&gt;='Fin Statement Scoring Matrix'!D33,'Fin Statement Scoring Matrix'!G33,IF(AND(G146&lt;='Fin Statement Scoring Matrix'!E34,G146&gt;='Fin Statement Scoring Matrix'!D34),'Fin Statement Scoring Matrix'!G34,IF(AND(G146&lt;='Fin Statement Scoring Matrix'!E35,G146&gt;='Fin Statement Scoring Matrix'!D35),'Fin Statement Scoring Matrix'!G35,IF(AND(G146&lt;='Fin Statement Scoring Matrix'!E36,G146&gt;='Fin Statement Scoring Matrix'!D36),'Fin Statement Scoring Matrix'!G36,IF(G146&lt;='Fin Statement Scoring Matrix'!E37,'Fin Statement Scoring Matrix'!G37,0)))))))</f>
        <v>2</v>
      </c>
      <c r="J146" s="74">
        <f>VLOOKUP(C146, Financial_Ratio_Weightings[], 2,FALSE)</f>
        <v>0.2</v>
      </c>
      <c r="K146" s="75">
        <f t="shared" si="7"/>
        <v>0.4</v>
      </c>
    </row>
    <row r="147" spans="2:11" ht="14.85" customHeight="1" thickBot="1">
      <c r="B147" s="543" t="s">
        <v>93</v>
      </c>
      <c r="C147" s="528" t="s">
        <v>94</v>
      </c>
      <c r="D147" s="529"/>
      <c r="E147" s="100">
        <f>IF(G113&lt;=0,"",(G106+G107)/G113)</f>
        <v>0.68515347293652762</v>
      </c>
      <c r="F147" s="66">
        <f>IF(H113&lt;=0,"",(H106+H107)/H113)</f>
        <v>0.30496530030461139</v>
      </c>
      <c r="G147" s="66">
        <f>IF(I113&lt;=0,"",(I106+I107)/I113)</f>
        <v>0.1587628032154853</v>
      </c>
      <c r="H147" s="66" t="str">
        <f>CONCATENATE("&lt;", 'Fin Statement Scoring Matrix'!E42)</f>
        <v>&lt;1</v>
      </c>
      <c r="I147" s="346">
        <f>IF(G147="", 0, IF(G147="∞",'Fin Statement Scoring Matrix'!G38,IF(G147&gt;='Fin Statement Scoring Matrix'!D38,'Fin Statement Scoring Matrix'!G38,IF(AND(G147&lt;='Fin Statement Scoring Matrix'!E39,G147&gt;='Fin Statement Scoring Matrix'!D39),'Fin Statement Scoring Matrix'!G39,IF(AND(G147&lt;='Fin Statement Scoring Matrix'!E40,G147&gt;='Fin Statement Scoring Matrix'!D40),'Fin Statement Scoring Matrix'!G40,IF(AND(G147&lt;='Fin Statement Scoring Matrix'!E41,G147&gt;='Fin Statement Scoring Matrix'!D41),'Fin Statement Scoring Matrix'!G41,IF(G147&lt;='Fin Statement Scoring Matrix'!E42,'Fin Statement Scoring Matrix'!G42,0)))))))</f>
        <v>5</v>
      </c>
      <c r="J147" s="71">
        <f>VLOOKUP(C147, Financial_Ratio_Weightings[], 2,FALSE)</f>
        <v>0.6</v>
      </c>
      <c r="K147" s="72">
        <f t="shared" si="7"/>
        <v>3</v>
      </c>
    </row>
    <row r="148" spans="2:11" ht="14.85" customHeight="1" thickBot="1">
      <c r="B148" s="544"/>
      <c r="C148" s="528" t="s">
        <v>95</v>
      </c>
      <c r="D148" s="529"/>
      <c r="E148" s="106">
        <f>IF(G103&lt;=0,"",(G106+G107)/G103)</f>
        <v>0.39204678660137804</v>
      </c>
      <c r="F148" s="64">
        <f>IF(H103&lt;=0,"",(H106+H107)/H103)</f>
        <v>0.21773169865043424</v>
      </c>
      <c r="G148" s="64">
        <f>IF(I103&lt;=0,"",(I106+I107)/I103)</f>
        <v>0.12680827055455146</v>
      </c>
      <c r="H148" s="64" t="str">
        <f>CONCATENATE("&lt;", 'Fin Statement Scoring Matrix'!E47)</f>
        <v>&lt;0.2</v>
      </c>
      <c r="I148" s="347">
        <f>IF(G148="", 0,
IF(G148="∞",'Fin Statement Scoring Matrix'!G43,
IF(G148&gt;='Fin Statement Scoring Matrix'!D43,'Fin Statement Scoring Matrix'!G43,
IF(AND(G148&lt;='Fin Statement Scoring Matrix'!E44,G148&gt;='Fin Statement Scoring Matrix'!D44),'Fin Statement Scoring Matrix'!G44,
IF(AND(G148&lt;='Fin Statement Scoring Matrix'!E45,G148&gt;='Fin Statement Scoring Matrix'!D45),'Fin Statement Scoring Matrix'!G45,
IF(AND(G148&lt;='Fin Statement Scoring Matrix'!E46,G148&gt;='Fin Statement Scoring Matrix'!D46),'Fin Statement Scoring Matrix'!G46,
IF(G148&lt;='Fin Statement Scoring Matrix'!E47,'Fin Statement Scoring Matrix'!G47,0)))))))</f>
        <v>5</v>
      </c>
      <c r="J148" s="65">
        <f>VLOOKUP(C148, Financial_Ratio_Weightings[], 2,FALSE)</f>
        <v>0.5</v>
      </c>
      <c r="K148" s="73">
        <f t="shared" si="7"/>
        <v>2.5</v>
      </c>
    </row>
    <row r="149" spans="2:11" ht="16.350000000000001" customHeight="1" thickBot="1">
      <c r="B149" s="545"/>
      <c r="C149" s="528" t="s">
        <v>96</v>
      </c>
      <c r="D149" s="529"/>
      <c r="E149" s="107">
        <f>IF(G113&lt;=0,"",G126/G113)</f>
        <v>0.12685015211814193</v>
      </c>
      <c r="F149" s="85">
        <f>IF(H113&lt;=0,"",H126/H113)</f>
        <v>0.19426330907069633</v>
      </c>
      <c r="G149" s="85">
        <f>IF(I113&lt;=0,"",I126/I113)</f>
        <v>0.18928132642050358</v>
      </c>
      <c r="H149" s="85" t="str">
        <f>CONCATENATE(TEXT('Fin Statement Scoring Matrix'!D50,"0%")," - ",TEXT('Fin Statement Scoring Matrix'!E50,"0%"))</f>
        <v>5% - 10%</v>
      </c>
      <c r="I149" s="348">
        <f>IF(G149="", 0, IF(G149="∞",'Fin Statement Scoring Matrix'!G48,IF(G149&gt;='Fin Statement Scoring Matrix'!D48,'Fin Statement Scoring Matrix'!G48,IF(AND(G149&lt;='Fin Statement Scoring Matrix'!E49,G149&gt;='Fin Statement Scoring Matrix'!D49),'Fin Statement Scoring Matrix'!G49,IF(AND(G149&lt;='Fin Statement Scoring Matrix'!E50,G149&gt;='Fin Statement Scoring Matrix'!D50),'Fin Statement Scoring Matrix'!G50,IF(AND(G149&lt;='Fin Statement Scoring Matrix'!E51,G149&gt;='Fin Statement Scoring Matrix'!D51),'Fin Statement Scoring Matrix'!G51,IF(G149&lt;='Fin Statement Scoring Matrix'!E52,'Fin Statement Scoring Matrix'!G52,0)))))))</f>
        <v>2</v>
      </c>
      <c r="J149" s="74">
        <f>VLOOKUP(C149, Financial_Ratio_Weightings[], 2,FALSE)</f>
        <v>0.2</v>
      </c>
      <c r="K149" s="75">
        <f t="shared" si="7"/>
        <v>0.4</v>
      </c>
    </row>
    <row r="150" spans="2:11" ht="15.75" thickBot="1">
      <c r="B150" s="539" t="s">
        <v>97</v>
      </c>
      <c r="C150" s="528" t="s">
        <v>98</v>
      </c>
      <c r="D150" s="529"/>
      <c r="E150" s="108">
        <f>IF(G105&lt;=0,"",(G99+G100)/G105)</f>
        <v>2.0481962442331652</v>
      </c>
      <c r="F150" s="86">
        <f>IF(H105&lt;=0,"",(H99+H100)/H105)</f>
        <v>4.8536328788707701</v>
      </c>
      <c r="G150" s="86">
        <f>IF(I105&lt;=0,"",(I99+I100)/I105)</f>
        <v>7.513755183716289</v>
      </c>
      <c r="H150" s="86" t="str">
        <f>CONCATENATE("&gt;", 'Fin Statement Scoring Matrix'!D53)</f>
        <v>&gt;1.2</v>
      </c>
      <c r="I150" s="346">
        <f>IF(G150="", 0,
IF(G150="∞",'Fin Statement Scoring Matrix'!G53,
IF(G150&gt;='Fin Statement Scoring Matrix'!D53,'Fin Statement Scoring Matrix'!G53,
IF(AND(G150&lt;='Fin Statement Scoring Matrix'!E54,G150&gt;='Fin Statement Scoring Matrix'!D54),'Fin Statement Scoring Matrix'!G54,
IF(AND(G150&lt;='Fin Statement Scoring Matrix'!E55,G150&gt;='Fin Statement Scoring Matrix'!D55),'Fin Statement Scoring Matrix'!G55,
IF(AND(G150&lt;='Fin Statement Scoring Matrix'!E56,G150&gt;='Fin Statement Scoring Matrix'!D56),'Fin Statement Scoring Matrix'!G56,
IF(G150&lt;='Fin Statement Scoring Matrix'!E57,'Fin Statement Scoring Matrix'!G57,0)))))))</f>
        <v>5</v>
      </c>
      <c r="J150" s="71">
        <f>VLOOKUP(C150, Financial_Ratio_Weightings[], 2,FALSE)</f>
        <v>0.4</v>
      </c>
      <c r="K150" s="72">
        <f t="shared" si="7"/>
        <v>2</v>
      </c>
    </row>
    <row r="151" spans="2:11" ht="14.45" customHeight="1" thickBot="1">
      <c r="B151" s="540"/>
      <c r="C151" s="528" t="s">
        <v>99</v>
      </c>
      <c r="D151" s="529"/>
      <c r="E151" s="109">
        <f>IF(G116&lt;=0,"",G101/G116*365)</f>
        <v>0</v>
      </c>
      <c r="F151" s="87">
        <f>IF(H116&lt;=0,"",H101/H116*365)</f>
        <v>0</v>
      </c>
      <c r="G151" s="87">
        <f>IF(I116&lt;=0,"",I101/I116*365)</f>
        <v>0</v>
      </c>
      <c r="H151" s="87" t="str">
        <f>CONCATENATE('Fin Statement Scoring Matrix'!D60, " - ", 'Fin Statement Scoring Matrix'!E60)</f>
        <v>90 - 180</v>
      </c>
      <c r="I151" s="347">
        <f>IF(G151="", 0, IF(G151="∞",'Fin Statement Scoring Matrix'!G58,IF(G151&gt;='Fin Statement Scoring Matrix'!D58,'Fin Statement Scoring Matrix'!G58,IF(AND(G151&lt;='Fin Statement Scoring Matrix'!E59,G151&gt;='Fin Statement Scoring Matrix'!D59),'Fin Statement Scoring Matrix'!G59,IF(AND(G151&lt;='Fin Statement Scoring Matrix'!E60,G151&gt;='Fin Statement Scoring Matrix'!D60),'Fin Statement Scoring Matrix'!G60,IF(AND(G151&lt;='Fin Statement Scoring Matrix'!E61,G151&gt;='Fin Statement Scoring Matrix'!D61),'Fin Statement Scoring Matrix'!G61,IF(G151&lt;='Fin Statement Scoring Matrix'!E62,'Fin Statement Scoring Matrix'!G62,0)))))))</f>
        <v>2</v>
      </c>
      <c r="J151" s="65">
        <f>VLOOKUP(C151, Financial_Ratio_Weightings[], 2,FALSE)</f>
        <v>0.2</v>
      </c>
      <c r="K151" s="73">
        <f t="shared" si="7"/>
        <v>0.4</v>
      </c>
    </row>
    <row r="152" spans="2:11" ht="15" customHeight="1" thickBot="1">
      <c r="B152" s="541"/>
      <c r="C152" s="528" t="s">
        <v>100</v>
      </c>
      <c r="D152" s="529"/>
      <c r="E152" s="102">
        <f>IF(G116&lt;=0,"",G100/G116*365)</f>
        <v>0</v>
      </c>
      <c r="F152" s="81">
        <f>IF(H116&lt;=0,"",H100/H116*365)</f>
        <v>0</v>
      </c>
      <c r="G152" s="81">
        <f>IF(I116&lt;=0,"",I100/I116*365)</f>
        <v>0</v>
      </c>
      <c r="H152" s="81" t="str">
        <f>CONCATENATE('Fin Statement Scoring Matrix'!D65, " - ", 'Fin Statement Scoring Matrix'!E65)</f>
        <v>90 - 180</v>
      </c>
      <c r="I152" s="348">
        <f>IF(G152="", 0,
IF(G152="∞",'Fin Statement Scoring Matrix'!G63,IF(G152&gt;='Fin Statement Scoring Matrix'!D63,'Fin Statement Scoring Matrix'!G63,IF(AND(G152&lt;='Fin Statement Scoring Matrix'!E64,G152&gt;='Fin Statement Scoring Matrix'!D64),'Fin Statement Scoring Matrix'!G64,IF(AND(G152&lt;='Fin Statement Scoring Matrix'!E65,G152&gt;='Fin Statement Scoring Matrix'!D65),'Fin Statement Scoring Matrix'!G65,IF(AND(G152&lt;='Fin Statement Scoring Matrix'!E66,G152&gt;='Fin Statement Scoring Matrix'!D66),'Fin Statement Scoring Matrix'!G66,IF(G152&lt;='Fin Statement Scoring Matrix'!E67,'Fin Statement Scoring Matrix'!G67,0)))))))</f>
        <v>2</v>
      </c>
      <c r="J152" s="74">
        <f>VLOOKUP(C152, Financial_Ratio_Weightings[], 2,FALSE)</f>
        <v>0.2</v>
      </c>
      <c r="K152" s="75">
        <f t="shared" si="7"/>
        <v>0.4</v>
      </c>
    </row>
    <row r="153" spans="2:11">
      <c r="H153" s="43"/>
      <c r="I153" s="43"/>
      <c r="J153" s="43"/>
    </row>
    <row r="154" spans="2:11" ht="15" customHeight="1">
      <c r="I154" s="457" t="s">
        <v>544</v>
      </c>
      <c r="J154" s="509"/>
      <c r="K154" s="56">
        <f>SUM(K141:K152)</f>
        <v>15.700000000000001</v>
      </c>
    </row>
    <row r="155" spans="2:11">
      <c r="I155" s="44"/>
      <c r="J155" s="44"/>
      <c r="K155" s="43"/>
    </row>
    <row r="156" spans="2:11" ht="15" customHeight="1">
      <c r="I156" s="457" t="s">
        <v>543</v>
      </c>
      <c r="J156" s="509"/>
      <c r="K156" s="56">
        <v>20</v>
      </c>
    </row>
    <row r="157" spans="2:11">
      <c r="I157" s="44"/>
      <c r="J157" s="44"/>
      <c r="K157" s="43"/>
    </row>
    <row r="158" spans="2:11" ht="15" customHeight="1">
      <c r="I158" s="457" t="s">
        <v>545</v>
      </c>
      <c r="J158" s="509"/>
      <c r="K158" s="48">
        <f>K154/K156</f>
        <v>0.78500000000000003</v>
      </c>
    </row>
    <row r="159" spans="2:11">
      <c r="I159" s="44"/>
      <c r="J159" s="44"/>
      <c r="K159" s="43"/>
    </row>
    <row r="160" spans="2:11" ht="15" customHeight="1">
      <c r="I160" s="457" t="s">
        <v>546</v>
      </c>
      <c r="J160" s="509"/>
      <c r="K160" s="48">
        <v>0.6</v>
      </c>
    </row>
    <row r="161" spans="2:11" ht="15.75" thickBot="1">
      <c r="I161" s="44"/>
      <c r="J161" s="44"/>
      <c r="K161" s="43"/>
    </row>
    <row r="162" spans="2:11" ht="15.75" thickBot="1">
      <c r="I162" s="457" t="s">
        <v>555</v>
      </c>
      <c r="J162" s="508"/>
      <c r="K162" s="29" t="str">
        <f>IF(K158&lt;K160,"FAIL", "PASS")</f>
        <v>PASS</v>
      </c>
    </row>
    <row r="163" spans="2:11">
      <c r="G163" s="43"/>
      <c r="H163" s="43"/>
      <c r="I163" s="43"/>
    </row>
    <row r="164" spans="2:11" ht="26.25" thickBot="1">
      <c r="B164" s="465" t="s">
        <v>479</v>
      </c>
      <c r="C164" s="465"/>
      <c r="D164" s="465"/>
      <c r="E164" s="465"/>
      <c r="G164" s="25" t="s">
        <v>15</v>
      </c>
      <c r="H164" s="25" t="s">
        <v>16</v>
      </c>
      <c r="I164" s="25" t="s">
        <v>17</v>
      </c>
    </row>
    <row r="165" spans="2:11" ht="15.75" thickTop="1">
      <c r="G165" s="43"/>
      <c r="H165" s="43"/>
      <c r="I165" s="43"/>
    </row>
    <row r="166" spans="2:11">
      <c r="B166" s="321" t="s">
        <v>102</v>
      </c>
      <c r="C166" s="507" t="s">
        <v>103</v>
      </c>
      <c r="D166" s="507"/>
      <c r="E166" s="507" t="s">
        <v>104</v>
      </c>
      <c r="F166" s="507"/>
      <c r="I166" s="7" t="s">
        <v>15</v>
      </c>
      <c r="J166" s="7" t="s">
        <v>16</v>
      </c>
      <c r="K166" s="7" t="s">
        <v>17</v>
      </c>
    </row>
    <row r="167" spans="2:11">
      <c r="B167" s="466" t="s">
        <v>106</v>
      </c>
      <c r="C167" s="530" t="s">
        <v>194</v>
      </c>
      <c r="D167" s="530"/>
      <c r="E167" s="525" t="s">
        <v>259</v>
      </c>
      <c r="F167" s="526"/>
      <c r="I167" s="56">
        <f>IFERROR(VLOOKUP(E167, Rating_Scores[],2,FALSE),0)</f>
        <v>5</v>
      </c>
      <c r="J167" s="50">
        <f>VLOOKUP(C167, Feasability_Assessment_Weightings[], 2,FALSE)</f>
        <v>1</v>
      </c>
      <c r="K167" s="50">
        <f>I167*J167</f>
        <v>5</v>
      </c>
    </row>
    <row r="168" spans="2:11">
      <c r="B168" s="466"/>
      <c r="C168" s="527" t="s">
        <v>108</v>
      </c>
      <c r="D168" s="527"/>
      <c r="E168" s="527"/>
      <c r="F168" s="527"/>
      <c r="I168" s="44"/>
      <c r="J168" s="44"/>
      <c r="K168" s="44"/>
    </row>
    <row r="169" spans="2:11" ht="53.25" customHeight="1">
      <c r="B169" s="466"/>
      <c r="C169" s="522" t="s">
        <v>583</v>
      </c>
      <c r="D169" s="523"/>
      <c r="E169" s="523"/>
      <c r="F169" s="524"/>
      <c r="I169" s="44"/>
      <c r="J169" s="44"/>
      <c r="K169" s="44"/>
    </row>
    <row r="170" spans="2:11">
      <c r="B170" s="466"/>
      <c r="C170" s="530" t="s">
        <v>196</v>
      </c>
      <c r="D170" s="530"/>
      <c r="E170" s="525" t="s">
        <v>195</v>
      </c>
      <c r="F170" s="526"/>
      <c r="I170" s="56">
        <f>IFERROR(VLOOKUP(E170, Rating_Scores[],2,FALSE),0)</f>
        <v>4</v>
      </c>
      <c r="J170" s="50">
        <f>VLOOKUP(C170, Feasability_Assessment_Weightings[], 2,FALSE)</f>
        <v>1</v>
      </c>
      <c r="K170" s="50">
        <f>I170*J170</f>
        <v>4</v>
      </c>
    </row>
    <row r="171" spans="2:11" ht="15.6" customHeight="1">
      <c r="B171" s="466"/>
      <c r="C171" s="527" t="s">
        <v>108</v>
      </c>
      <c r="D171" s="527"/>
      <c r="E171" s="527"/>
      <c r="F171" s="527"/>
      <c r="I171" s="44"/>
      <c r="J171" s="44"/>
      <c r="K171" s="44"/>
    </row>
    <row r="172" spans="2:11" ht="53.25" customHeight="1">
      <c r="B172" s="466"/>
      <c r="C172" s="522" t="s">
        <v>584</v>
      </c>
      <c r="D172" s="523"/>
      <c r="E172" s="523"/>
      <c r="F172" s="524"/>
      <c r="I172" s="44"/>
      <c r="J172" s="44"/>
      <c r="K172" s="44"/>
    </row>
    <row r="173" spans="2:11">
      <c r="B173" s="489" t="s">
        <v>105</v>
      </c>
      <c r="C173" s="530" t="s">
        <v>197</v>
      </c>
      <c r="D173" s="530"/>
      <c r="E173" s="525" t="s">
        <v>195</v>
      </c>
      <c r="F173" s="526"/>
      <c r="I173" s="56">
        <f>IFERROR(VLOOKUP(E173, Rating_Scores[],2,FALSE),0)</f>
        <v>4</v>
      </c>
      <c r="J173" s="50">
        <f>VLOOKUP(C173, Feasability_Assessment_Weightings[], 2,FALSE)</f>
        <v>1</v>
      </c>
      <c r="K173" s="50">
        <f>I173*J173</f>
        <v>4</v>
      </c>
    </row>
    <row r="174" spans="2:11">
      <c r="B174" s="489"/>
      <c r="C174" s="527" t="s">
        <v>108</v>
      </c>
      <c r="D174" s="527"/>
      <c r="E174" s="527"/>
      <c r="F174" s="527"/>
      <c r="I174" s="44"/>
      <c r="J174" s="44"/>
      <c r="K174" s="44"/>
    </row>
    <row r="175" spans="2:11" ht="53.25" customHeight="1">
      <c r="B175" s="489"/>
      <c r="C175" s="522" t="s">
        <v>585</v>
      </c>
      <c r="D175" s="523"/>
      <c r="E175" s="523"/>
      <c r="F175" s="524"/>
      <c r="I175" s="44"/>
      <c r="J175" s="44"/>
      <c r="K175" s="44"/>
    </row>
    <row r="176" spans="2:11">
      <c r="B176" s="489"/>
      <c r="C176" s="530" t="s">
        <v>198</v>
      </c>
      <c r="D176" s="530"/>
      <c r="E176" s="525" t="s">
        <v>195</v>
      </c>
      <c r="F176" s="526"/>
      <c r="I176" s="56">
        <f>IFERROR(VLOOKUP(E176, Rating_Scores[],2,FALSE),0)</f>
        <v>4</v>
      </c>
      <c r="J176" s="50">
        <f>VLOOKUP(C176, Feasability_Assessment_Weightings[], 2,FALSE)</f>
        <v>1</v>
      </c>
      <c r="K176" s="50">
        <f>I176*J176</f>
        <v>4</v>
      </c>
    </row>
    <row r="177" spans="2:11" ht="15.6" customHeight="1">
      <c r="B177" s="489"/>
      <c r="C177" s="527" t="s">
        <v>108</v>
      </c>
      <c r="D177" s="527"/>
      <c r="E177" s="527"/>
      <c r="F177" s="527"/>
      <c r="I177" s="44"/>
      <c r="J177" s="44"/>
      <c r="K177" s="44"/>
    </row>
    <row r="178" spans="2:11" ht="53.25" customHeight="1">
      <c r="B178" s="489"/>
      <c r="C178" s="522" t="s">
        <v>577</v>
      </c>
      <c r="D178" s="523"/>
      <c r="E178" s="523"/>
      <c r="F178" s="524"/>
      <c r="I178" s="44"/>
      <c r="J178" s="44"/>
      <c r="K178" s="44"/>
    </row>
    <row r="179" spans="2:11">
      <c r="B179" s="489"/>
      <c r="C179" s="530" t="s">
        <v>110</v>
      </c>
      <c r="D179" s="530"/>
      <c r="E179" s="525" t="s">
        <v>195</v>
      </c>
      <c r="F179" s="526"/>
      <c r="I179" s="56">
        <f>IFERROR(VLOOKUP(E179, Rating_Scores[],2,FALSE),0)</f>
        <v>4</v>
      </c>
      <c r="J179" s="50">
        <f>VLOOKUP(C179, Feasability_Assessment_Weightings[], 2,FALSE)</f>
        <v>1</v>
      </c>
      <c r="K179" s="50">
        <f>I179*J179</f>
        <v>4</v>
      </c>
    </row>
    <row r="180" spans="2:11" ht="15.6" customHeight="1">
      <c r="B180" s="489"/>
      <c r="C180" s="527" t="s">
        <v>108</v>
      </c>
      <c r="D180" s="527"/>
      <c r="E180" s="527"/>
      <c r="F180" s="527"/>
      <c r="I180" s="44"/>
      <c r="J180" s="44"/>
      <c r="K180" s="44"/>
    </row>
    <row r="181" spans="2:11" ht="54" customHeight="1">
      <c r="B181" s="489"/>
      <c r="C181" s="522" t="s">
        <v>578</v>
      </c>
      <c r="D181" s="523"/>
      <c r="E181" s="523"/>
      <c r="F181" s="524"/>
      <c r="I181" s="44"/>
      <c r="J181" s="44"/>
      <c r="K181" s="44"/>
    </row>
    <row r="182" spans="2:11">
      <c r="B182" s="466" t="s">
        <v>113</v>
      </c>
      <c r="C182" s="530" t="s">
        <v>199</v>
      </c>
      <c r="D182" s="530"/>
      <c r="E182" s="525" t="s">
        <v>195</v>
      </c>
      <c r="F182" s="526"/>
      <c r="I182" s="56">
        <f>IFERROR(VLOOKUP(E182, Rating_Scores[],2,FALSE),0)</f>
        <v>4</v>
      </c>
      <c r="J182" s="50">
        <f>VLOOKUP(C182, Feasability_Assessment_Weightings[], 2,FALSE)</f>
        <v>1</v>
      </c>
      <c r="K182" s="50">
        <f>I182*J182</f>
        <v>4</v>
      </c>
    </row>
    <row r="183" spans="2:11">
      <c r="B183" s="466"/>
      <c r="C183" s="527" t="s">
        <v>108</v>
      </c>
      <c r="D183" s="527"/>
      <c r="E183" s="527"/>
      <c r="F183" s="527"/>
      <c r="I183" s="44"/>
      <c r="J183" s="44"/>
      <c r="K183" s="44"/>
    </row>
    <row r="184" spans="2:11" ht="56.25" customHeight="1">
      <c r="B184" s="466"/>
      <c r="C184" s="522" t="s">
        <v>586</v>
      </c>
      <c r="D184" s="523"/>
      <c r="E184" s="523"/>
      <c r="F184" s="524"/>
      <c r="I184" s="44"/>
      <c r="J184" s="44"/>
      <c r="K184" s="44"/>
    </row>
    <row r="185" spans="2:11">
      <c r="B185" s="466"/>
      <c r="C185" s="530" t="s">
        <v>200</v>
      </c>
      <c r="D185" s="530"/>
      <c r="E185" s="525" t="s">
        <v>195</v>
      </c>
      <c r="F185" s="526"/>
      <c r="I185" s="56">
        <f>IFERROR(VLOOKUP(E185, Rating_Scores[],2,FALSE),0)</f>
        <v>4</v>
      </c>
      <c r="J185" s="50">
        <f>VLOOKUP(C185, Feasability_Assessment_Weightings[], 2,FALSE)</f>
        <v>1</v>
      </c>
      <c r="K185" s="50">
        <f>I185*J185</f>
        <v>4</v>
      </c>
    </row>
    <row r="186" spans="2:11" ht="15.6" customHeight="1">
      <c r="B186" s="466"/>
      <c r="C186" s="527" t="s">
        <v>108</v>
      </c>
      <c r="D186" s="527"/>
      <c r="E186" s="527"/>
      <c r="F186" s="527"/>
      <c r="I186" s="44"/>
      <c r="J186" s="44"/>
      <c r="K186" s="44"/>
    </row>
    <row r="187" spans="2:11" ht="57.75" customHeight="1">
      <c r="B187" s="466"/>
      <c r="C187" s="522" t="s">
        <v>575</v>
      </c>
      <c r="D187" s="523"/>
      <c r="E187" s="523"/>
      <c r="F187" s="524"/>
      <c r="I187" s="44"/>
      <c r="J187" s="44"/>
      <c r="K187" s="44"/>
    </row>
    <row r="188" spans="2:11">
      <c r="B188" s="466"/>
      <c r="C188" s="530" t="s">
        <v>201</v>
      </c>
      <c r="D188" s="530"/>
      <c r="E188" s="525" t="s">
        <v>259</v>
      </c>
      <c r="F188" s="526"/>
      <c r="I188" s="56">
        <f>IFERROR(VLOOKUP(E188, Rating_Scores[],2,FALSE),0)</f>
        <v>5</v>
      </c>
      <c r="J188" s="50">
        <f>VLOOKUP(C188, Feasability_Assessment_Weightings[], 2,FALSE)</f>
        <v>1</v>
      </c>
      <c r="K188" s="50">
        <f>I188*J188</f>
        <v>5</v>
      </c>
    </row>
    <row r="189" spans="2:11" ht="15.6" customHeight="1">
      <c r="B189" s="466"/>
      <c r="C189" s="527" t="s">
        <v>108</v>
      </c>
      <c r="D189" s="527"/>
      <c r="E189" s="527"/>
      <c r="F189" s="527"/>
      <c r="I189" s="44"/>
      <c r="J189" s="44"/>
      <c r="K189" s="44"/>
    </row>
    <row r="190" spans="2:11" ht="56.25" customHeight="1">
      <c r="B190" s="466"/>
      <c r="C190" s="522" t="s">
        <v>574</v>
      </c>
      <c r="D190" s="523"/>
      <c r="E190" s="523"/>
      <c r="F190" s="524"/>
      <c r="I190" s="44"/>
      <c r="J190" s="44"/>
      <c r="K190" s="44"/>
    </row>
    <row r="191" spans="2:11">
      <c r="B191" s="466"/>
      <c r="C191" s="530" t="s">
        <v>202</v>
      </c>
      <c r="D191" s="530"/>
      <c r="E191" s="525" t="s">
        <v>259</v>
      </c>
      <c r="F191" s="526"/>
      <c r="I191" s="56">
        <f>IFERROR(VLOOKUP(E191, Rating_Scores[],2,FALSE),0)</f>
        <v>5</v>
      </c>
      <c r="J191" s="50">
        <f>VLOOKUP(C191, Feasability_Assessment_Weightings[], 2,FALSE)</f>
        <v>1</v>
      </c>
      <c r="K191" s="50">
        <f>I191*J191</f>
        <v>5</v>
      </c>
    </row>
    <row r="192" spans="2:11" ht="15.6" customHeight="1">
      <c r="B192" s="466"/>
      <c r="C192" s="527" t="s">
        <v>108</v>
      </c>
      <c r="D192" s="527"/>
      <c r="E192" s="527"/>
      <c r="F192" s="527"/>
      <c r="I192" s="44"/>
      <c r="J192" s="44"/>
      <c r="K192" s="44"/>
    </row>
    <row r="193" spans="2:11" ht="60" customHeight="1">
      <c r="B193" s="466"/>
      <c r="C193" s="522" t="s">
        <v>579</v>
      </c>
      <c r="D193" s="523"/>
      <c r="E193" s="523"/>
      <c r="F193" s="524"/>
      <c r="I193" s="44"/>
      <c r="J193" s="44"/>
      <c r="K193" s="44"/>
    </row>
    <row r="194" spans="2:11">
      <c r="B194" s="466"/>
      <c r="C194" s="530" t="s">
        <v>203</v>
      </c>
      <c r="D194" s="530"/>
      <c r="E194" s="525" t="s">
        <v>259</v>
      </c>
      <c r="F194" s="526"/>
      <c r="I194" s="56">
        <f>IFERROR(VLOOKUP(E194, Rating_Scores[],2,FALSE),0)</f>
        <v>5</v>
      </c>
      <c r="J194" s="50">
        <f>VLOOKUP(C194, Feasability_Assessment_Weightings[], 2,FALSE)</f>
        <v>1</v>
      </c>
      <c r="K194" s="50">
        <f>I194*J194</f>
        <v>5</v>
      </c>
    </row>
    <row r="195" spans="2:11" ht="15.6" customHeight="1">
      <c r="B195" s="466"/>
      <c r="C195" s="527" t="s">
        <v>108</v>
      </c>
      <c r="D195" s="527"/>
      <c r="E195" s="527"/>
      <c r="F195" s="527"/>
      <c r="I195" s="44"/>
      <c r="J195" s="44"/>
      <c r="K195" s="44"/>
    </row>
    <row r="196" spans="2:11" ht="52.5" customHeight="1">
      <c r="B196" s="466"/>
      <c r="C196" s="522" t="s">
        <v>576</v>
      </c>
      <c r="D196" s="523"/>
      <c r="E196" s="523"/>
      <c r="F196" s="524"/>
      <c r="I196" s="44"/>
      <c r="J196" s="44"/>
      <c r="K196" s="44"/>
    </row>
    <row r="197" spans="2:11">
      <c r="B197" s="466"/>
      <c r="C197" s="530" t="s">
        <v>116</v>
      </c>
      <c r="D197" s="530"/>
      <c r="E197" s="525" t="s">
        <v>259</v>
      </c>
      <c r="F197" s="526"/>
      <c r="I197" s="56">
        <f>IFERROR(VLOOKUP(E197, Rating_Scores[],2,FALSE),0)</f>
        <v>5</v>
      </c>
      <c r="J197" s="50">
        <f>VLOOKUP(C197, Feasability_Assessment_Weightings[], 2,FALSE)</f>
        <v>1</v>
      </c>
      <c r="K197" s="50">
        <f>I197*J197</f>
        <v>5</v>
      </c>
    </row>
    <row r="198" spans="2:11" ht="15.6" customHeight="1">
      <c r="B198" s="466"/>
      <c r="C198" s="527" t="s">
        <v>108</v>
      </c>
      <c r="D198" s="527"/>
      <c r="E198" s="527"/>
      <c r="F198" s="527"/>
      <c r="I198" s="44"/>
      <c r="J198" s="44"/>
      <c r="K198" s="44"/>
    </row>
    <row r="199" spans="2:11" ht="57" customHeight="1">
      <c r="B199" s="466"/>
      <c r="C199" s="522" t="s">
        <v>587</v>
      </c>
      <c r="D199" s="523"/>
      <c r="E199" s="523"/>
      <c r="F199" s="524"/>
      <c r="I199" s="44"/>
      <c r="J199" s="44"/>
      <c r="K199" s="44"/>
    </row>
    <row r="200" spans="2:11">
      <c r="B200" s="489" t="s">
        <v>123</v>
      </c>
      <c r="C200" s="530" t="s">
        <v>125</v>
      </c>
      <c r="D200" s="530"/>
      <c r="E200" s="525" t="s">
        <v>195</v>
      </c>
      <c r="F200" s="526"/>
      <c r="I200" s="56">
        <f>IFERROR(VLOOKUP(E200, Rating_Scores[],2,FALSE),0)</f>
        <v>4</v>
      </c>
      <c r="J200" s="50">
        <f>VLOOKUP(C200, Feasability_Assessment_Weightings[], 2,FALSE)</f>
        <v>1</v>
      </c>
      <c r="K200" s="50">
        <f>I200*J200</f>
        <v>4</v>
      </c>
    </row>
    <row r="201" spans="2:11">
      <c r="B201" s="489"/>
      <c r="C201" s="527" t="s">
        <v>108</v>
      </c>
      <c r="D201" s="527"/>
      <c r="E201" s="527"/>
      <c r="F201" s="527"/>
      <c r="I201" s="44"/>
      <c r="J201" s="44"/>
      <c r="K201" s="44"/>
    </row>
    <row r="202" spans="2:11" ht="51.75" customHeight="1">
      <c r="B202" s="489"/>
      <c r="C202" s="522" t="s">
        <v>581</v>
      </c>
      <c r="D202" s="523"/>
      <c r="E202" s="523"/>
      <c r="F202" s="524"/>
      <c r="I202" s="44"/>
      <c r="J202" s="44"/>
      <c r="K202" s="44"/>
    </row>
    <row r="203" spans="2:11">
      <c r="B203" s="489"/>
      <c r="C203" s="530" t="s">
        <v>126</v>
      </c>
      <c r="D203" s="530"/>
      <c r="E203" s="525" t="s">
        <v>195</v>
      </c>
      <c r="F203" s="526"/>
      <c r="I203" s="56">
        <f>IFERROR(VLOOKUP(E203, Rating_Scores[],2,FALSE),0)</f>
        <v>4</v>
      </c>
      <c r="J203" s="50">
        <f>VLOOKUP(C203, Feasability_Assessment_Weightings[], 2,FALSE)</f>
        <v>1</v>
      </c>
      <c r="K203" s="50">
        <f>I203*J203</f>
        <v>4</v>
      </c>
    </row>
    <row r="204" spans="2:11" ht="15.6" customHeight="1">
      <c r="B204" s="489"/>
      <c r="C204" s="527" t="s">
        <v>108</v>
      </c>
      <c r="D204" s="527"/>
      <c r="E204" s="527"/>
      <c r="F204" s="527"/>
      <c r="I204" s="44"/>
      <c r="J204" s="44"/>
      <c r="K204" s="44"/>
    </row>
    <row r="205" spans="2:11" ht="40.35" customHeight="1">
      <c r="B205" s="489"/>
      <c r="C205" s="522" t="s">
        <v>580</v>
      </c>
      <c r="D205" s="523"/>
      <c r="E205" s="523"/>
      <c r="F205" s="524"/>
      <c r="I205" s="44"/>
      <c r="J205" s="44"/>
      <c r="K205" s="44"/>
    </row>
    <row r="206" spans="2:11">
      <c r="B206" s="489"/>
      <c r="C206" s="530" t="s">
        <v>204</v>
      </c>
      <c r="D206" s="530"/>
      <c r="E206" s="525" t="s">
        <v>195</v>
      </c>
      <c r="F206" s="526"/>
      <c r="I206" s="56">
        <f>IFERROR(VLOOKUP(E206, Rating_Scores[],2,FALSE),0)</f>
        <v>4</v>
      </c>
      <c r="J206" s="50">
        <f>VLOOKUP(C206, Feasability_Assessment_Weightings[], 2,FALSE)</f>
        <v>1</v>
      </c>
      <c r="K206" s="50">
        <f>I206*J206</f>
        <v>4</v>
      </c>
    </row>
    <row r="207" spans="2:11" ht="15.6" customHeight="1">
      <c r="B207" s="489"/>
      <c r="C207" s="527" t="s">
        <v>108</v>
      </c>
      <c r="D207" s="527"/>
      <c r="E207" s="527"/>
      <c r="F207" s="527"/>
      <c r="I207" s="44"/>
      <c r="J207" s="44"/>
      <c r="K207" s="44"/>
    </row>
    <row r="208" spans="2:11" ht="56.25" customHeight="1">
      <c r="B208" s="489"/>
      <c r="C208" s="522" t="s">
        <v>588</v>
      </c>
      <c r="D208" s="523"/>
      <c r="E208" s="523"/>
      <c r="F208" s="524"/>
      <c r="I208" s="44"/>
      <c r="J208" s="44"/>
      <c r="K208" s="44"/>
    </row>
    <row r="209" spans="2:11">
      <c r="B209" s="489"/>
      <c r="C209" s="530" t="s">
        <v>205</v>
      </c>
      <c r="D209" s="530"/>
      <c r="E209" s="525" t="s">
        <v>259</v>
      </c>
      <c r="F209" s="526"/>
      <c r="I209" s="56">
        <f>IFERROR(VLOOKUP(E209, Rating_Scores[],2,FALSE),0)</f>
        <v>5</v>
      </c>
      <c r="J209" s="50">
        <f>VLOOKUP(C209, Feasability_Assessment_Weightings[], 2,FALSE)</f>
        <v>1</v>
      </c>
      <c r="K209" s="50">
        <f>I209*J209</f>
        <v>5</v>
      </c>
    </row>
    <row r="210" spans="2:11" ht="15.6" customHeight="1">
      <c r="B210" s="489"/>
      <c r="C210" s="527" t="s">
        <v>108</v>
      </c>
      <c r="D210" s="527"/>
      <c r="E210" s="527"/>
      <c r="F210" s="527"/>
      <c r="I210" s="44"/>
      <c r="J210" s="44"/>
      <c r="K210" s="44"/>
    </row>
    <row r="211" spans="2:11" ht="55.5" customHeight="1">
      <c r="B211" s="489"/>
      <c r="C211" s="522" t="s">
        <v>582</v>
      </c>
      <c r="D211" s="523"/>
      <c r="E211" s="523"/>
      <c r="F211" s="524"/>
      <c r="I211" s="44"/>
      <c r="J211" s="44"/>
      <c r="K211" s="44"/>
    </row>
    <row r="212" spans="2:11">
      <c r="I212" s="43"/>
      <c r="J212" s="43"/>
      <c r="K212" s="43"/>
    </row>
    <row r="213" spans="2:11" ht="14.85" customHeight="1">
      <c r="I213" s="457" t="s">
        <v>206</v>
      </c>
      <c r="J213" s="509"/>
      <c r="K213" s="50">
        <f>K167+K170+K173+K176+K179+K182+K185+K188+K191+K194+K197+K200+K203+K206+K209</f>
        <v>66</v>
      </c>
    </row>
    <row r="214" spans="2:11">
      <c r="I214" s="44"/>
      <c r="J214" s="44"/>
      <c r="K214" s="43"/>
    </row>
    <row r="215" spans="2:11" ht="14.85" customHeight="1">
      <c r="I215" s="457" t="s">
        <v>31</v>
      </c>
      <c r="J215" s="509"/>
      <c r="K215" s="50">
        <f>'Model Data'!C160</f>
        <v>75</v>
      </c>
    </row>
    <row r="216" spans="2:11">
      <c r="I216" s="44"/>
      <c r="J216" s="44"/>
      <c r="K216" s="43"/>
    </row>
    <row r="217" spans="2:11" ht="14.85" customHeight="1">
      <c r="I217" s="457" t="s">
        <v>32</v>
      </c>
      <c r="J217" s="509"/>
      <c r="K217" s="48">
        <f>K213/K215</f>
        <v>0.88</v>
      </c>
    </row>
    <row r="218" spans="2:11">
      <c r="I218" s="44"/>
      <c r="J218" s="44"/>
      <c r="K218" s="43"/>
    </row>
    <row r="219" spans="2:11" ht="14.85" customHeight="1">
      <c r="I219" s="457" t="s">
        <v>33</v>
      </c>
      <c r="J219" s="509"/>
      <c r="K219" s="48">
        <v>0.6</v>
      </c>
    </row>
    <row r="220" spans="2:11" ht="15.75" thickBot="1">
      <c r="I220" s="44"/>
      <c r="J220" s="44"/>
      <c r="K220" s="43"/>
    </row>
    <row r="221" spans="2:11" ht="15.75" thickBot="1">
      <c r="I221" s="457" t="s">
        <v>34</v>
      </c>
      <c r="J221" s="509"/>
      <c r="K221" s="29" t="str">
        <f>IF(K217&lt;K219,"FAIL", "PASS")</f>
        <v>PASS</v>
      </c>
    </row>
    <row r="222" spans="2:11">
      <c r="G222" s="43"/>
      <c r="H222" s="43"/>
      <c r="I222" s="43"/>
    </row>
    <row r="223" spans="2:11" customFormat="1" ht="26.25" thickBot="1">
      <c r="B223" s="542" t="s">
        <v>560</v>
      </c>
      <c r="C223" s="542"/>
      <c r="D223" s="62"/>
      <c r="E223" s="62"/>
      <c r="F223" s="62"/>
      <c r="G223" s="62"/>
    </row>
    <row r="224" spans="2:11" s="27" customFormat="1" ht="14.45" customHeight="1" thickTop="1">
      <c r="G224" s="38"/>
      <c r="H224" s="38"/>
      <c r="I224" s="38"/>
    </row>
    <row r="225" spans="2:9" customFormat="1" ht="24.75" thickBot="1">
      <c r="B225" s="507" t="s">
        <v>129</v>
      </c>
      <c r="C225" s="507"/>
      <c r="D225" s="321" t="s">
        <v>145</v>
      </c>
      <c r="E225" s="7" t="s">
        <v>538</v>
      </c>
      <c r="F225" s="7" t="s">
        <v>16</v>
      </c>
      <c r="G225" s="7" t="s">
        <v>539</v>
      </c>
    </row>
    <row r="226" spans="2:9" customFormat="1" ht="15.75" thickBot="1">
      <c r="B226" s="457" t="s">
        <v>130</v>
      </c>
      <c r="C226" s="508"/>
      <c r="D226" s="422" t="str">
        <f>K33</f>
        <v>PASS</v>
      </c>
      <c r="E226" s="48">
        <f>K29</f>
        <v>0.64094488188976395</v>
      </c>
      <c r="F226" s="48">
        <f>'Model Data'!C35</f>
        <v>0.25</v>
      </c>
      <c r="G226" s="48">
        <f>E226*F226</f>
        <v>0.16023622047244099</v>
      </c>
    </row>
    <row r="227" spans="2:9" customFormat="1" ht="15.75" thickBot="1">
      <c r="B227" s="457" t="s">
        <v>365</v>
      </c>
      <c r="C227" s="508" t="s">
        <v>365</v>
      </c>
      <c r="D227" s="422" t="str">
        <f>K58</f>
        <v>PASS</v>
      </c>
      <c r="E227" s="48">
        <f>K54</f>
        <v>0.82499999999999996</v>
      </c>
      <c r="F227" s="48">
        <f>'Model Data'!C36</f>
        <v>0.2</v>
      </c>
      <c r="G227" s="48">
        <f>E227*F227</f>
        <v>0.16500000000000001</v>
      </c>
    </row>
    <row r="228" spans="2:9" customFormat="1" ht="15.75" thickBot="1">
      <c r="B228" s="457" t="s">
        <v>305</v>
      </c>
      <c r="C228" s="508"/>
      <c r="D228" s="422" t="str">
        <f>K92</f>
        <v>PASS</v>
      </c>
      <c r="E228" s="116"/>
      <c r="F228" s="116"/>
      <c r="G228" s="116"/>
    </row>
    <row r="229" spans="2:9" customFormat="1" ht="15.75" thickBot="1">
      <c r="B229" s="457" t="s">
        <v>200</v>
      </c>
      <c r="C229" s="508" t="s">
        <v>200</v>
      </c>
      <c r="D229" s="422" t="str">
        <f>K162</f>
        <v>PASS</v>
      </c>
      <c r="E229" s="48">
        <f>K158</f>
        <v>0.78500000000000003</v>
      </c>
      <c r="F229" s="48">
        <f>'Model Data'!C37</f>
        <v>0.1</v>
      </c>
      <c r="G229" s="48">
        <f>E229*F229</f>
        <v>7.8500000000000014E-2</v>
      </c>
    </row>
    <row r="230" spans="2:9" customFormat="1" ht="15.75" thickBot="1">
      <c r="B230" s="457" t="s">
        <v>207</v>
      </c>
      <c r="C230" s="508"/>
      <c r="D230" s="422" t="str">
        <f>K221</f>
        <v>PASS</v>
      </c>
      <c r="E230" s="48">
        <f>K217</f>
        <v>0.88</v>
      </c>
      <c r="F230" s="48">
        <f>'Model Data'!C38</f>
        <v>0.45</v>
      </c>
      <c r="G230" s="48">
        <f>E230*F230</f>
        <v>0.39600000000000002</v>
      </c>
    </row>
    <row r="231" spans="2:9" customFormat="1">
      <c r="E231" s="457" t="s">
        <v>132</v>
      </c>
      <c r="F231" s="457"/>
      <c r="G231" s="48">
        <f>G226+G227+G229+G230</f>
        <v>0.79973622047244097</v>
      </c>
    </row>
    <row r="232" spans="2:9" customFormat="1" ht="15.75" thickBot="1"/>
    <row r="233" spans="2:9" customFormat="1" ht="15.75" thickBot="1">
      <c r="E233" s="457" t="s">
        <v>19</v>
      </c>
      <c r="F233" s="457"/>
      <c r="G233" s="29" t="str">
        <f>IF(AND(D226="PASS", D227="PASS", D228="PASS", D229="PASS", D230="PASS"), "PASS", "FAIL")</f>
        <v>PASS</v>
      </c>
    </row>
    <row r="234" spans="2:9" customFormat="1">
      <c r="B234" s="43"/>
      <c r="C234" s="43"/>
      <c r="D234" s="43"/>
      <c r="F234" s="62"/>
      <c r="G234" s="62"/>
    </row>
    <row r="235" spans="2:9" customFormat="1" ht="26.25" thickBot="1">
      <c r="B235" s="542" t="s">
        <v>561</v>
      </c>
      <c r="C235" s="542"/>
      <c r="D235" s="542"/>
      <c r="E235" s="62"/>
      <c r="F235" s="62"/>
      <c r="G235" s="62"/>
    </row>
    <row r="236" spans="2:9" s="27" customFormat="1" ht="14.45" customHeight="1" thickTop="1">
      <c r="G236" s="38"/>
      <c r="H236" s="38"/>
      <c r="I236" s="38"/>
    </row>
    <row r="237" spans="2:9" s="27" customFormat="1">
      <c r="B237" s="130" t="s">
        <v>435</v>
      </c>
      <c r="C237" s="130"/>
      <c r="D237" s="130"/>
      <c r="E237" s="130"/>
      <c r="F237" s="130"/>
      <c r="G237" s="130"/>
      <c r="H237" s="130"/>
      <c r="I237" s="130"/>
    </row>
    <row r="238" spans="2:9" s="27" customFormat="1">
      <c r="B238" s="38" t="s">
        <v>136</v>
      </c>
      <c r="C238"/>
      <c r="D238" s="38" t="s">
        <v>133</v>
      </c>
      <c r="E238" s="38" t="s">
        <v>134</v>
      </c>
      <c r="F238" s="38" t="s">
        <v>138</v>
      </c>
      <c r="G238" s="38" t="s">
        <v>139</v>
      </c>
      <c r="H238" s="38" t="s">
        <v>140</v>
      </c>
      <c r="I238" s="38" t="s">
        <v>135</v>
      </c>
    </row>
    <row r="239" spans="2:9" s="27" customFormat="1">
      <c r="B239" s="58">
        <f>[1]Financing!$C$8</f>
        <v>800000000</v>
      </c>
      <c r="C239"/>
      <c r="D239" s="128">
        <f>[1]Financing!$D$8</f>
        <v>60</v>
      </c>
      <c r="E239" s="129">
        <f>[1]Financing!$F$8</f>
        <v>0.1</v>
      </c>
      <c r="F239" s="123">
        <v>0.01</v>
      </c>
      <c r="G239" s="123">
        <v>0.01</v>
      </c>
      <c r="H239" s="351">
        <v>2.5000000000000001E-3</v>
      </c>
      <c r="I239" s="58">
        <f>IFERROR(PMT(E239/12,D239,B239),0)</f>
        <v>-16997635.769014619</v>
      </c>
    </row>
    <row r="240" spans="2:9">
      <c r="B240"/>
      <c r="C240"/>
      <c r="D240" s="38" t="s">
        <v>208</v>
      </c>
      <c r="E240" s="38" t="s">
        <v>387</v>
      </c>
      <c r="G240"/>
      <c r="H240" s="43"/>
      <c r="I240" s="38"/>
    </row>
    <row r="241" spans="2:9">
      <c r="B241"/>
      <c r="C241"/>
      <c r="D241" s="89" t="str">
        <f>[1]Financing!$G$8</f>
        <v>Month 2 (Mar-20)</v>
      </c>
      <c r="E241" s="128">
        <f>[1]Financing!$E$8</f>
        <v>12</v>
      </c>
      <c r="G241"/>
      <c r="H241" s="43"/>
      <c r="I241" s="38"/>
    </row>
    <row r="242" spans="2:9">
      <c r="B242"/>
      <c r="C242"/>
      <c r="D242"/>
      <c r="G242"/>
      <c r="H242" s="43"/>
      <c r="I242" s="38"/>
    </row>
    <row r="243" spans="2:9" s="27" customFormat="1">
      <c r="B243" s="130" t="s">
        <v>436</v>
      </c>
      <c r="C243" s="130"/>
      <c r="D243" s="130"/>
      <c r="E243" s="130"/>
      <c r="F243" s="130"/>
      <c r="G243" s="130"/>
      <c r="H243" s="130"/>
      <c r="I243" s="130"/>
    </row>
    <row r="244" spans="2:9" s="27" customFormat="1">
      <c r="B244" s="38" t="s">
        <v>136</v>
      </c>
      <c r="C244"/>
      <c r="D244" s="38" t="s">
        <v>133</v>
      </c>
      <c r="E244" s="38" t="s">
        <v>134</v>
      </c>
      <c r="F244" s="38" t="s">
        <v>138</v>
      </c>
      <c r="G244" s="38" t="s">
        <v>139</v>
      </c>
      <c r="H244" s="38" t="s">
        <v>140</v>
      </c>
      <c r="I244" s="38" t="s">
        <v>135</v>
      </c>
    </row>
    <row r="245" spans="2:9" s="27" customFormat="1">
      <c r="B245" s="58">
        <f>[1]Financing!$C$13</f>
        <v>200000000</v>
      </c>
      <c r="C245"/>
      <c r="D245" s="128">
        <f>[1]Financing!$D$13</f>
        <v>36</v>
      </c>
      <c r="E245" s="129">
        <f>[1]Financing!$F$13</f>
        <v>0.13</v>
      </c>
      <c r="F245" s="123">
        <v>0.01</v>
      </c>
      <c r="G245" s="123">
        <v>0.01</v>
      </c>
      <c r="H245" s="351">
        <v>2.5000000000000001E-3</v>
      </c>
      <c r="I245" s="58">
        <f>IFERROR(PMT(E245/12,D245,B245),0)</f>
        <v>-6738790.4006583551</v>
      </c>
    </row>
    <row r="246" spans="2:9">
      <c r="B246"/>
      <c r="C246"/>
      <c r="D246" s="38" t="s">
        <v>208</v>
      </c>
      <c r="E246" s="38" t="s">
        <v>387</v>
      </c>
      <c r="G246"/>
      <c r="H246" s="43"/>
      <c r="I246" s="38"/>
    </row>
    <row r="247" spans="2:9">
      <c r="B247"/>
      <c r="C247"/>
      <c r="D247" s="89" t="str">
        <f>[1]Financing!$G$13</f>
        <v>Month 2 (Mar-20)</v>
      </c>
      <c r="E247" s="128">
        <f>[1]Financing!$E$13</f>
        <v>6</v>
      </c>
      <c r="G247"/>
      <c r="H247" s="43"/>
      <c r="I247" s="38"/>
    </row>
    <row r="248" spans="2:9">
      <c r="B248"/>
      <c r="C248"/>
      <c r="D248"/>
      <c r="G248"/>
      <c r="H248" s="43"/>
      <c r="I248" s="38"/>
    </row>
    <row r="249" spans="2:9" s="27" customFormat="1">
      <c r="B249" s="130" t="s">
        <v>141</v>
      </c>
      <c r="C249" s="130"/>
      <c r="D249" s="130"/>
      <c r="E249" s="130"/>
      <c r="F249" s="130"/>
      <c r="G249" s="130"/>
      <c r="H249" s="130"/>
      <c r="I249" s="130"/>
    </row>
    <row r="250" spans="2:9">
      <c r="B250" s="117" t="s">
        <v>142</v>
      </c>
      <c r="C250"/>
      <c r="F250" s="43"/>
      <c r="G250" s="457" t="s">
        <v>143</v>
      </c>
      <c r="H250" s="509"/>
      <c r="I250" s="59">
        <f>I239+I245</f>
        <v>-23736426.169672973</v>
      </c>
    </row>
    <row r="251" spans="2:9">
      <c r="B251" s="59">
        <f>B239+B245</f>
        <v>1000000000</v>
      </c>
      <c r="C251"/>
      <c r="D251"/>
      <c r="F251" s="43"/>
      <c r="G251"/>
      <c r="H251" s="43"/>
      <c r="I251"/>
    </row>
    <row r="252" spans="2:9" customFormat="1"/>
    <row r="253" spans="2:9" s="27" customFormat="1">
      <c r="B253" s="130" t="s">
        <v>144</v>
      </c>
      <c r="C253" s="130"/>
      <c r="D253" s="130"/>
      <c r="E253" s="130"/>
      <c r="F253" s="130"/>
      <c r="G253" s="130"/>
      <c r="H253" s="130"/>
      <c r="I253" s="130"/>
    </row>
    <row r="254" spans="2:9" customFormat="1"/>
    <row r="255" spans="2:9" s="27" customFormat="1">
      <c r="B255" s="321" t="s">
        <v>133</v>
      </c>
      <c r="D255" s="117" t="s">
        <v>145</v>
      </c>
      <c r="F255" s="507" t="s">
        <v>363</v>
      </c>
      <c r="G255" s="507"/>
      <c r="I255" s="117" t="s">
        <v>145</v>
      </c>
    </row>
    <row r="256" spans="2:9" s="27" customFormat="1">
      <c r="B256" s="118">
        <f>D239</f>
        <v>60</v>
      </c>
      <c r="C256" s="120" t="s">
        <v>146</v>
      </c>
      <c r="D256" s="57">
        <f>'Model Data'!E20</f>
        <v>54</v>
      </c>
      <c r="F256"/>
      <c r="G256" s="57">
        <f>IFERROR((G106+G107)/G130*365, "N/A")</f>
        <v>352.25049334629523</v>
      </c>
      <c r="H256" s="120" t="s">
        <v>146</v>
      </c>
      <c r="I256" s="57">
        <f>'Model Data'!G20</f>
        <v>1500</v>
      </c>
    </row>
    <row r="257" spans="2:9" s="27" customFormat="1">
      <c r="C257" s="121"/>
      <c r="F257" s="121"/>
      <c r="G257" s="120"/>
    </row>
    <row r="258" spans="2:9" s="27" customFormat="1" ht="14.85" customHeight="1">
      <c r="B258" s="321" t="s">
        <v>147</v>
      </c>
      <c r="C258" s="120"/>
      <c r="D258" s="117" t="s">
        <v>145</v>
      </c>
      <c r="F258" s="507" t="s">
        <v>364</v>
      </c>
      <c r="G258" s="507"/>
      <c r="I258" s="117" t="s">
        <v>145</v>
      </c>
    </row>
    <row r="259" spans="2:9" s="27" customFormat="1">
      <c r="B259" s="60">
        <f>IFERROR(HLOOKUP(EOMONTH([1]Financing!$J$8, 0), '[1]Balance Sheet'!$D$7:$O$29, 16)/HLOOKUP(EOMONTH([1]Financing!$J$8, 0), '[1]Balance Sheet'!$D$7:$O$29, 18),"N/A")</f>
        <v>0.77759835414774092</v>
      </c>
      <c r="C259" s="120" t="s">
        <v>146</v>
      </c>
      <c r="D259" s="60">
        <f>'Model Data'!F20</f>
        <v>1.5</v>
      </c>
      <c r="G259" s="60">
        <f>IFERROR(G130/ABS(G123),"N/A")</f>
        <v>6.6249906323792569</v>
      </c>
      <c r="H259" s="120" t="s">
        <v>152</v>
      </c>
      <c r="I259" s="60">
        <f>'Model Data'!H20</f>
        <v>3</v>
      </c>
    </row>
    <row r="260" spans="2:9" s="27" customFormat="1">
      <c r="F260"/>
      <c r="G260" s="121"/>
    </row>
    <row r="261" spans="2:9">
      <c r="B261" s="141" t="str">
        <f>[1]Assets!B6</f>
        <v>ASSET DESCRIPTION</v>
      </c>
      <c r="C261" s="141" t="str">
        <f>[1]Assets!C6</f>
        <v>VALUE</v>
      </c>
      <c r="D261" s="141" t="str">
        <f>[1]Assets!D6</f>
        <v>MONTH PURCHASED</v>
      </c>
      <c r="E261" s="141" t="str">
        <f>[1]Assets!E6</f>
        <v>DEPRECIATION</v>
      </c>
      <c r="F261" s="141" t="str">
        <f>[1]Assets!F6</f>
        <v>MONTH SOLD</v>
      </c>
      <c r="G261" s="141" t="str">
        <f>[1]Assets!G6</f>
        <v>SALE PRICE</v>
      </c>
    </row>
    <row r="262" spans="2:9">
      <c r="B262" s="9" t="str">
        <f>IF(ISBLANK([1]Assets!B7),"",[1]Assets!B7)</f>
        <v>Infrastructure upgrade</v>
      </c>
      <c r="C262" s="142">
        <f>IF(ISBLANK([1]Assets!C7),"",[1]Assets!C7)</f>
        <v>800000000</v>
      </c>
      <c r="D262" s="89" t="str">
        <f>IF(ISBLANK([1]Assets!D7),"",[1]Assets!D7)</f>
        <v>Month 2 (Mar-20)</v>
      </c>
      <c r="E262" s="9">
        <f>IF(ISBLANK([1]Assets!E7),"",[1]Assets!E7)</f>
        <v>3</v>
      </c>
      <c r="F262" s="89" t="str">
        <f>IF(ISBLANK([1]Assets!F7),"",[1]Assets!F7)</f>
        <v/>
      </c>
      <c r="G262" s="142">
        <f>IF(ISBLANK([1]Assets!G7),"",[1]Assets!G7)</f>
        <v>0</v>
      </c>
    </row>
    <row r="263" spans="2:9">
      <c r="B263" s="9" t="str">
        <f>IF(ISBLANK([1]Assets!B8),"",[1]Assets!B8)</f>
        <v/>
      </c>
      <c r="C263" s="142" t="str">
        <f>IF(ISBLANK([1]Assets!C8),"",[1]Assets!C8)</f>
        <v/>
      </c>
      <c r="D263" s="89" t="str">
        <f>IF(ISBLANK([1]Assets!D8),"",[1]Assets!D8)</f>
        <v/>
      </c>
      <c r="E263" s="9" t="str">
        <f>IF(ISBLANK([1]Assets!E8),"",[1]Assets!E8)</f>
        <v/>
      </c>
      <c r="F263" s="89" t="str">
        <f>IF(ISBLANK([1]Assets!F8),"",[1]Assets!F8)</f>
        <v/>
      </c>
      <c r="G263" s="142" t="str">
        <f>IF(ISBLANK([1]Assets!G8),"",[1]Assets!G8)</f>
        <v/>
      </c>
    </row>
    <row r="264" spans="2:9">
      <c r="B264" s="9" t="str">
        <f>IF(ISBLANK([1]Assets!B9),"",[1]Assets!B9)</f>
        <v/>
      </c>
      <c r="C264" s="142" t="str">
        <f>IF(ISBLANK([1]Assets!C9),"",[1]Assets!C9)</f>
        <v/>
      </c>
      <c r="D264" s="89" t="str">
        <f>IF(ISBLANK([1]Assets!D9),"",[1]Assets!D9)</f>
        <v/>
      </c>
      <c r="E264" s="9" t="str">
        <f>IF(ISBLANK([1]Assets!E9),"",[1]Assets!E9)</f>
        <v/>
      </c>
      <c r="F264" s="89" t="str">
        <f>IF(ISBLANK([1]Assets!F9),"",[1]Assets!F9)</f>
        <v/>
      </c>
      <c r="G264" s="142" t="str">
        <f>IF(ISBLANK([1]Assets!G9),"",[1]Assets!G9)</f>
        <v/>
      </c>
    </row>
    <row r="265" spans="2:9">
      <c r="B265" s="9" t="str">
        <f>IF(ISBLANK([1]Assets!B10),"",[1]Assets!B10)</f>
        <v/>
      </c>
      <c r="C265" s="142" t="str">
        <f>IF(ISBLANK([1]Assets!C10),"",[1]Assets!C10)</f>
        <v/>
      </c>
      <c r="D265" s="89" t="str">
        <f>IF(ISBLANK([1]Assets!D10),"",[1]Assets!D10)</f>
        <v/>
      </c>
      <c r="E265" s="9" t="str">
        <f>IF(ISBLANK([1]Assets!E10),"",[1]Assets!E10)</f>
        <v/>
      </c>
      <c r="F265" s="89" t="str">
        <f>IF(ISBLANK([1]Assets!F10),"",[1]Assets!F10)</f>
        <v/>
      </c>
      <c r="G265" s="142" t="str">
        <f>IF(ISBLANK([1]Assets!G10),"",[1]Assets!G10)</f>
        <v/>
      </c>
    </row>
    <row r="266" spans="2:9">
      <c r="B266" s="9" t="str">
        <f>IF(ISBLANK([1]Assets!B11),"",[1]Assets!B11)</f>
        <v/>
      </c>
      <c r="C266" s="142" t="str">
        <f>IF(ISBLANK([1]Assets!C11),"",[1]Assets!C11)</f>
        <v/>
      </c>
      <c r="D266" s="89" t="str">
        <f>IF(ISBLANK([1]Assets!D11),"",[1]Assets!D11)</f>
        <v/>
      </c>
      <c r="E266" s="9" t="str">
        <f>IF(ISBLANK([1]Assets!E11),"",[1]Assets!E11)</f>
        <v/>
      </c>
      <c r="F266" s="89" t="str">
        <f>IF(ISBLANK([1]Assets!F11),"",[1]Assets!F11)</f>
        <v/>
      </c>
      <c r="G266" s="142" t="str">
        <f>IF(ISBLANK([1]Assets!G11),"",[1]Assets!G11)</f>
        <v/>
      </c>
    </row>
    <row r="267" spans="2:9">
      <c r="B267" s="9" t="str">
        <f>IF(ISBLANK([1]Assets!B12),"",[1]Assets!B12)</f>
        <v/>
      </c>
      <c r="C267" s="142" t="str">
        <f>IF(ISBLANK([1]Assets!C12),"",[1]Assets!C12)</f>
        <v/>
      </c>
      <c r="D267" s="89" t="str">
        <f>IF(ISBLANK([1]Assets!D12),"",[1]Assets!D12)</f>
        <v/>
      </c>
      <c r="E267" s="9" t="str">
        <f>IF(ISBLANK([1]Assets!E12),"",[1]Assets!E12)</f>
        <v/>
      </c>
      <c r="F267" s="89" t="str">
        <f>IF(ISBLANK([1]Assets!F12),"",[1]Assets!F12)</f>
        <v/>
      </c>
      <c r="G267" s="142" t="str">
        <f>IF(ISBLANK([1]Assets!G12),"",[1]Assets!G12)</f>
        <v/>
      </c>
    </row>
    <row r="268" spans="2:9">
      <c r="B268" s="9" t="str">
        <f>IF(ISBLANK([1]Assets!B13),"",[1]Assets!B13)</f>
        <v/>
      </c>
      <c r="C268" s="142" t="str">
        <f>IF(ISBLANK([1]Assets!C13),"",[1]Assets!C13)</f>
        <v/>
      </c>
      <c r="D268" s="89" t="str">
        <f>IF(ISBLANK([1]Assets!D13),"",[1]Assets!D13)</f>
        <v/>
      </c>
      <c r="E268" s="9" t="str">
        <f>IF(ISBLANK([1]Assets!E13),"",[1]Assets!E13)</f>
        <v/>
      </c>
      <c r="F268" s="89" t="str">
        <f>IF(ISBLANK([1]Assets!F13),"",[1]Assets!F13)</f>
        <v/>
      </c>
      <c r="G268" s="142" t="str">
        <f>IF(ISBLANK([1]Assets!G13),"",[1]Assets!G13)</f>
        <v/>
      </c>
    </row>
    <row r="269" spans="2:9">
      <c r="B269" s="9" t="str">
        <f>IF(ISBLANK([1]Assets!B14),"",[1]Assets!B14)</f>
        <v/>
      </c>
      <c r="C269" s="142" t="str">
        <f>IF(ISBLANK([1]Assets!C14),"",[1]Assets!C14)</f>
        <v/>
      </c>
      <c r="D269" s="89" t="str">
        <f>IF(ISBLANK([1]Assets!D14),"",[1]Assets!D14)</f>
        <v/>
      </c>
      <c r="E269" s="9" t="str">
        <f>IF(ISBLANK([1]Assets!E14),"",[1]Assets!E14)</f>
        <v/>
      </c>
      <c r="F269" s="89" t="str">
        <f>IF(ISBLANK([1]Assets!F14),"",[1]Assets!F14)</f>
        <v/>
      </c>
      <c r="G269" s="142" t="str">
        <f>IF(ISBLANK([1]Assets!G14),"",[1]Assets!G14)</f>
        <v/>
      </c>
    </row>
  </sheetData>
  <sheetProtection algorithmName="SHA-512" hashValue="TTpR11wZ8TImiWezsyoiaaKo6gEJahl4UA1rDZvIQoXW3iFMss7WLph0q0cxUyJhpplXaNG+ROs7AZYs6b6QZw==" saltValue="RWihk7LCIBVYDfs6TIgy5A==" spinCount="100000" sheet="1" selectLockedCells="1"/>
  <mergeCells count="200">
    <mergeCell ref="B235:D235"/>
    <mergeCell ref="E233:F233"/>
    <mergeCell ref="C119:E119"/>
    <mergeCell ref="C126:E126"/>
    <mergeCell ref="C168:F168"/>
    <mergeCell ref="C169:F169"/>
    <mergeCell ref="B167:B172"/>
    <mergeCell ref="B144:B146"/>
    <mergeCell ref="B147:B149"/>
    <mergeCell ref="C172:F172"/>
    <mergeCell ref="E170:F170"/>
    <mergeCell ref="C171:F171"/>
    <mergeCell ref="C170:D170"/>
    <mergeCell ref="C125:E125"/>
    <mergeCell ref="C123:E123"/>
    <mergeCell ref="C121:E121"/>
    <mergeCell ref="B200:B211"/>
    <mergeCell ref="C200:D200"/>
    <mergeCell ref="E200:F200"/>
    <mergeCell ref="C134:E134"/>
    <mergeCell ref="C176:D176"/>
    <mergeCell ref="B182:B199"/>
    <mergeCell ref="E167:F167"/>
    <mergeCell ref="C194:D194"/>
    <mergeCell ref="E194:F194"/>
    <mergeCell ref="I221:J221"/>
    <mergeCell ref="I154:J154"/>
    <mergeCell ref="I156:J156"/>
    <mergeCell ref="I158:J158"/>
    <mergeCell ref="I160:J160"/>
    <mergeCell ref="I162:J162"/>
    <mergeCell ref="C189:F189"/>
    <mergeCell ref="E188:F188"/>
    <mergeCell ref="C182:D182"/>
    <mergeCell ref="E182:F182"/>
    <mergeCell ref="C183:F183"/>
    <mergeCell ref="C184:F184"/>
    <mergeCell ref="C188:D188"/>
    <mergeCell ref="C190:F190"/>
    <mergeCell ref="E191:F191"/>
    <mergeCell ref="I213:J213"/>
    <mergeCell ref="B164:E164"/>
    <mergeCell ref="I217:J217"/>
    <mergeCell ref="I215:J215"/>
    <mergeCell ref="B173:B181"/>
    <mergeCell ref="C180:F180"/>
    <mergeCell ref="C192:F192"/>
    <mergeCell ref="C193:F193"/>
    <mergeCell ref="C151:D151"/>
    <mergeCell ref="C152:D152"/>
    <mergeCell ref="B116:B128"/>
    <mergeCell ref="B45:C45"/>
    <mergeCell ref="B47:C47"/>
    <mergeCell ref="C148:D148"/>
    <mergeCell ref="C112:E112"/>
    <mergeCell ref="C113:E113"/>
    <mergeCell ref="C114:E114"/>
    <mergeCell ref="C116:E116"/>
    <mergeCell ref="C133:E133"/>
    <mergeCell ref="D136:E136"/>
    <mergeCell ref="C120:E120"/>
    <mergeCell ref="C122:E122"/>
    <mergeCell ref="C127:E127"/>
    <mergeCell ref="C142:D142"/>
    <mergeCell ref="C147:D147"/>
    <mergeCell ref="I92:J92"/>
    <mergeCell ref="I52:J52"/>
    <mergeCell ref="I54:J54"/>
    <mergeCell ref="I56:J56"/>
    <mergeCell ref="I58:J58"/>
    <mergeCell ref="B35:E35"/>
    <mergeCell ref="B37:C37"/>
    <mergeCell ref="B49:C49"/>
    <mergeCell ref="F44:G44"/>
    <mergeCell ref="B41:D41"/>
    <mergeCell ref="B39:C39"/>
    <mergeCell ref="B43:C43"/>
    <mergeCell ref="B63:C63"/>
    <mergeCell ref="B66:C66"/>
    <mergeCell ref="B57:C57"/>
    <mergeCell ref="B68:D68"/>
    <mergeCell ref="I88:J88"/>
    <mergeCell ref="I90:J90"/>
    <mergeCell ref="I50:J50"/>
    <mergeCell ref="F258:G258"/>
    <mergeCell ref="C117:E117"/>
    <mergeCell ref="C118:E118"/>
    <mergeCell ref="C124:E124"/>
    <mergeCell ref="B51:C51"/>
    <mergeCell ref="B55:C55"/>
    <mergeCell ref="C103:E103"/>
    <mergeCell ref="C100:E100"/>
    <mergeCell ref="C101:E101"/>
    <mergeCell ref="C102:E102"/>
    <mergeCell ref="C110:E110"/>
    <mergeCell ref="C111:E111"/>
    <mergeCell ref="C185:D185"/>
    <mergeCell ref="E185:F185"/>
    <mergeCell ref="C186:F186"/>
    <mergeCell ref="C187:F187"/>
    <mergeCell ref="B61:C61"/>
    <mergeCell ref="C205:F205"/>
    <mergeCell ref="C104:E104"/>
    <mergeCell ref="C128:E128"/>
    <mergeCell ref="E197:F197"/>
    <mergeCell ref="E176:F176"/>
    <mergeCell ref="C177:F177"/>
    <mergeCell ref="G138:I138"/>
    <mergeCell ref="B228:C228"/>
    <mergeCell ref="B230:C230"/>
    <mergeCell ref="B94:E94"/>
    <mergeCell ref="I219:J219"/>
    <mergeCell ref="C107:E107"/>
    <mergeCell ref="C108:E108"/>
    <mergeCell ref="B97:B114"/>
    <mergeCell ref="C97:E97"/>
    <mergeCell ref="C211:F211"/>
    <mergeCell ref="C203:D203"/>
    <mergeCell ref="E203:F203"/>
    <mergeCell ref="C204:F204"/>
    <mergeCell ref="C130:E130"/>
    <mergeCell ref="C131:E131"/>
    <mergeCell ref="C132:E132"/>
    <mergeCell ref="B141:B143"/>
    <mergeCell ref="B225:C225"/>
    <mergeCell ref="B227:C227"/>
    <mergeCell ref="B229:C229"/>
    <mergeCell ref="C198:F198"/>
    <mergeCell ref="C199:F199"/>
    <mergeCell ref="C178:F178"/>
    <mergeCell ref="C144:D144"/>
    <mergeCell ref="C145:D145"/>
    <mergeCell ref="G250:H250"/>
    <mergeCell ref="F255:G255"/>
    <mergeCell ref="C196:F196"/>
    <mergeCell ref="C191:D191"/>
    <mergeCell ref="B150:B152"/>
    <mergeCell ref="C173:D173"/>
    <mergeCell ref="B223:C223"/>
    <mergeCell ref="C201:F201"/>
    <mergeCell ref="C202:F202"/>
    <mergeCell ref="C206:D206"/>
    <mergeCell ref="E206:F206"/>
    <mergeCell ref="C207:F207"/>
    <mergeCell ref="C208:F208"/>
    <mergeCell ref="C209:D209"/>
    <mergeCell ref="E209:F209"/>
    <mergeCell ref="C210:F210"/>
    <mergeCell ref="C179:D179"/>
    <mergeCell ref="E179:F179"/>
    <mergeCell ref="E231:F231"/>
    <mergeCell ref="B226:C226"/>
    <mergeCell ref="E166:F166"/>
    <mergeCell ref="C175:F175"/>
    <mergeCell ref="C195:F195"/>
    <mergeCell ref="C197:D197"/>
    <mergeCell ref="C181:F181"/>
    <mergeCell ref="E173:F173"/>
    <mergeCell ref="C174:F174"/>
    <mergeCell ref="C141:D141"/>
    <mergeCell ref="B130:B134"/>
    <mergeCell ref="C167:D167"/>
    <mergeCell ref="C150:D150"/>
    <mergeCell ref="B12:C12"/>
    <mergeCell ref="B13:C13"/>
    <mergeCell ref="D15:E15"/>
    <mergeCell ref="C98:E98"/>
    <mergeCell ref="C99:E99"/>
    <mergeCell ref="C149:D149"/>
    <mergeCell ref="B15:C15"/>
    <mergeCell ref="B21:C21"/>
    <mergeCell ref="D21:E21"/>
    <mergeCell ref="C143:D143"/>
    <mergeCell ref="C146:D146"/>
    <mergeCell ref="C166:D166"/>
    <mergeCell ref="C105:E105"/>
    <mergeCell ref="C106:E106"/>
    <mergeCell ref="B17:C17"/>
    <mergeCell ref="D17:E17"/>
    <mergeCell ref="B59:C59"/>
    <mergeCell ref="E2:K2"/>
    <mergeCell ref="F46:G46"/>
    <mergeCell ref="F48:G48"/>
    <mergeCell ref="B25:C25"/>
    <mergeCell ref="D25:E25"/>
    <mergeCell ref="B27:E29"/>
    <mergeCell ref="I25:J25"/>
    <mergeCell ref="I27:J27"/>
    <mergeCell ref="I29:J29"/>
    <mergeCell ref="G22:H23"/>
    <mergeCell ref="D23:E23"/>
    <mergeCell ref="D8:F9"/>
    <mergeCell ref="B11:C11"/>
    <mergeCell ref="B4:C4"/>
    <mergeCell ref="B6:E6"/>
    <mergeCell ref="I31:J31"/>
    <mergeCell ref="I33:J33"/>
    <mergeCell ref="D4:K4"/>
    <mergeCell ref="B19:E19"/>
    <mergeCell ref="B23:C23"/>
  </mergeCells>
  <conditionalFormatting sqref="K33">
    <cfRule type="cellIs" dxfId="171" priority="170" operator="equal">
      <formula>"FAIL"</formula>
    </cfRule>
    <cfRule type="cellIs" dxfId="170" priority="171" operator="equal">
      <formula>"PASS"</formula>
    </cfRule>
  </conditionalFormatting>
  <conditionalFormatting sqref="K162">
    <cfRule type="cellIs" dxfId="169" priority="164" operator="equal">
      <formula>"FAIL"</formula>
    </cfRule>
    <cfRule type="cellIs" dxfId="168" priority="165" operator="equal">
      <formula>"PASS"</formula>
    </cfRule>
  </conditionalFormatting>
  <conditionalFormatting sqref="K221">
    <cfRule type="cellIs" dxfId="167" priority="162" operator="equal">
      <formula>"FAIL"</formula>
    </cfRule>
    <cfRule type="cellIs" dxfId="166" priority="163" operator="equal">
      <formula>"PASS"</formula>
    </cfRule>
  </conditionalFormatting>
  <conditionalFormatting sqref="H137">
    <cfRule type="cellIs" dxfId="165" priority="147" operator="equal">
      <formula>"FAIL"</formula>
    </cfRule>
    <cfRule type="cellIs" dxfId="164" priority="148" operator="equal">
      <formula>"PASS"</formula>
    </cfRule>
  </conditionalFormatting>
  <conditionalFormatting sqref="I137">
    <cfRule type="cellIs" dxfId="163" priority="145" operator="equal">
      <formula>"FAIL"</formula>
    </cfRule>
    <cfRule type="cellIs" dxfId="162" priority="146" operator="equal">
      <formula>"PASS"</formula>
    </cfRule>
  </conditionalFormatting>
  <conditionalFormatting sqref="G136">
    <cfRule type="cellIs" dxfId="161" priority="138" operator="equal">
      <formula>"FAIL"</formula>
    </cfRule>
    <cfRule type="cellIs" dxfId="160" priority="139" operator="equal">
      <formula>"PASS"</formula>
    </cfRule>
  </conditionalFormatting>
  <conditionalFormatting sqref="H136">
    <cfRule type="cellIs" dxfId="159" priority="132" operator="equal">
      <formula>"FAIL"</formula>
    </cfRule>
    <cfRule type="cellIs" dxfId="158" priority="133" operator="equal">
      <formula>"PASS"</formula>
    </cfRule>
  </conditionalFormatting>
  <conditionalFormatting sqref="I141:I152">
    <cfRule type="colorScale" priority="109">
      <colorScale>
        <cfvo type="min"/>
        <cfvo type="percentile" val="50"/>
        <cfvo type="max"/>
        <color rgb="FFFF0000"/>
        <color rgb="FFFFC000"/>
        <color rgb="FF92D050"/>
      </colorScale>
    </cfRule>
  </conditionalFormatting>
  <conditionalFormatting sqref="K58">
    <cfRule type="cellIs" dxfId="157" priority="102" operator="equal">
      <formula>"FAIL"</formula>
    </cfRule>
    <cfRule type="cellIs" dxfId="156" priority="103" operator="equal">
      <formula>"PASS"</formula>
    </cfRule>
  </conditionalFormatting>
  <conditionalFormatting sqref="K92">
    <cfRule type="cellIs" dxfId="155" priority="100" operator="equal">
      <formula>"FAIL"</formula>
    </cfRule>
    <cfRule type="cellIs" dxfId="154" priority="101" operator="equal">
      <formula>"PASS"</formula>
    </cfRule>
  </conditionalFormatting>
  <conditionalFormatting sqref="I136">
    <cfRule type="cellIs" dxfId="153" priority="98" operator="equal">
      <formula>"FAIL"</formula>
    </cfRule>
    <cfRule type="cellIs" dxfId="152" priority="99" operator="equal">
      <formula>"PASS"</formula>
    </cfRule>
  </conditionalFormatting>
  <conditionalFormatting sqref="D226:D230">
    <cfRule type="cellIs" dxfId="151" priority="80" operator="equal">
      <formula>"FAIL"</formula>
    </cfRule>
    <cfRule type="cellIs" dxfId="150" priority="81" operator="equal">
      <formula>"PASS"</formula>
    </cfRule>
  </conditionalFormatting>
  <conditionalFormatting sqref="D256">
    <cfRule type="expression" dxfId="149" priority="58">
      <formula>B256&lt;=D256</formula>
    </cfRule>
    <cfRule type="expression" dxfId="148" priority="59">
      <formula>B256&gt;D256</formula>
    </cfRule>
  </conditionalFormatting>
  <conditionalFormatting sqref="D259">
    <cfRule type="expression" dxfId="147" priority="46">
      <formula>B259&lt;=D259</formula>
    </cfRule>
    <cfRule type="expression" dxfId="146" priority="47">
      <formula>B259&gt;D259</formula>
    </cfRule>
  </conditionalFormatting>
  <conditionalFormatting sqref="I256">
    <cfRule type="expression" dxfId="145" priority="44">
      <formula>G256&lt;=I256</formula>
    </cfRule>
    <cfRule type="expression" dxfId="144" priority="45">
      <formula>G256&gt;I256</formula>
    </cfRule>
  </conditionalFormatting>
  <conditionalFormatting sqref="I259">
    <cfRule type="expression" dxfId="143" priority="42">
      <formula>G259&gt;=I259</formula>
    </cfRule>
    <cfRule type="expression" dxfId="142" priority="43">
      <formula>G259&lt;I259</formula>
    </cfRule>
  </conditionalFormatting>
  <conditionalFormatting sqref="D13">
    <cfRule type="cellIs" dxfId="141" priority="38" operator="equal">
      <formula>"FAIL"</formula>
    </cfRule>
    <cfRule type="cellIs" dxfId="140" priority="39" operator="equal">
      <formula>"PASS"</formula>
    </cfRule>
  </conditionalFormatting>
  <conditionalFormatting sqref="D11">
    <cfRule type="cellIs" dxfId="139" priority="40" operator="equal">
      <formula>"FAIL"</formula>
    </cfRule>
    <cfRule type="cellIs" dxfId="138" priority="41" operator="equal">
      <formula>"PASS"</formula>
    </cfRule>
  </conditionalFormatting>
  <conditionalFormatting sqref="G233">
    <cfRule type="cellIs" dxfId="137" priority="34" operator="equal">
      <formula>"FAIL"</formula>
    </cfRule>
    <cfRule type="cellIs" dxfId="136" priority="35" operator="equal">
      <formula>"PASS"</formula>
    </cfRule>
  </conditionalFormatting>
  <conditionalFormatting sqref="I48">
    <cfRule type="expression" dxfId="135" priority="11">
      <formula>I48=1</formula>
    </cfRule>
    <cfRule type="expression" dxfId="134" priority="12">
      <formula>I48=2</formula>
    </cfRule>
    <cfRule type="expression" dxfId="133" priority="13">
      <formula>I48=3</formula>
    </cfRule>
    <cfRule type="expression" dxfId="132" priority="14">
      <formula>I48=4</formula>
    </cfRule>
    <cfRule type="expression" dxfId="131" priority="15">
      <formula>I48=5</formula>
    </cfRule>
  </conditionalFormatting>
  <conditionalFormatting sqref="I46">
    <cfRule type="expression" dxfId="130" priority="6">
      <formula>I46=1</formula>
    </cfRule>
    <cfRule type="expression" dxfId="129" priority="7">
      <formula>I46=2</formula>
    </cfRule>
    <cfRule type="expression" dxfId="128" priority="8">
      <formula>I46=3</formula>
    </cfRule>
    <cfRule type="expression" dxfId="127" priority="9">
      <formula>I46=4</formula>
    </cfRule>
    <cfRule type="expression" dxfId="126" priority="10">
      <formula>I46=5</formula>
    </cfRule>
  </conditionalFormatting>
  <conditionalFormatting sqref="I44">
    <cfRule type="expression" dxfId="125" priority="1">
      <formula>I44=1</formula>
    </cfRule>
    <cfRule type="expression" dxfId="124" priority="2">
      <formula>I44=2</formula>
    </cfRule>
    <cfRule type="expression" dxfId="123" priority="3">
      <formula>I44=3</formula>
    </cfRule>
    <cfRule type="expression" dxfId="122" priority="4">
      <formula>I44=4</formula>
    </cfRule>
    <cfRule type="expression" dxfId="121" priority="5">
      <formula>I44=5</formula>
    </cfRule>
  </conditionalFormatting>
  <dataValidations xWindow="885" yWindow="562" count="8">
    <dataValidation allowBlank="1" showInputMessage="1" showErrorMessage="1" promptTitle="Enter Comments" prompt="Please enter a brief comment justifying the proposed rating." sqref="C169:E169 C172:E172 C178:E178 C175:E175 C181:E181 C196:E196 C187:E187 C193:E193 C184:E184 C190:E190 C199:E199 C208:E208 C211:E211 C202:E202 C205:E205"/>
    <dataValidation type="list" allowBlank="1" showInputMessage="1" showErrorMessage="1" promptTitle="Enter Rating" prompt="Please select the appropriate rating from the dropdown list." sqref="E200 E167 E176 E170 E173 E194 E179 E191 E188 E185 E182 E206 E197 E203 E209">
      <formula1>INDIRECT("Rating_Scores[Rating]")</formula1>
    </dataValidation>
    <dataValidation type="list" allowBlank="1" showInputMessage="1" showErrorMessage="1" promptTitle="Enter Industry Sector" prompt="Please select the applicable Industry Sector from the dropdown list. If the relevant Industry Sector is not shown, please select 'Default' for the time being." sqref="G22">
      <formula1>INDIRECT("Industry_Sector_Ratings[Industry Sector]")</formula1>
    </dataValidation>
    <dataValidation allowBlank="1" showInputMessage="1" showErrorMessage="1" promptTitle="Enter Customer's Full Name" prompt="Please enter the Customer's full name, as it appears on their Certificate of Registration of Company Name." sqref="D23"/>
    <dataValidation type="list" allowBlank="1" showInputMessage="1" promptTitle="Enter Project Officer" prompt="Please select the Project Officer's name from the dropdown list. If the name does not appear in the list, please type the name as free text." sqref="D17">
      <formula1>INDIRECT(SUBSTITUTE(D15," ",""))</formula1>
    </dataValidation>
    <dataValidation type="list" allowBlank="1" showInputMessage="1" showErrorMessage="1" promptTitle="Enter Fin. S/ment Peer Group" prompt="For the model to use the right scoring parameters, you must select the 'Peer Group' that most reflects the financial operations of the Customer" sqref="D25">
      <formula1>INDIRECT("Financial_Statement_Peer_Group")</formula1>
    </dataValidation>
    <dataValidation type="list" allowBlank="1" showInputMessage="1" showErrorMessage="1" sqref="D12">
      <formula1>INDIRECT("Yes_or_No[Yes or No]")</formula1>
    </dataValidation>
    <dataValidation type="list" allowBlank="1" showInputMessage="1" promptTitle="Enter State Office" prompt="Please select the relevant State Office." sqref="D15:E15">
      <formula1>INDIRECT("State_Offices")</formula1>
    </dataValidation>
  </dataValidations>
  <pageMargins left="0.7" right="0.7" top="0.75" bottom="0.75" header="0.3" footer="0.3"/>
  <pageSetup scale="51" fitToHeight="0" orientation="portrait" r:id="rId1"/>
  <rowBreaks count="4" manualBreakCount="4">
    <brk id="67" min="1" max="10" man="1"/>
    <brk id="139" min="1" max="10" man="1"/>
    <brk id="162" min="1" max="10" man="1"/>
    <brk id="199" min="1" max="10" man="1"/>
  </rowBreaks>
  <colBreaks count="1" manualBreakCount="1">
    <brk id="10" min="1" max="268" man="1"/>
  </col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I108"/>
  <sheetViews>
    <sheetView showGridLines="0" view="pageBreakPreview" topLeftCell="B59" zoomScale="85" zoomScaleNormal="85" zoomScaleSheetLayoutView="85" workbookViewId="0">
      <selection activeCell="F78" sqref="F78"/>
    </sheetView>
  </sheetViews>
  <sheetFormatPr defaultColWidth="8.85546875" defaultRowHeight="15"/>
  <cols>
    <col min="1" max="1" width="5.5703125" style="356" customWidth="1"/>
    <col min="2" max="6" width="23.140625" style="356" customWidth="1"/>
    <col min="7" max="7" width="32.85546875" style="356" customWidth="1"/>
    <col min="8" max="8" width="22.85546875" style="356" customWidth="1"/>
    <col min="9" max="9" width="17.85546875" style="356" customWidth="1"/>
    <col min="10" max="16384" width="8.85546875" style="356"/>
  </cols>
  <sheetData>
    <row r="2" spans="2:9" ht="64.5" customHeight="1">
      <c r="B2" s="357"/>
      <c r="C2" s="357"/>
      <c r="D2" s="552" t="s">
        <v>564</v>
      </c>
      <c r="E2" s="552"/>
      <c r="F2" s="552"/>
      <c r="G2" s="552"/>
      <c r="H2" s="552"/>
      <c r="I2" s="358"/>
    </row>
    <row r="3" spans="2:9" ht="14.1" customHeight="1"/>
    <row r="5" spans="2:9" ht="25.5">
      <c r="B5" s="553" t="s">
        <v>384</v>
      </c>
      <c r="C5" s="553"/>
      <c r="D5" s="553"/>
      <c r="F5" s="359" t="s">
        <v>371</v>
      </c>
    </row>
    <row r="6" spans="2:9" ht="18">
      <c r="B6" s="360"/>
      <c r="C6" s="360"/>
      <c r="D6" s="360"/>
      <c r="F6" s="416" t="s">
        <v>473</v>
      </c>
      <c r="G6" s="557"/>
      <c r="H6" s="558"/>
    </row>
    <row r="7" spans="2:9" ht="36">
      <c r="B7" s="360"/>
      <c r="C7" s="360"/>
      <c r="D7" s="360"/>
      <c r="F7" s="361" t="s">
        <v>372</v>
      </c>
      <c r="G7" s="455" t="s">
        <v>589</v>
      </c>
      <c r="H7" s="427"/>
    </row>
    <row r="8" spans="2:9" ht="18">
      <c r="B8" s="554" t="str">
        <f>CONCATENATE(IF(G18="Start-up", "₦", IF(G18="Existing", 'Credit Rating (Existing)'!D190, "")), TEXT(IF(G18="Start-up", 'Credit Rating (Start-up)'!B251, IF(G18="Existing", 'Credit Rating (Existing)'!B202, "")), "#,###"))</f>
        <v>₦1,000,000,000</v>
      </c>
      <c r="C8" s="554"/>
      <c r="D8" s="554"/>
      <c r="F8" s="361" t="s">
        <v>373</v>
      </c>
      <c r="G8" s="557">
        <v>1</v>
      </c>
      <c r="H8" s="558"/>
    </row>
    <row r="9" spans="2:9" ht="18">
      <c r="B9" s="554"/>
      <c r="C9" s="554"/>
      <c r="D9" s="554"/>
      <c r="F9" s="361" t="s">
        <v>374</v>
      </c>
      <c r="G9" s="562" t="str">
        <f>IF($G$18="Start-up",IF('Credit Rating (Start-up)'!D17=0,"",'Credit Rating (Start-up)'!D17), IF($G$18="Existing", IF('Credit Rating (Existing)'!C17=0,"", 'Credit Rating (Existing)'!C17), ""))</f>
        <v>SANDRA O. YOROH</v>
      </c>
      <c r="H9" s="563"/>
    </row>
    <row r="10" spans="2:9" ht="18">
      <c r="B10" s="554"/>
      <c r="C10" s="554"/>
      <c r="D10" s="554"/>
      <c r="F10" s="361" t="s">
        <v>375</v>
      </c>
      <c r="G10" s="561" t="s">
        <v>569</v>
      </c>
      <c r="H10" s="558"/>
    </row>
    <row r="11" spans="2:9" ht="18">
      <c r="B11" s="362"/>
      <c r="C11" s="362"/>
      <c r="D11" s="362"/>
      <c r="F11" s="361" t="s">
        <v>376</v>
      </c>
      <c r="G11" s="561" t="s">
        <v>569</v>
      </c>
      <c r="H11" s="558"/>
    </row>
    <row r="12" spans="2:9" ht="18">
      <c r="B12" s="362"/>
      <c r="C12" s="362"/>
      <c r="D12" s="362"/>
      <c r="F12" s="361" t="s">
        <v>377</v>
      </c>
      <c r="G12" s="561" t="s">
        <v>570</v>
      </c>
      <c r="H12" s="558"/>
    </row>
    <row r="13" spans="2:9" ht="17.45" customHeight="1">
      <c r="B13" s="362"/>
      <c r="C13" s="362"/>
      <c r="D13" s="362"/>
      <c r="F13" s="361" t="s">
        <v>378</v>
      </c>
      <c r="G13" s="561" t="s">
        <v>571</v>
      </c>
      <c r="H13" s="558"/>
    </row>
    <row r="14" spans="2:9" ht="18">
      <c r="B14" s="362"/>
      <c r="C14" s="362"/>
      <c r="D14" s="362"/>
      <c r="F14" s="361" t="s">
        <v>379</v>
      </c>
      <c r="G14" s="559">
        <v>43850</v>
      </c>
      <c r="H14" s="560"/>
    </row>
    <row r="15" spans="2:9" ht="16.5">
      <c r="B15" s="362"/>
      <c r="C15" s="362"/>
      <c r="D15" s="362"/>
    </row>
    <row r="16" spans="2:9" ht="24.6" customHeight="1" thickBot="1">
      <c r="B16" s="553" t="s">
        <v>385</v>
      </c>
      <c r="C16" s="553"/>
      <c r="D16" s="553"/>
      <c r="F16" s="415" t="s">
        <v>380</v>
      </c>
      <c r="G16" s="415"/>
    </row>
    <row r="17" spans="2:9" ht="26.25" thickTop="1">
      <c r="B17" s="363"/>
      <c r="C17" s="363"/>
      <c r="D17" s="363"/>
    </row>
    <row r="18" spans="2:9" ht="18">
      <c r="B18" s="564" t="str">
        <f>IF(G18="Start-up", 'Credit Rating (Start-up)'!D23, IF(G18="Existing", 'Credit Rating (Existing)'!B24, ""))</f>
        <v>ONE TERMINALS LIMITED</v>
      </c>
      <c r="C18" s="564"/>
      <c r="D18" s="564"/>
      <c r="F18" s="361" t="s">
        <v>209</v>
      </c>
      <c r="G18" s="454" t="s">
        <v>304</v>
      </c>
    </row>
    <row r="19" spans="2:9">
      <c r="B19" s="564"/>
      <c r="C19" s="564"/>
      <c r="D19" s="564"/>
    </row>
    <row r="20" spans="2:9">
      <c r="B20" s="564"/>
      <c r="C20" s="564"/>
      <c r="D20" s="564"/>
      <c r="F20" s="365" t="s">
        <v>381</v>
      </c>
      <c r="G20" s="365" t="s">
        <v>382</v>
      </c>
      <c r="H20" s="365" t="s">
        <v>383</v>
      </c>
    </row>
    <row r="21" spans="2:9" ht="18">
      <c r="B21" s="564"/>
      <c r="C21" s="564"/>
      <c r="D21" s="564"/>
      <c r="F21" s="366" t="str">
        <f>CONCATENATE(IF($G$18="Start-up",'Credit Rating (Start-up)'!B226, IF($G$18="Existing",'Credit Rating (Existing)'!D179, "")))</f>
        <v>Risk Segment</v>
      </c>
      <c r="G21" s="367">
        <f>IF($G$18="Start-up",IF($F21="Cash Flow Test", "C/F Hurdle", 'Credit Rating (Start-up)'!F226),
IF($G$18="Existing", 'Credit Rating (Existing)'!H179,""))</f>
        <v>0.25</v>
      </c>
      <c r="H21" s="367">
        <f>IF($G$18="Start-up", IF($F21="Cash Flow Test", 'Credit Rating (Start-up)'!$D$228, 'Credit Rating (Start-up)'!G226),
IF($G$18="Existing", 'Credit Rating (Existing)'!I180,""))</f>
        <v>0.16023622047244099</v>
      </c>
    </row>
    <row r="22" spans="2:9" ht="17.45" customHeight="1">
      <c r="B22" s="564"/>
      <c r="C22" s="564"/>
      <c r="D22" s="564"/>
      <c r="F22" s="366" t="str">
        <f>IF($G$18="Start-up",'Credit Rating (Start-up)'!B227, IF($G$18="Existing",'Credit Rating (Existing)'!D180, ""))</f>
        <v>Capitalisation</v>
      </c>
      <c r="G22" s="367">
        <f>IF($G$18="Start-up",IF($F22="Cash Flow Test", "C/F Hurdle", 'Credit Rating (Start-up)'!F227),
IF($G$18="Existing", 'Credit Rating (Existing)'!H180,""))</f>
        <v>0.2</v>
      </c>
      <c r="H22" s="367">
        <f>IF($G$18="Start-up", IF($F22="Cash Flow Test", 'Credit Rating (Start-up)'!$D$228, 'Credit Rating (Start-up)'!G227),
IF($G$18="Existing", 'Credit Rating (Existing)'!I181,""))</f>
        <v>0.16500000000000001</v>
      </c>
    </row>
    <row r="23" spans="2:9" ht="18">
      <c r="B23" s="565">
        <f ca="1">NOW()</f>
        <v>44613.647905324076</v>
      </c>
      <c r="C23" s="565"/>
      <c r="D23" s="565"/>
      <c r="F23" s="366" t="str">
        <f>IF($G$18="Start-up",'Credit Rating (Start-up)'!B228, IF($G$18="Existing",'Credit Rating (Existing)'!D181, ""))</f>
        <v>Cash Flow</v>
      </c>
      <c r="G23" s="367">
        <f>IF($G$18="Start-up",IF($F23="Cash Flow Test", "C/F Hurdle", 'Credit Rating (Start-up)'!F229),
IF($G$18="Existing", 'Credit Rating (Existing)'!H181,""))</f>
        <v>0.1</v>
      </c>
      <c r="H23" s="367">
        <f>IF($G$18="Start-up", IF($F23="Cash Flow Test", 'Credit Rating (Start-up)'!$D$228, 'Credit Rating (Start-up)'!G229),
IF($G$18="Existing", 'Credit Rating (Existing)'!I182,""))</f>
        <v>7.8500000000000014E-2</v>
      </c>
    </row>
    <row r="24" spans="2:9" ht="18">
      <c r="B24" s="565"/>
      <c r="C24" s="565"/>
      <c r="D24" s="565"/>
      <c r="F24" s="366" t="str">
        <f>IF($G$18="Start-up",'Credit Rating (Start-up)'!B229,"")</f>
        <v>Financial Plan</v>
      </c>
      <c r="G24" s="367">
        <f>IF($G$18="Start-up",IF($F24="Due Diligence","DD Hurdle",IF($F24="Cash Flow Test","C/F Hurdle",'Credit Rating (Start-up)'!F229)),
"")</f>
        <v>0.1</v>
      </c>
      <c r="H24" s="367">
        <f>IF($G$18="Start-up",IF($F24="Due Diligence",'Credit Rating (Start-up)'!#REF!, IF($F24="Cash Flow Test", 'Credit Rating (Start-up)'!$D$228, 'Credit Rating (Start-up)'!G229)),
"")</f>
        <v>7.8500000000000014E-2</v>
      </c>
    </row>
    <row r="25" spans="2:9" ht="18.75">
      <c r="B25" s="362"/>
      <c r="C25" s="362"/>
      <c r="D25" s="362"/>
      <c r="F25" s="366" t="str">
        <f>IF($G$18="Start-up",'Credit Rating (Start-up)'!B230,"")</f>
        <v>Business Plan</v>
      </c>
      <c r="G25" s="367">
        <f>IF($G$18="Start-up",IF($F25="Due Diligence","DD Hurdle",IF($F25="Cash Flow Test","C/F Hurdle",'Credit Rating (Start-up)'!F230)),
"")</f>
        <v>0.45</v>
      </c>
      <c r="H25" s="367">
        <f>IF($G$18="Start-up",IF($F25="Due Diligence",'Credit Rating (Start-up)'!#REF!,IF($F25="Cash Flow Test",'Credit Rating (Start-up)'!$D$228,'Credit Rating (Start-up)'!G230)),"")</f>
        <v>0.39600000000000002</v>
      </c>
    </row>
    <row r="26" spans="2:9" s="358" customFormat="1">
      <c r="I26" s="356"/>
    </row>
    <row r="27" spans="2:9" s="358" customFormat="1" ht="18">
      <c r="G27" s="416" t="s">
        <v>461</v>
      </c>
      <c r="H27" s="368">
        <f>IF($G$18="Start-up", 'Credit Rating (Start-up)'!G231, IF($G$18="Existing",'Credit Rating (Existing)'!I182, ""))</f>
        <v>0.79973622047244097</v>
      </c>
      <c r="I27" s="356"/>
    </row>
    <row r="28" spans="2:9" s="358" customFormat="1" ht="18">
      <c r="B28" s="369"/>
      <c r="C28" s="369"/>
      <c r="D28" s="369"/>
      <c r="F28" s="369"/>
      <c r="G28" s="361" t="s">
        <v>386</v>
      </c>
      <c r="H28" s="367" t="str">
        <f>IF($G$18="Start-up", 'Credit Rating (Start-up)'!C8, IF($G$18="Existing",'Credit Rating (Existing)'!C8, ""))</f>
        <v>Good</v>
      </c>
    </row>
    <row r="29" spans="2:9" s="358" customFormat="1"/>
    <row r="30" spans="2:9" s="358" customFormat="1" ht="24.95" customHeight="1">
      <c r="B30" s="416" t="s">
        <v>474</v>
      </c>
      <c r="C30" s="555" t="str">
        <f>IF($G$18="Start-up",IF('Credit Rating (Start-up)'!D15=0,"",'Credit Rating (Start-up)'!D15), IF($G$18="Existing", IF('Credit Rating (Existing)'!C15=0,"", 'Credit Rating (Existing)'!C15), ""))</f>
        <v>Lagos State Office</v>
      </c>
      <c r="D30" s="555"/>
      <c r="G30" s="556" t="str">
        <f>CONCATENATE("* ", "The overall score of ", TEXT(H27, "##.#%"), " was arrived at after an extensive analysis of the ECONOMIC SENSITIVITY RISK (e.g. interest rate, exchange rate risks etc.)", ", the POLITICAL SENSITIVITY RISK (e.g. fiscal policy, regulatory risks etc.)", ", the COMPETITIVE RISKS (e.g. competitive intensity, product substitution risks etc.", ", and SUPPLEMENTARY RISKS (such as demographic, labour relations etc.), totaling 18 sensitivity criteria for each industry analysis, which are being updated periodically to reflect current realities.")</f>
        <v>* The overall score of 80.% was arrived at after an extensive analysis of the ECONOMIC SENSITIVITY RISK (e.g. interest rate, exchange rate risks etc.), the POLITICAL SENSITIVITY RISK (e.g. fiscal policy, regulatory risks etc.), the COMPETITIVE RISKS (e.g. competitive intensity, product substitution risks etc., and SUPPLEMENTARY RISKS (such as demographic, labour relations etc.), totaling 18 sensitivity criteria for each industry analysis, which are being updated periodically to reflect current realities.</v>
      </c>
      <c r="H30" s="556"/>
    </row>
    <row r="31" spans="2:9" s="358" customFormat="1">
      <c r="G31" s="556"/>
      <c r="H31" s="556"/>
    </row>
    <row r="32" spans="2:9" s="358" customFormat="1" ht="26.25" thickBot="1">
      <c r="B32" s="586" t="s">
        <v>483</v>
      </c>
      <c r="C32" s="587"/>
      <c r="D32" s="587"/>
    </row>
    <row r="33" spans="2:9" s="358" customFormat="1" ht="15.75" thickTop="1"/>
    <row r="34" spans="2:9" s="358" customFormat="1" ht="17.45" customHeight="1">
      <c r="B34" s="561" t="s">
        <v>567</v>
      </c>
      <c r="C34" s="589"/>
      <c r="D34" s="589"/>
      <c r="E34" s="589"/>
      <c r="F34" s="589"/>
      <c r="G34" s="589"/>
      <c r="H34" s="558"/>
    </row>
    <row r="35" spans="2:9" s="358" customFormat="1" ht="18.75">
      <c r="B35" s="370"/>
      <c r="C35" s="370"/>
      <c r="D35" s="370"/>
      <c r="E35" s="370"/>
      <c r="F35" s="370"/>
    </row>
    <row r="36" spans="2:9" s="358" customFormat="1" ht="18.75" thickBot="1">
      <c r="B36" s="588" t="s">
        <v>393</v>
      </c>
      <c r="C36" s="588"/>
      <c r="D36" s="369"/>
      <c r="E36" s="588" t="s">
        <v>394</v>
      </c>
      <c r="F36" s="588"/>
      <c r="G36" s="369"/>
      <c r="H36" s="369"/>
    </row>
    <row r="37" spans="2:9" s="358" customFormat="1" ht="19.5" thickTop="1">
      <c r="B37" s="370"/>
      <c r="C37" s="370"/>
      <c r="D37" s="370"/>
      <c r="E37" s="370"/>
      <c r="F37" s="370"/>
    </row>
    <row r="38" spans="2:9" s="358" customFormat="1" ht="18">
      <c r="B38" s="569" t="s">
        <v>397</v>
      </c>
      <c r="C38" s="570"/>
      <c r="D38" s="364" t="s">
        <v>556</v>
      </c>
      <c r="E38" s="569" t="s">
        <v>397</v>
      </c>
      <c r="F38" s="570"/>
      <c r="G38" s="364" t="s">
        <v>557</v>
      </c>
    </row>
    <row r="39" spans="2:9" s="358" customFormat="1" ht="18">
      <c r="B39" s="569" t="str">
        <f>IFERROR(CONCATENATE(TEXT(B43, "0"), IF(D38="Monthly", " monthly moratorium payments of", IF(D38="Quarterly", " quarterly moratorium payments of", IF(D38="Biannually", " biannual moratorium payments of", IF(D38="Annually", " annual moratorium payments of", "")))),":"), "")</f>
        <v>12 monthly moratorium payments of:</v>
      </c>
      <c r="C39" s="570"/>
      <c r="D39" s="403" t="str">
        <f>IFERROR(IF(B43=0, 0, CONCATENATE(IF($G$18="Start-up", "₦", IF($G$18="Existing", 'Credit Rating (Existing)'!D190, "")), TEXT(D43, "#,###"))),"")</f>
        <v>₦6,666,667</v>
      </c>
      <c r="E39" s="569" t="str">
        <f>IFERROR(CONCATENATE(TEXT(E43, "0"), IF(G38="Monthly", " monthly moratorium payments of", IF(G38="Quarterly", " quarterly moratorium payments of", IF(G38="Biannually", " biannual moratorium payments of", IF(G38="Annually", " annual moratorium payments of", "")))),":"), "")</f>
        <v>2 quarterly moratorium payments of:</v>
      </c>
      <c r="F39" s="570"/>
      <c r="G39" s="403" t="str">
        <f>IF(E43=0, 0, CONCATENATE(IF($G$18="Start-up", "₦", IF($G$18="Existing", 'Credit Rating (Existing)'!D190, "")), TEXT(G43, "#,###")))</f>
        <v>₦6,500,000</v>
      </c>
    </row>
    <row r="40" spans="2:9" s="358" customFormat="1" ht="18">
      <c r="B40" s="569" t="str">
        <f>IFERROR(CONCATENATE(TEXT(C43, "0"), IF(D38="Monthly", " regular monthly payments of", IF(D38="Quarterly", " regular quarterly payments of", IF(D38="Biannually", " regular biannual payments of", IF(D38="Annually", "  regular annual payments of", "")))), ":"), "")</f>
        <v>48 regular monthly payments of:</v>
      </c>
      <c r="C40" s="570"/>
      <c r="D40" s="403" t="str">
        <f>IF(ISBLANK(D44), "",CONCATENATE(IF($G$18="Start-up", "₦", IF($G$18="Existing", 'Credit Rating (Existing)'!D190, "")), TEXT(D44, "#,###")))</f>
        <v>₦20,290,067</v>
      </c>
      <c r="E40" s="569" t="str">
        <f>IFERROR(CONCATENATE(TEXT(F43, 0), IF(G38="Monthly", " regular monthly payments of", IF(G38="Quarterly", " regular quarterly payments of:", IF(G38="Biannually", " regular biannual payments of", IF(G38="Annually", " regular annual payments of", "")))), ":"), "")</f>
        <v>10 regular quarterly payments of::</v>
      </c>
      <c r="F40" s="570"/>
      <c r="G40" s="403" t="str">
        <f>CONCATENATE(IF($G$18="Start-up", "₦", IF($G$18="Existing", 'Credit Rating (Existing)'!D190, "")), TEXT(G44, "#,###"))</f>
        <v>₦23,746,214</v>
      </c>
    </row>
    <row r="41" spans="2:9" s="358" customFormat="1" ht="18">
      <c r="B41" s="569" t="s">
        <v>422</v>
      </c>
      <c r="C41" s="570" t="s">
        <v>396</v>
      </c>
      <c r="D41" s="403" t="str">
        <f>CONCATENATE(IF($G$18="Start-up", "₦", IF($G$18="Existing", 'Credit Rating (Existing)'!D190, "")), TEXT(E44, "#,###"))</f>
        <v>₦1,053,923,204</v>
      </c>
      <c r="E41" s="569" t="s">
        <v>422</v>
      </c>
      <c r="F41" s="570" t="s">
        <v>396</v>
      </c>
      <c r="G41" s="403" t="str">
        <f>CONCATENATE(IF($G$18="Start-up", "₦", IF($G$18="Existing", 'Credit Rating (Existing)'!D190, "")), TEXT(H44, "#,###"))</f>
        <v>₦250,462,145</v>
      </c>
      <c r="H41" s="371"/>
    </row>
    <row r="42" spans="2:9" s="358" customFormat="1" ht="18">
      <c r="B42" s="569" t="s">
        <v>423</v>
      </c>
      <c r="C42" s="570" t="s">
        <v>395</v>
      </c>
      <c r="D42" s="403" t="str">
        <f>CONCATENATE(IF($G$18="Start-up", "₦", IF($G$18="Existing", 'Credit Rating (Existing)'!D190, "")), TEXT(F44, "#,###"))</f>
        <v>₦253,923,204</v>
      </c>
      <c r="E42" s="569" t="s">
        <v>423</v>
      </c>
      <c r="F42" s="570" t="s">
        <v>395</v>
      </c>
      <c r="G42" s="403" t="str">
        <f>CONCATENATE(IF($G$18="Start-up", "₦", IF($G$18="Existing", 'Credit Rating (Existing)'!D190, "")), TEXT(I44, "#,###"))</f>
        <v>₦50,462,145</v>
      </c>
      <c r="H42" s="371"/>
    </row>
    <row r="43" spans="2:9" s="372" customFormat="1" ht="15.75">
      <c r="B43" s="409">
        <f>IFERROR(IF($G$18="Start-up",'Credit Rating (Start-up)'!E241, IF($G$18="Existing",IF(ISBLANK('Credit Rating (Existing)'!H194),0, 'Credit Rating (Existing)'!H194), 0))/IF(D38="Monthly", 1, IF(D38="Quarterly", 3, IF(D38="Biannually", 6, IF(D38="Annually", 12, 0)))), "")</f>
        <v>12</v>
      </c>
      <c r="C43" s="409">
        <f>IFERROR(IF($G$18="Start-up",'Credit Rating (Start-up)'!D239-'Credit Rating (Start-up)'!E241,IF($G$18="Existing",IF(ISBLANK('Credit Rating (Existing)'!C194),0,'Credit Rating (Existing)'!C194-'Credit Rating (Existing)'!H194),0))/IF(D38="Monthly", 1, IF(D38="Quarterly", 3, IF(D38="Biannually", 6, IF(D38="Annually", 12, 0)))), "")</f>
        <v>48</v>
      </c>
      <c r="D43" s="410">
        <f>IFERROR(IF(B43=0, 0, IF($G$18="Start-up", 'Credit Rating (Start-up)'!E239*'Credit Rating (Start-up)'!B239, IF($G$18="Existing",'Credit Rating (Existing)'!D194* 'Credit Rating (Existing)'!B194, ""))/IF(D38="Monthly", 12, IF(D38="Quarterly", 4, IF(D38="Biannually", 2, IF(D38="Annually", 1, 0))))),"")</f>
        <v>6666666.666666667</v>
      </c>
      <c r="E43" s="409">
        <f>IFERROR(IF($G$18="Start-up",'Credit Rating (Start-up)'!E247, IF($G$18="Existing",IF(ISBLANK('Credit Rating (Existing)'!H198),0, 'Credit Rating (Existing)'!H198), 0))/IF(G38="Monthly", 1, IF(G38="Quarterly", 3, IF(G38="Biannually", 6, IF(G38="Annually", 12, 0)))), "")</f>
        <v>2</v>
      </c>
      <c r="F43" s="409">
        <f>IFERROR(IF($G$18="Start-up",'Credit Rating (Start-up)'!D245-'Credit Rating (Start-up)'!E247,IF($G$18="Existing",IF(ISBLANK('Credit Rating (Existing)'!C198),0,'Credit Rating (Existing)'!C198-'Credit Rating (Existing)'!H198),0))/IF(G38="Monthly", 1, IF(G38="Quarterly", 3, IF(G38="Biannually", 6, IF(G38="Annually", 12, 0)))), "")</f>
        <v>10</v>
      </c>
      <c r="G43" s="410">
        <f>IF(E43=0,0,IFERROR(IF($G$18="Start-up",'Credit Rating (Start-up)'!E245*'Credit Rating (Start-up)'!B245,IF($G$18="Existing",'Credit Rating (Existing)'!D198*'Credit Rating (Existing)'!B198,""))/IF(G38="Monthly",12,IF(G38="Quarterly",4,IF(G38="Biannually",2,IF(G38="Annually",1,0)))),""))</f>
        <v>6500000</v>
      </c>
      <c r="H43" s="408"/>
      <c r="I43" s="408"/>
    </row>
    <row r="44" spans="2:9" s="358" customFormat="1" ht="26.25" thickBot="1">
      <c r="B44" s="572" t="s">
        <v>484</v>
      </c>
      <c r="C44" s="573"/>
      <c r="D44" s="411">
        <f>IFERROR(-PMT(IF($G$18="Start-up",'Credit Rating (Start-up)'!E239,IF($G$18="Existing",'Credit Rating (Existing)'!D194,""))/IF(D38="Monthly", 12, IF(D38="Quarterly", 4, IF(D38="Biannually", 2, IF(D38="Annually", 1, 0)))),C43,IF($G$18="Start-up", 'Credit Rating (Start-up)'!B239, IF($G$18="Existing", 'Credit Rating (Existing)'!B194, ""))),"")</f>
        <v>20290066.74779775</v>
      </c>
      <c r="E44" s="411">
        <f>IFERROR(B43*D43+C43*D44, "")</f>
        <v>1053923203.894292</v>
      </c>
      <c r="F44" s="411">
        <f>IFERROR(E44-IF($G$18="Start-up", 'Credit Rating (Start-up)'!B239, IF($G$18="Existing", 'Credit Rating (Existing)'!B194, "")),"")</f>
        <v>253923203.894292</v>
      </c>
      <c r="G44" s="411">
        <f>IFERROR(-PMT(IF($G$18="Start-up",'Credit Rating (Start-up)'!E245,IF($G$18="Existing",'Credit Rating (Existing)'!D198,""))/IF(G38="Monthly", 12, IF(G38="Quarterly", 4, IF(G38="Biannually", 2, IF(G38="Annually", 1, 0)))),F43,IF($G$18="Start-up", 'Credit Rating (Start-up)'!B245, IF($G$18="Existing", 'Credit Rating (Existing)'!B198, ""))),"")</f>
        <v>23746214.478144545</v>
      </c>
      <c r="H44" s="411">
        <f>IFERROR(E43*G43+F43*G44, "")</f>
        <v>250462144.78144544</v>
      </c>
      <c r="I44" s="407">
        <f>IFERROR(H44-IF($G$18="Start-up", 'Credit Rating (Start-up)'!B245, IF($G$18="Existing", 'Credit Rating (Existing)'!B198, "")),0)</f>
        <v>50462144.781445444</v>
      </c>
    </row>
    <row r="45" spans="2:9" s="358" customFormat="1" ht="15.75" thickTop="1">
      <c r="B45" s="369"/>
      <c r="C45" s="369"/>
      <c r="D45" s="369"/>
      <c r="E45" s="369"/>
      <c r="F45" s="369"/>
      <c r="G45" s="369"/>
    </row>
    <row r="46" spans="2:9" s="358" customFormat="1" ht="18.75" thickBot="1">
      <c r="B46" s="588" t="s">
        <v>393</v>
      </c>
      <c r="C46" s="588"/>
      <c r="D46" s="369"/>
      <c r="E46" s="588" t="s">
        <v>394</v>
      </c>
      <c r="F46" s="588"/>
      <c r="G46" s="369"/>
      <c r="H46" s="369"/>
    </row>
    <row r="47" spans="2:9" s="358" customFormat="1" ht="15.75" thickTop="1">
      <c r="B47" s="369"/>
      <c r="C47" s="369"/>
      <c r="D47" s="369"/>
      <c r="E47" s="369"/>
      <c r="F47" s="369"/>
      <c r="G47" s="369"/>
      <c r="H47" s="373"/>
    </row>
    <row r="48" spans="2:9" s="375" customFormat="1" ht="30" customHeight="1">
      <c r="B48" s="566" t="str">
        <f>CONCATENATE("Facilities of ", IF($G$18="Start-up", "₦", IF($G$18="Existing", 'Credit Rating (Existing)'!D190, "")), IF($G$18="Start-up", TEXT('Credit Rating (Start-up)'!B239,"#,##0"), IF($G$18="Existing", TEXT('Credit Rating (Existing)'!B194,"#,##0"), "")))</f>
        <v>Facilities of ₦800,000,000</v>
      </c>
      <c r="C48" s="567"/>
      <c r="D48" s="568"/>
      <c r="E48" s="567" t="str">
        <f>CONCATENATE("Facilities of ", IF($G$18="Start-up", "₦", IF($G$18="Existing", 'Credit Rating (Existing)'!D190, "")), IF($G$18="Start-up", TEXT('Credit Rating (Start-up)'!B245,"#,##0"), IF($G$18="Existing", TEXT('Credit Rating (Existing)'!B198,"#,##0"), "")))</f>
        <v>Facilities of ₦200,000,000</v>
      </c>
      <c r="F48" s="567"/>
      <c r="G48" s="567"/>
      <c r="H48" s="374"/>
    </row>
    <row r="49" spans="2:8" s="375" customFormat="1" ht="30" customHeight="1">
      <c r="B49" s="566" t="str">
        <f>CONCATENATE(IF($G$18="Start-up",'Credit Rating (Start-up)'!E239*100, IF($G$18="Existing", 'Credit Rating (Existing)'!D194*100, "")), "% per annum payable monthly in arrears")</f>
        <v>10% per annum payable monthly in arrears</v>
      </c>
      <c r="C49" s="567"/>
      <c r="D49" s="568"/>
      <c r="E49" s="567" t="str">
        <f>CONCATENATE(IF($G$18="Start-up",'Credit Rating (Start-up)'!E245*100, IF($G$18="Existing", 'Credit Rating (Existing)'!D198*100, "")), "% per annum payable monthly in arrears")</f>
        <v>13% per annum payable monthly in arrears</v>
      </c>
      <c r="F49" s="567"/>
      <c r="G49" s="567"/>
      <c r="H49" s="374"/>
    </row>
    <row r="50" spans="2:8" s="375" customFormat="1" ht="39.950000000000003" customHeight="1">
      <c r="B50" s="566" t="str">
        <f>CONCATENATE("Appraisal Fee: ", IF($G$18="Start-up",'Credit Rating (Start-up)'!F239*100, IF($G$18="Existing", 'Credit Rating (Existing)'!E194*100, "")), "% of the loan of ", IF($G$18="Start-up", "₦", IF($G$18="Existing", 'Credit Rating (Existing)'!D190, "")), IF($G$18="Start-up", TEXT('Credit Rating (Start-up)'!B239,"#,##0"), IF($G$18="Existing", TEXT('Credit Rating (Existing)'!B194,"#,##0"), "")), " i.e. ", IF($G$18="Start-up", "₦", IF($G$18="Existing", 'Credit Rating (Existing)'!D190, "")), IF($G$18="Start-up", TEXT('Credit Rating (Start-up)'!B239*'Credit Rating (Start-up)'!F239,"#,##0"), IF($G$18="Existing", TEXT('Credit Rating (Existing)'!B194*'Credit Rating (Existing)'!E194,"#,##0"), "")))</f>
        <v>Appraisal Fee: 1% of the loan of ₦800,000,000 i.e. ₦8,000,000</v>
      </c>
      <c r="C50" s="567"/>
      <c r="D50" s="568"/>
      <c r="E50" s="567" t="str">
        <f>CONCATENATE("Appraisal Fee: ", IF($G$18="Start-up",'Credit Rating (Start-up)'!F245*100, IF($G$18="Existing", 'Credit Rating (Existing)'!E198*100, "")), "% of the loan of ", IF($G$18="Start-up", "₦", IF($G$18="Existing", 'Credit Rating (Existing)'!D190, "")), IF($G$18="Start-up", TEXT('Credit Rating (Start-up)'!B245,"#,##0"), IF($G$18="Existing", TEXT('Credit Rating (Existing)'!B198,"#,##0"), "")), " i.e. ", IF($G$18="Start-up", "₦", IF($G$18="Existing", 'Credit Rating (Existing)'!D190, "")), IF($G$18="Start-up", TEXT('Credit Rating (Start-up)'!B245*'Credit Rating (Start-up)'!F245,"#,##0"), IF($G$18="Existing", TEXT('Credit Rating (Existing)'!B198*'Credit Rating (Existing)'!E198,"#,##0"), "")))</f>
        <v>Appraisal Fee: 1% of the loan of ₦200,000,000 i.e. ₦2,000,000</v>
      </c>
      <c r="F50" s="567"/>
      <c r="G50" s="567"/>
      <c r="H50" s="374"/>
    </row>
    <row r="51" spans="2:8" s="375" customFormat="1" ht="39.950000000000003" customHeight="1">
      <c r="B51" s="566" t="str">
        <f>CONCATENATE("Commitment Fee: ", IF($G$18="Start-up",'Credit Rating (Start-up)'!G239*100, IF($G$18="Existing", 'Credit Rating (Existing)'!F194*100, "")), "% of the loan of ",IF($G$18="Start-up", "₦", IF($G$18="Existing", 'Credit Rating (Existing)'!D190, "")),  IF($G$18="Start-up", TEXT('Credit Rating (Start-up)'!B239,"#,##0"), IF($G$18="Existing", TEXT('Credit Rating (Existing)'!B194,"#,##0"), "")), " i.e. ", IF($G$18="Start-up", "₦", IF($G$18="Existing", 'Credit Rating (Existing)'!D190, "")), IF($G$18="Start-up", TEXT('Credit Rating (Start-up)'!B239*'Credit Rating (Start-up)'!G239,"#,##0"), IF($G$18="Existing", TEXT('Credit Rating (Existing)'!B194*'Credit Rating (Existing)'!F194,"#,##0"), "")))</f>
        <v>Commitment Fee: 1% of the loan of ₦800,000,000 i.e. ₦8,000,000</v>
      </c>
      <c r="C51" s="567"/>
      <c r="D51" s="568"/>
      <c r="E51" s="567" t="str">
        <f>CONCATENATE("Commitment Fee: ", IF($G$18="Start-up",'Credit Rating (Start-up)'!G245*100, IF($G$18="Existing", 'Credit Rating (Existing)'!F198*100, "")), "% of the loan of ", IF($G$18="Start-up", "₦", IF($G$18="Existing", 'Credit Rating (Existing)'!D190, "")), IF($G$18="Start-up", TEXT('Credit Rating (Start-up)'!B245,"#,##0"), IF($G$18="Existing", TEXT('Credit Rating (Existing)'!B198,"#,##0"), "")), " i.e. ", IF($G$18="Start-up", "₦", IF($G$18="Existing", 'Credit Rating (Existing)'!D190, "")), IF($G$18="Start-up", TEXT('Credit Rating (Start-up)'!B245*'Credit Rating (Start-up)'!G245,"#,##0"), IF($G$18="Existing", TEXT('Credit Rating (Existing)'!B198*'Credit Rating (Existing)'!F198,"#,##0"), "")))</f>
        <v>Commitment Fee: 1% of the loan of ₦200,000,000 i.e. ₦2,000,000</v>
      </c>
      <c r="F51" s="567"/>
      <c r="G51" s="567"/>
      <c r="H51" s="374"/>
    </row>
    <row r="52" spans="2:8" s="375" customFormat="1" ht="60" customHeight="1">
      <c r="B52" s="566" t="str">
        <f>CONCATENATE("Monitoring Fee: ", IF($G$18="Start-up",TEXT('Credit Rating (Start-up)'!H239, "0.000%"), IF($G$18="Existing", TEXT('Credit Rating (Existing)'!G194, "0.000%"), "")), " of the outstanding balance in the company account payable at the end of each quarter.")</f>
        <v>Monitoring Fee: 0.250% of the outstanding balance in the company account payable at the end of each quarter.</v>
      </c>
      <c r="C52" s="567"/>
      <c r="D52" s="568"/>
      <c r="E52" s="567" t="str">
        <f>CONCATENATE("Monitoring Fee: ", IF($G$18="Start-up",TEXT('Credit Rating (Start-up)'!H245, "0.000%"), IF($G$18="Existing", TEXT('Credit Rating (Existing)'!G198, "0.000%"), "")), " of the outstanding balance in the company account payable at the end of each quarter.")</f>
        <v>Monitoring Fee: 0.250% of the outstanding balance in the company account payable at the end of each quarter.</v>
      </c>
      <c r="F52" s="567"/>
      <c r="G52" s="567"/>
      <c r="H52" s="374"/>
    </row>
    <row r="53" spans="2:8" s="358" customFormat="1">
      <c r="B53" s="369"/>
      <c r="C53" s="369"/>
      <c r="D53" s="369"/>
      <c r="E53" s="369"/>
      <c r="F53" s="369"/>
      <c r="G53" s="369"/>
      <c r="H53" s="369"/>
    </row>
    <row r="54" spans="2:8" s="358" customFormat="1" ht="26.25" thickBot="1">
      <c r="B54" s="572" t="s">
        <v>485</v>
      </c>
      <c r="C54" s="573"/>
    </row>
    <row r="55" spans="2:8" s="358" customFormat="1" ht="15.75" thickTop="1">
      <c r="B55" s="369"/>
      <c r="C55" s="369"/>
      <c r="D55" s="369"/>
      <c r="E55" s="369"/>
      <c r="F55" s="369"/>
      <c r="G55" s="369"/>
      <c r="H55" s="369"/>
    </row>
    <row r="56" spans="2:8" s="358" customFormat="1" ht="19.5" thickBot="1">
      <c r="B56" s="571" t="s">
        <v>210</v>
      </c>
      <c r="C56" s="571"/>
      <c r="D56" s="571"/>
      <c r="E56" s="571"/>
      <c r="F56" s="571"/>
      <c r="G56" s="571"/>
    </row>
    <row r="57" spans="2:8" s="358" customFormat="1" ht="26.25">
      <c r="B57" s="376" t="s">
        <v>211</v>
      </c>
      <c r="C57" s="376" t="s">
        <v>212</v>
      </c>
      <c r="D57" s="376" t="s">
        <v>388</v>
      </c>
      <c r="E57" s="376" t="s">
        <v>389</v>
      </c>
      <c r="F57" s="376" t="s">
        <v>390</v>
      </c>
      <c r="G57" s="376" t="s">
        <v>213</v>
      </c>
    </row>
    <row r="58" spans="2:8" s="358" customFormat="1" ht="36">
      <c r="B58" s="456" t="s">
        <v>568</v>
      </c>
      <c r="C58" s="378">
        <v>30000000000</v>
      </c>
      <c r="D58" s="378">
        <v>348000000</v>
      </c>
      <c r="E58" s="412">
        <f>C58-D58</f>
        <v>29652000000</v>
      </c>
      <c r="F58" s="378">
        <v>1000000000</v>
      </c>
      <c r="G58" s="412">
        <f>D58+F58</f>
        <v>1348000000</v>
      </c>
    </row>
    <row r="59" spans="2:8" s="379" customFormat="1" ht="18">
      <c r="B59" s="364"/>
      <c r="C59" s="378"/>
      <c r="D59" s="378"/>
      <c r="E59" s="413">
        <f>C59-D59</f>
        <v>0</v>
      </c>
      <c r="F59" s="364"/>
      <c r="G59" s="413">
        <f>D59+F59</f>
        <v>0</v>
      </c>
    </row>
    <row r="60" spans="2:8" s="358" customFormat="1">
      <c r="B60" s="369"/>
      <c r="C60" s="369"/>
      <c r="D60" s="369"/>
      <c r="E60" s="369"/>
      <c r="F60" s="369"/>
      <c r="G60" s="369"/>
      <c r="H60" s="369"/>
    </row>
    <row r="61" spans="2:8" s="358" customFormat="1" ht="19.5" thickBot="1">
      <c r="B61" s="571" t="s">
        <v>214</v>
      </c>
      <c r="C61" s="571"/>
      <c r="D61" s="571"/>
      <c r="E61" s="571"/>
      <c r="F61" s="571"/>
      <c r="G61" s="571"/>
    </row>
    <row r="62" spans="2:8" s="358" customFormat="1" ht="26.25">
      <c r="B62" s="376" t="s">
        <v>215</v>
      </c>
      <c r="C62" s="376" t="s">
        <v>216</v>
      </c>
      <c r="D62" s="376" t="s">
        <v>217</v>
      </c>
      <c r="E62" s="376" t="s">
        <v>218</v>
      </c>
      <c r="F62" s="376" t="s">
        <v>219</v>
      </c>
      <c r="G62" s="376" t="s">
        <v>220</v>
      </c>
    </row>
    <row r="63" spans="2:8" s="358" customFormat="1" ht="18">
      <c r="B63" s="377"/>
      <c r="C63" s="377"/>
      <c r="D63" s="380"/>
      <c r="E63" s="378"/>
      <c r="F63" s="378"/>
      <c r="G63" s="381"/>
    </row>
    <row r="64" spans="2:8" s="379" customFormat="1" ht="18">
      <c r="B64" s="377"/>
      <c r="C64" s="377"/>
      <c r="D64" s="380"/>
      <c r="E64" s="378"/>
      <c r="F64" s="378"/>
      <c r="G64" s="381"/>
    </row>
    <row r="65" spans="2:8" s="379" customFormat="1" ht="18">
      <c r="B65" s="377"/>
      <c r="C65" s="377"/>
      <c r="D65" s="380"/>
      <c r="E65" s="378"/>
      <c r="F65" s="378"/>
      <c r="G65" s="381"/>
    </row>
    <row r="66" spans="2:8" s="379" customFormat="1" ht="18">
      <c r="B66" s="377"/>
      <c r="C66" s="377"/>
      <c r="D66" s="380"/>
      <c r="E66" s="378"/>
      <c r="F66" s="378"/>
      <c r="G66" s="381"/>
    </row>
    <row r="67" spans="2:8" s="379" customFormat="1" ht="18">
      <c r="B67" s="377"/>
      <c r="C67" s="377"/>
      <c r="D67" s="380"/>
      <c r="E67" s="378"/>
      <c r="F67" s="378"/>
      <c r="G67" s="381"/>
    </row>
    <row r="68" spans="2:8" s="358" customFormat="1" ht="18">
      <c r="B68" s="590" t="s">
        <v>221</v>
      </c>
      <c r="C68" s="590"/>
      <c r="D68" s="590"/>
      <c r="E68" s="382">
        <f>SUM(E63:E67)</f>
        <v>0</v>
      </c>
      <c r="F68" s="382">
        <f>SUM(F63:F67)</f>
        <v>0</v>
      </c>
      <c r="G68" s="381"/>
    </row>
    <row r="69" spans="2:8" s="358" customFormat="1">
      <c r="B69" s="369"/>
      <c r="C69" s="369"/>
      <c r="D69" s="369"/>
      <c r="G69" s="369"/>
      <c r="H69" s="369"/>
    </row>
    <row r="70" spans="2:8" s="358" customFormat="1" ht="17.45" customHeight="1">
      <c r="B70" s="578" t="s">
        <v>594</v>
      </c>
      <c r="C70" s="578"/>
      <c r="D70" s="578"/>
      <c r="E70" s="578"/>
      <c r="F70" s="578"/>
      <c r="G70" s="578"/>
      <c r="H70" s="369"/>
    </row>
    <row r="71" spans="2:8" s="358" customFormat="1">
      <c r="B71" s="369"/>
      <c r="C71" s="369"/>
      <c r="D71" s="369"/>
      <c r="E71" s="369"/>
      <c r="F71" s="369"/>
      <c r="G71" s="369"/>
      <c r="H71" s="369"/>
    </row>
    <row r="72" spans="2:8" s="358" customFormat="1" ht="26.25" thickBot="1">
      <c r="B72" s="572" t="s">
        <v>486</v>
      </c>
      <c r="C72" s="573"/>
      <c r="D72" s="573"/>
    </row>
    <row r="73" spans="2:8" ht="16.5" thickTop="1" thickBot="1"/>
    <row r="74" spans="2:8">
      <c r="B74" s="579" t="s">
        <v>370</v>
      </c>
      <c r="C74" s="376" t="s">
        <v>223</v>
      </c>
      <c r="D74" s="376" t="s">
        <v>400</v>
      </c>
      <c r="E74" s="376" t="s">
        <v>83</v>
      </c>
      <c r="F74" s="376" t="s">
        <v>231</v>
      </c>
      <c r="G74" s="376" t="s">
        <v>232</v>
      </c>
    </row>
    <row r="75" spans="2:8" ht="18">
      <c r="B75" s="579">
        <v>1</v>
      </c>
      <c r="C75" s="456" t="s">
        <v>590</v>
      </c>
      <c r="D75" s="456" t="s">
        <v>592</v>
      </c>
      <c r="E75" s="394">
        <v>1000000</v>
      </c>
      <c r="F75" s="394">
        <v>4500000</v>
      </c>
      <c r="G75" s="395">
        <f t="shared" ref="G75:G81" si="0">E75+F75</f>
        <v>5500000</v>
      </c>
    </row>
    <row r="76" spans="2:8" ht="18">
      <c r="B76" s="579"/>
      <c r="C76" s="456" t="s">
        <v>591</v>
      </c>
      <c r="D76" s="456" t="s">
        <v>593</v>
      </c>
      <c r="E76" s="394">
        <v>1000000</v>
      </c>
      <c r="F76" s="394">
        <v>8000000</v>
      </c>
      <c r="G76" s="395">
        <f t="shared" si="0"/>
        <v>9000000</v>
      </c>
    </row>
    <row r="77" spans="2:8" ht="18">
      <c r="B77" s="579"/>
      <c r="C77" s="377"/>
      <c r="D77" s="377"/>
      <c r="E77" s="394"/>
      <c r="F77" s="394"/>
      <c r="G77" s="395">
        <f t="shared" si="0"/>
        <v>0</v>
      </c>
    </row>
    <row r="78" spans="2:8" ht="18">
      <c r="B78" s="579"/>
      <c r="C78" s="377"/>
      <c r="D78" s="377"/>
      <c r="E78" s="394"/>
      <c r="F78" s="394"/>
      <c r="G78" s="395">
        <f t="shared" si="0"/>
        <v>0</v>
      </c>
    </row>
    <row r="79" spans="2:8" ht="18">
      <c r="B79" s="579"/>
      <c r="C79" s="377"/>
      <c r="D79" s="377"/>
      <c r="E79" s="394"/>
      <c r="F79" s="394"/>
      <c r="G79" s="395">
        <f t="shared" si="0"/>
        <v>0</v>
      </c>
    </row>
    <row r="80" spans="2:8" ht="18">
      <c r="B80" s="579"/>
      <c r="C80" s="377"/>
      <c r="D80" s="377"/>
      <c r="E80" s="394"/>
      <c r="F80" s="394"/>
      <c r="G80" s="395">
        <f t="shared" si="0"/>
        <v>0</v>
      </c>
    </row>
    <row r="81" spans="2:8" ht="18">
      <c r="B81" s="579"/>
      <c r="C81" s="377"/>
      <c r="D81" s="377"/>
      <c r="E81" s="394"/>
      <c r="F81" s="394"/>
      <c r="G81" s="395">
        <f t="shared" si="0"/>
        <v>0</v>
      </c>
    </row>
    <row r="82" spans="2:8" s="358" customFormat="1"/>
    <row r="83" spans="2:8" s="358" customFormat="1" ht="26.25" thickBot="1">
      <c r="B83" s="572" t="s">
        <v>487</v>
      </c>
      <c r="C83" s="572"/>
      <c r="D83" s="572"/>
      <c r="F83" s="577" t="s">
        <v>459</v>
      </c>
      <c r="G83" s="577"/>
    </row>
    <row r="84" spans="2:8" s="358" customFormat="1" ht="16.5" thickTop="1" thickBot="1">
      <c r="B84" s="369"/>
      <c r="C84" s="369"/>
      <c r="D84" s="369"/>
      <c r="E84" s="369"/>
      <c r="F84" s="577"/>
      <c r="G84" s="577"/>
      <c r="H84" s="369"/>
    </row>
    <row r="85" spans="2:8" s="358" customFormat="1">
      <c r="B85" s="369"/>
      <c r="C85" s="369"/>
      <c r="D85" s="376" t="s">
        <v>437</v>
      </c>
      <c r="E85" s="376" t="s">
        <v>438</v>
      </c>
      <c r="F85" s="577"/>
      <c r="G85" s="577"/>
      <c r="H85" s="369"/>
    </row>
    <row r="86" spans="2:8" s="358" customFormat="1" ht="18">
      <c r="B86" s="575" t="s">
        <v>454</v>
      </c>
      <c r="C86" s="576"/>
      <c r="D86" s="406">
        <f>IF(G18="Start-up",  'Credit Rating (Start-up)'!B259/('Credit Rating (Start-up)'!B259+1), IF(G18="Existing", 'Credit Rating (Existing)'!E210/('Credit Rating (Existing)'!E210+1), ""))</f>
        <v>0.43744322351184661</v>
      </c>
      <c r="E86" s="391">
        <v>0.7</v>
      </c>
      <c r="F86" s="577"/>
      <c r="G86" s="577"/>
      <c r="H86" s="369"/>
    </row>
    <row r="87" spans="2:8" s="358" customFormat="1" ht="15.75" thickBot="1">
      <c r="B87" s="369"/>
      <c r="C87" s="369"/>
      <c r="D87" s="369"/>
      <c r="E87" s="369"/>
      <c r="F87" s="577"/>
      <c r="G87" s="577"/>
      <c r="H87" s="369"/>
    </row>
    <row r="88" spans="2:8" s="379" customFormat="1">
      <c r="B88" s="583" t="s">
        <v>222</v>
      </c>
      <c r="C88" s="396" t="s">
        <v>223</v>
      </c>
      <c r="D88" s="396" t="s">
        <v>224</v>
      </c>
      <c r="E88" s="396" t="s">
        <v>225</v>
      </c>
      <c r="F88" s="396" t="s">
        <v>132</v>
      </c>
    </row>
    <row r="89" spans="2:8" s="379" customFormat="1" ht="18">
      <c r="B89" s="583"/>
      <c r="C89" s="398" t="s">
        <v>226</v>
      </c>
      <c r="D89" s="378"/>
      <c r="E89" s="397">
        <f>IF($G$18="Start-up", '[1]Balance Sheet'!$P$27, IF($G$18="Existing",'Credit Rating (Existing)'!I210, 0))</f>
        <v>0</v>
      </c>
      <c r="F89" s="397">
        <f t="shared" ref="F89:F101" si="1">D89+E89</f>
        <v>0</v>
      </c>
    </row>
    <row r="90" spans="2:8" s="379" customFormat="1" ht="18">
      <c r="B90" s="583"/>
      <c r="C90" s="398" t="s">
        <v>227</v>
      </c>
      <c r="D90" s="378"/>
      <c r="E90" s="378"/>
      <c r="F90" s="397">
        <f t="shared" si="1"/>
        <v>0</v>
      </c>
    </row>
    <row r="91" spans="2:8" s="379" customFormat="1" ht="18">
      <c r="B91" s="583"/>
      <c r="C91" s="398" t="s">
        <v>228</v>
      </c>
      <c r="D91" s="378"/>
      <c r="E91" s="378">
        <v>2133420305</v>
      </c>
      <c r="F91" s="397">
        <f t="shared" si="1"/>
        <v>2133420305</v>
      </c>
    </row>
    <row r="92" spans="2:8" s="379" customFormat="1" ht="36">
      <c r="B92" s="583"/>
      <c r="C92" s="399" t="s">
        <v>229</v>
      </c>
      <c r="D92" s="378"/>
      <c r="E92" s="397">
        <f>IF($G$18="Start-up", 'Credit Rating (Start-up)'!B239*'Credit Rating (Start-up)'!E239*'Credit Rating (Start-up)'!E241/12+'Credit Rating (Start-up)'!B245*'Credit Rating (Start-up)'!E245*'Credit Rating (Start-up)'!E247/12,
IF(AND($G$18="Existing", 'Credit Rating (Existing)'!B190="NGN"),'Credit Rating (Existing)'!B194*'Credit Rating (Existing)'!D194*'Credit Rating (Existing)'!H194/12+'Credit Rating (Existing)'!B198*'Credit Rating (Existing)'!D198*'Credit Rating (Existing)'!H198/12, 0))</f>
        <v>93000000</v>
      </c>
      <c r="F92" s="397">
        <f t="shared" si="1"/>
        <v>93000000</v>
      </c>
    </row>
    <row r="93" spans="2:8" s="379" customFormat="1" ht="18">
      <c r="B93" s="583"/>
      <c r="C93" s="398" t="s">
        <v>138</v>
      </c>
      <c r="D93" s="378"/>
      <c r="E93" s="397">
        <v>10000000</v>
      </c>
      <c r="F93" s="397">
        <f t="shared" si="1"/>
        <v>10000000</v>
      </c>
    </row>
    <row r="94" spans="2:8" s="379" customFormat="1" ht="18">
      <c r="B94" s="583"/>
      <c r="C94" s="398" t="s">
        <v>139</v>
      </c>
      <c r="D94" s="378"/>
      <c r="E94" s="397">
        <v>10000000</v>
      </c>
      <c r="F94" s="397">
        <f t="shared" si="1"/>
        <v>10000000</v>
      </c>
    </row>
    <row r="95" spans="2:8" s="379" customFormat="1" ht="18">
      <c r="B95" s="583"/>
      <c r="C95" s="398" t="s">
        <v>230</v>
      </c>
      <c r="D95" s="378"/>
      <c r="E95" s="378">
        <v>4253250</v>
      </c>
      <c r="F95" s="397">
        <f t="shared" si="1"/>
        <v>4253250</v>
      </c>
    </row>
    <row r="96" spans="2:8" s="379" customFormat="1" ht="18">
      <c r="B96" s="583"/>
      <c r="C96" s="398" t="s">
        <v>369</v>
      </c>
      <c r="D96" s="378"/>
      <c r="E96" s="378"/>
      <c r="F96" s="397">
        <f t="shared" si="1"/>
        <v>0</v>
      </c>
    </row>
    <row r="97" spans="2:9" s="379" customFormat="1" ht="18">
      <c r="B97" s="583"/>
      <c r="C97" s="398" t="s">
        <v>391</v>
      </c>
      <c r="D97" s="378"/>
      <c r="E97" s="378"/>
      <c r="F97" s="397">
        <f t="shared" si="1"/>
        <v>0</v>
      </c>
    </row>
    <row r="98" spans="2:9" s="379" customFormat="1" ht="18">
      <c r="B98" s="583"/>
      <c r="C98" s="377"/>
      <c r="D98" s="378"/>
      <c r="E98" s="378"/>
      <c r="F98" s="397">
        <f t="shared" si="1"/>
        <v>0</v>
      </c>
    </row>
    <row r="99" spans="2:9" s="379" customFormat="1" ht="18">
      <c r="B99" s="583"/>
      <c r="C99" s="377"/>
      <c r="D99" s="378"/>
      <c r="E99" s="378"/>
      <c r="F99" s="397">
        <f t="shared" si="1"/>
        <v>0</v>
      </c>
    </row>
    <row r="100" spans="2:9" s="379" customFormat="1" ht="18">
      <c r="B100" s="583"/>
      <c r="C100" s="377"/>
      <c r="D100" s="378"/>
      <c r="E100" s="378"/>
      <c r="F100" s="397">
        <f t="shared" si="1"/>
        <v>0</v>
      </c>
    </row>
    <row r="101" spans="2:9" s="379" customFormat="1" ht="18">
      <c r="B101" s="583"/>
      <c r="C101" s="377"/>
      <c r="D101" s="378"/>
      <c r="E101" s="378"/>
      <c r="F101" s="397">
        <f t="shared" si="1"/>
        <v>0</v>
      </c>
    </row>
    <row r="102" spans="2:9" s="379" customFormat="1" ht="18">
      <c r="B102" s="583"/>
      <c r="C102" s="400" t="s">
        <v>132</v>
      </c>
      <c r="D102" s="397">
        <f>SUM(D89:D101)</f>
        <v>0</v>
      </c>
      <c r="E102" s="397">
        <f>SUM(E89:E101)</f>
        <v>2250673555</v>
      </c>
      <c r="F102" s="397">
        <f>SUM(F89:F101)</f>
        <v>2250673555</v>
      </c>
    </row>
    <row r="103" spans="2:9" s="358" customFormat="1"/>
    <row r="104" spans="2:9" s="358" customFormat="1" ht="26.25" thickBot="1">
      <c r="B104" s="584" t="s">
        <v>488</v>
      </c>
      <c r="C104" s="585"/>
      <c r="D104" s="585"/>
      <c r="E104" s="585"/>
      <c r="F104" s="379"/>
      <c r="G104" s="379"/>
    </row>
    <row r="105" spans="2:9" s="384" customFormat="1" ht="15.75" thickTop="1">
      <c r="B105" s="383"/>
      <c r="C105" s="383"/>
      <c r="D105" s="383"/>
      <c r="E105" s="383"/>
      <c r="F105" s="383"/>
      <c r="G105" s="383"/>
    </row>
    <row r="106" spans="2:9" s="383" customFormat="1" ht="155.44999999999999" customHeight="1">
      <c r="B106" s="580"/>
      <c r="C106" s="581"/>
      <c r="D106" s="581"/>
      <c r="E106" s="581"/>
      <c r="F106" s="581"/>
      <c r="G106" s="581"/>
      <c r="H106" s="582"/>
    </row>
    <row r="107" spans="2:9">
      <c r="B107" s="574"/>
      <c r="C107" s="574"/>
      <c r="D107" s="574"/>
      <c r="E107" s="574"/>
      <c r="F107" s="574"/>
      <c r="G107" s="574"/>
      <c r="H107" s="574"/>
      <c r="I107" s="574"/>
    </row>
    <row r="108" spans="2:9" s="358" customFormat="1"/>
  </sheetData>
  <sheetProtection algorithmName="SHA-512" hashValue="6zISGzuKfnS/A89nIXNDzrncJ/pgXlpUi3FLKSZM2TRrRe0+NPGW+3EJmo3h6rxpxv+gUS0qlwOfxK7Ppj6vIw==" saltValue="E01/nK2NMnHXvxj8StrzSQ==" spinCount="100000" sheet="1" formatRows="0" insertRows="0" deleteRows="0" selectLockedCells="1" sort="0" autoFilter="0"/>
  <mergeCells count="57">
    <mergeCell ref="B88:B102"/>
    <mergeCell ref="B104:E104"/>
    <mergeCell ref="B32:D32"/>
    <mergeCell ref="B54:C54"/>
    <mergeCell ref="B44:C44"/>
    <mergeCell ref="B46:C46"/>
    <mergeCell ref="E46:F46"/>
    <mergeCell ref="B49:D49"/>
    <mergeCell ref="E49:G49"/>
    <mergeCell ref="B39:C39"/>
    <mergeCell ref="B34:H34"/>
    <mergeCell ref="B36:C36"/>
    <mergeCell ref="E36:F36"/>
    <mergeCell ref="B48:D48"/>
    <mergeCell ref="E48:G48"/>
    <mergeCell ref="B68:D68"/>
    <mergeCell ref="B56:G56"/>
    <mergeCell ref="B61:G61"/>
    <mergeCell ref="B72:D72"/>
    <mergeCell ref="B107:I107"/>
    <mergeCell ref="B40:C40"/>
    <mergeCell ref="B41:C41"/>
    <mergeCell ref="B42:C42"/>
    <mergeCell ref="E42:F42"/>
    <mergeCell ref="E41:F41"/>
    <mergeCell ref="E40:F40"/>
    <mergeCell ref="B86:C86"/>
    <mergeCell ref="F83:G87"/>
    <mergeCell ref="B83:D83"/>
    <mergeCell ref="B70:G70"/>
    <mergeCell ref="B74:B81"/>
    <mergeCell ref="B106:H106"/>
    <mergeCell ref="B52:D52"/>
    <mergeCell ref="E52:G52"/>
    <mergeCell ref="B38:C38"/>
    <mergeCell ref="E38:F38"/>
    <mergeCell ref="E39:F39"/>
    <mergeCell ref="B50:D50"/>
    <mergeCell ref="E50:G50"/>
    <mergeCell ref="B51:D51"/>
    <mergeCell ref="E51:G51"/>
    <mergeCell ref="D2:H2"/>
    <mergeCell ref="B5:D5"/>
    <mergeCell ref="B8:D10"/>
    <mergeCell ref="C30:D30"/>
    <mergeCell ref="B16:D16"/>
    <mergeCell ref="G30:H31"/>
    <mergeCell ref="G6:H6"/>
    <mergeCell ref="G14:H14"/>
    <mergeCell ref="G13:H13"/>
    <mergeCell ref="G12:H12"/>
    <mergeCell ref="G11:H11"/>
    <mergeCell ref="G10:H10"/>
    <mergeCell ref="G9:H9"/>
    <mergeCell ref="G8:H8"/>
    <mergeCell ref="B18:D22"/>
    <mergeCell ref="B23:D24"/>
  </mergeCells>
  <conditionalFormatting sqref="H21:H25">
    <cfRule type="cellIs" dxfId="120" priority="1" operator="equal">
      <formula>"CONDITIONAL"</formula>
    </cfRule>
    <cfRule type="cellIs" dxfId="119" priority="8" operator="equal">
      <formula>"FAIL"</formula>
    </cfRule>
    <cfRule type="cellIs" dxfId="118" priority="13" operator="equal">
      <formula>"PASS"</formula>
    </cfRule>
    <cfRule type="cellIs" dxfId="117" priority="14" operator="greaterThanOrEqual">
      <formula>0</formula>
    </cfRule>
  </conditionalFormatting>
  <conditionalFormatting sqref="D39 G39">
    <cfRule type="cellIs" dxfId="116" priority="3" operator="equal">
      <formula>0</formula>
    </cfRule>
  </conditionalFormatting>
  <conditionalFormatting sqref="D86">
    <cfRule type="expression" dxfId="115" priority="2">
      <formula>$D$86&gt;$E$86</formula>
    </cfRule>
  </conditionalFormatting>
  <dataValidations count="2">
    <dataValidation type="list" allowBlank="1" showInputMessage="1" showErrorMessage="1" sqref="G18">
      <formula1>"Start-up, Existing"</formula1>
    </dataValidation>
    <dataValidation type="list" allowBlank="1" showInputMessage="1" showErrorMessage="1" sqref="D38 G38">
      <formula1>"Monthly,Quarterly,Biannually,Annually"</formula1>
    </dataValidation>
  </dataValidations>
  <pageMargins left="0.7" right="0.7" top="0.75" bottom="0.75" header="0.3" footer="0.3"/>
  <pageSetup scale="52" fitToHeight="0" orientation="portrait" r:id="rId1"/>
  <rowBreaks count="1" manualBreakCount="1">
    <brk id="53" min="1" max="7" man="1"/>
  </rowBreaks>
  <colBreaks count="1" manualBreakCount="1">
    <brk id="10" min="1" max="202"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5"/>
  <sheetViews>
    <sheetView showGridLines="0" zoomScaleNormal="100" workbookViewId="0">
      <selection sqref="A1:XFD1048576"/>
    </sheetView>
  </sheetViews>
  <sheetFormatPr defaultColWidth="8.85546875" defaultRowHeight="15"/>
  <cols>
    <col min="2" max="2" width="38.5703125" bestFit="1" customWidth="1"/>
    <col min="3" max="3" width="28.42578125" bestFit="1" customWidth="1"/>
    <col min="5" max="5" width="25.140625" bestFit="1" customWidth="1"/>
    <col min="6" max="6" width="21.5703125" customWidth="1"/>
    <col min="7" max="7" width="27" customWidth="1"/>
    <col min="8" max="8" width="23.85546875" customWidth="1"/>
    <col min="9" max="9" width="28.85546875" bestFit="1" customWidth="1"/>
    <col min="10" max="10" width="26.5703125" customWidth="1"/>
    <col min="11" max="11" width="23.5703125" customWidth="1"/>
    <col min="12" max="12" width="35.5703125" customWidth="1"/>
    <col min="13" max="13" width="11.5703125" customWidth="1"/>
    <col min="15" max="15" width="25.140625" bestFit="1" customWidth="1"/>
    <col min="16" max="16" width="11.5703125" bestFit="1" customWidth="1"/>
    <col min="17" max="17" width="8.85546875" customWidth="1"/>
  </cols>
  <sheetData>
    <row r="1" spans="2:11" s="19" customFormat="1" ht="83.1" customHeight="1">
      <c r="F1" s="328" t="s">
        <v>308</v>
      </c>
      <c r="G1" s="143"/>
    </row>
    <row r="3" spans="2:11" ht="18.75" thickBot="1">
      <c r="B3" s="591" t="s">
        <v>467</v>
      </c>
      <c r="C3" s="591"/>
      <c r="D3" s="591"/>
      <c r="E3" s="591"/>
      <c r="F3" s="591"/>
      <c r="G3" s="591"/>
      <c r="H3" s="591"/>
      <c r="I3" s="591"/>
      <c r="J3" s="591"/>
      <c r="K3" s="591"/>
    </row>
    <row r="4" spans="2:11" ht="15.75" thickTop="1"/>
    <row r="5" spans="2:11">
      <c r="B5" s="295" t="s">
        <v>465</v>
      </c>
      <c r="C5" s="295" t="s">
        <v>316</v>
      </c>
      <c r="D5" s="295" t="s">
        <v>317</v>
      </c>
      <c r="E5" s="295" t="s">
        <v>318</v>
      </c>
      <c r="F5" s="295" t="s">
        <v>319</v>
      </c>
      <c r="G5" s="295" t="s">
        <v>320</v>
      </c>
      <c r="H5" s="295" t="s">
        <v>321</v>
      </c>
      <c r="I5" s="295" t="s">
        <v>427</v>
      </c>
      <c r="J5" s="295" t="s">
        <v>425</v>
      </c>
      <c r="K5" s="295" t="s">
        <v>466</v>
      </c>
    </row>
    <row r="6" spans="2:11">
      <c r="B6" s="300" t="s">
        <v>322</v>
      </c>
      <c r="C6" s="301">
        <v>0.9</v>
      </c>
      <c r="D6" s="301">
        <v>1</v>
      </c>
      <c r="E6" s="300">
        <v>84</v>
      </c>
      <c r="F6" s="302">
        <v>2.5</v>
      </c>
      <c r="G6" s="300">
        <v>1500</v>
      </c>
      <c r="H6" s="303">
        <v>2</v>
      </c>
      <c r="I6" s="387">
        <v>1.5</v>
      </c>
      <c r="J6" s="389">
        <v>36</v>
      </c>
      <c r="K6" s="385" t="s">
        <v>323</v>
      </c>
    </row>
    <row r="7" spans="2:11">
      <c r="B7" s="300" t="s">
        <v>324</v>
      </c>
      <c r="C7" s="301">
        <v>0.8</v>
      </c>
      <c r="D7" s="301">
        <v>0.9</v>
      </c>
      <c r="E7" s="300">
        <v>66</v>
      </c>
      <c r="F7" s="302">
        <v>2</v>
      </c>
      <c r="G7" s="300">
        <v>1250</v>
      </c>
      <c r="H7" s="303">
        <v>2.5</v>
      </c>
      <c r="I7" s="387">
        <v>1.25</v>
      </c>
      <c r="J7" s="389">
        <v>24</v>
      </c>
      <c r="K7" s="385" t="s">
        <v>325</v>
      </c>
    </row>
    <row r="8" spans="2:11">
      <c r="B8" s="300" t="s">
        <v>326</v>
      </c>
      <c r="C8" s="301">
        <v>0.7</v>
      </c>
      <c r="D8" s="301">
        <v>0.8</v>
      </c>
      <c r="E8" s="300">
        <v>54</v>
      </c>
      <c r="F8" s="302">
        <v>2</v>
      </c>
      <c r="G8" s="300">
        <v>1000</v>
      </c>
      <c r="H8" s="303">
        <v>2.5</v>
      </c>
      <c r="I8" s="387">
        <v>1</v>
      </c>
      <c r="J8" s="389">
        <v>18</v>
      </c>
      <c r="K8" s="385" t="s">
        <v>327</v>
      </c>
    </row>
    <row r="9" spans="2:11">
      <c r="B9" s="300" t="s">
        <v>328</v>
      </c>
      <c r="C9" s="301">
        <v>0.6</v>
      </c>
      <c r="D9" s="301">
        <v>0.7</v>
      </c>
      <c r="E9" s="300">
        <v>42</v>
      </c>
      <c r="F9" s="302">
        <v>1.5</v>
      </c>
      <c r="G9" s="300">
        <v>750</v>
      </c>
      <c r="H9" s="303">
        <v>3</v>
      </c>
      <c r="I9" s="387">
        <v>0.75</v>
      </c>
      <c r="J9" s="389">
        <v>12</v>
      </c>
      <c r="K9" s="385" t="s">
        <v>329</v>
      </c>
    </row>
    <row r="10" spans="2:11">
      <c r="B10" s="304" t="s">
        <v>330</v>
      </c>
      <c r="C10" s="305">
        <v>0.5</v>
      </c>
      <c r="D10" s="305">
        <v>0.6</v>
      </c>
      <c r="E10" s="304">
        <v>0</v>
      </c>
      <c r="F10" s="306">
        <v>0</v>
      </c>
      <c r="G10" s="304">
        <v>0</v>
      </c>
      <c r="H10" s="307" t="s">
        <v>306</v>
      </c>
      <c r="I10" s="388">
        <v>0</v>
      </c>
      <c r="J10" s="390">
        <v>0</v>
      </c>
      <c r="K10" s="386" t="s">
        <v>331</v>
      </c>
    </row>
    <row r="11" spans="2:11">
      <c r="B11" s="304" t="s">
        <v>332</v>
      </c>
      <c r="C11" s="305">
        <v>0.4</v>
      </c>
      <c r="D11" s="305">
        <v>0.5</v>
      </c>
      <c r="E11" s="304">
        <v>0</v>
      </c>
      <c r="F11" s="306">
        <v>0</v>
      </c>
      <c r="G11" s="304">
        <v>0</v>
      </c>
      <c r="H11" s="307" t="s">
        <v>306</v>
      </c>
      <c r="I11" s="388">
        <v>0</v>
      </c>
      <c r="J11" s="390">
        <v>0</v>
      </c>
      <c r="K11" s="386" t="s">
        <v>331</v>
      </c>
    </row>
    <row r="12" spans="2:11">
      <c r="B12" s="304" t="s">
        <v>333</v>
      </c>
      <c r="C12" s="305">
        <v>0.3</v>
      </c>
      <c r="D12" s="305">
        <v>0.4</v>
      </c>
      <c r="E12" s="304">
        <v>0</v>
      </c>
      <c r="F12" s="306">
        <v>0</v>
      </c>
      <c r="G12" s="304">
        <v>0</v>
      </c>
      <c r="H12" s="307" t="s">
        <v>306</v>
      </c>
      <c r="I12" s="388">
        <v>0</v>
      </c>
      <c r="J12" s="390">
        <v>0</v>
      </c>
      <c r="K12" s="386" t="s">
        <v>331</v>
      </c>
    </row>
    <row r="13" spans="2:11">
      <c r="B13" s="304" t="s">
        <v>334</v>
      </c>
      <c r="C13" s="305">
        <v>0.2</v>
      </c>
      <c r="D13" s="305">
        <v>0.3</v>
      </c>
      <c r="E13" s="304">
        <v>0</v>
      </c>
      <c r="F13" s="306">
        <v>0</v>
      </c>
      <c r="G13" s="304">
        <v>0</v>
      </c>
      <c r="H13" s="307" t="s">
        <v>306</v>
      </c>
      <c r="I13" s="388">
        <v>0</v>
      </c>
      <c r="J13" s="390">
        <v>0</v>
      </c>
      <c r="K13" s="386" t="s">
        <v>331</v>
      </c>
    </row>
    <row r="14" spans="2:11">
      <c r="B14" s="304" t="s">
        <v>335</v>
      </c>
      <c r="C14" s="305">
        <v>0.1</v>
      </c>
      <c r="D14" s="305">
        <v>0.2</v>
      </c>
      <c r="E14" s="304">
        <v>0</v>
      </c>
      <c r="F14" s="306">
        <v>0</v>
      </c>
      <c r="G14" s="304">
        <v>0</v>
      </c>
      <c r="H14" s="307" t="s">
        <v>306</v>
      </c>
      <c r="I14" s="388">
        <v>0</v>
      </c>
      <c r="J14" s="390">
        <v>0</v>
      </c>
      <c r="K14" s="386" t="s">
        <v>331</v>
      </c>
    </row>
    <row r="15" spans="2:11">
      <c r="B15" s="304" t="s">
        <v>336</v>
      </c>
      <c r="C15" s="305">
        <v>0</v>
      </c>
      <c r="D15" s="305">
        <v>0.1</v>
      </c>
      <c r="E15" s="304">
        <v>0</v>
      </c>
      <c r="F15" s="306">
        <v>0</v>
      </c>
      <c r="G15" s="304">
        <v>0</v>
      </c>
      <c r="H15" s="307" t="s">
        <v>306</v>
      </c>
      <c r="I15" s="388">
        <v>0</v>
      </c>
      <c r="J15" s="390">
        <v>0</v>
      </c>
      <c r="K15" s="386" t="s">
        <v>331</v>
      </c>
    </row>
    <row r="17" spans="2:9" ht="18.75" thickBot="1">
      <c r="B17" s="591" t="s">
        <v>470</v>
      </c>
      <c r="C17" s="591"/>
      <c r="D17" s="591"/>
      <c r="E17" s="591"/>
      <c r="F17" s="591"/>
      <c r="G17" s="591"/>
      <c r="H17" s="591"/>
      <c r="I17" s="591"/>
    </row>
    <row r="18" spans="2:9" ht="15.75" thickTop="1"/>
    <row r="19" spans="2:9">
      <c r="B19" s="295" t="s">
        <v>468</v>
      </c>
      <c r="C19" s="295" t="s">
        <v>316</v>
      </c>
      <c r="D19" s="295" t="s">
        <v>317</v>
      </c>
      <c r="E19" s="295" t="s">
        <v>318</v>
      </c>
      <c r="F19" s="295" t="s">
        <v>319</v>
      </c>
      <c r="G19" s="295" t="s">
        <v>320</v>
      </c>
      <c r="H19" s="295" t="s">
        <v>321</v>
      </c>
      <c r="I19" s="299" t="s">
        <v>469</v>
      </c>
    </row>
    <row r="20" spans="2:9">
      <c r="B20" s="300" t="s">
        <v>354</v>
      </c>
      <c r="C20" s="301">
        <v>0.9</v>
      </c>
      <c r="D20" s="301">
        <v>1</v>
      </c>
      <c r="E20" s="300">
        <v>54</v>
      </c>
      <c r="F20" s="302">
        <v>1.5</v>
      </c>
      <c r="G20" s="300">
        <v>1500</v>
      </c>
      <c r="H20" s="303">
        <v>3</v>
      </c>
      <c r="I20" s="423" t="s">
        <v>355</v>
      </c>
    </row>
    <row r="21" spans="2:9" ht="30">
      <c r="B21" s="300" t="s">
        <v>356</v>
      </c>
      <c r="C21" s="301">
        <v>0.8</v>
      </c>
      <c r="D21" s="301">
        <v>0.9</v>
      </c>
      <c r="E21" s="300">
        <v>54</v>
      </c>
      <c r="F21" s="302">
        <v>1.5</v>
      </c>
      <c r="G21" s="300">
        <v>1500</v>
      </c>
      <c r="H21" s="303">
        <v>3</v>
      </c>
      <c r="I21" s="423" t="s">
        <v>357</v>
      </c>
    </row>
    <row r="22" spans="2:9">
      <c r="B22" s="300" t="s">
        <v>358</v>
      </c>
      <c r="C22" s="301">
        <v>0.7</v>
      </c>
      <c r="D22" s="301">
        <v>0.8</v>
      </c>
      <c r="E22" s="300">
        <v>54</v>
      </c>
      <c r="F22" s="302">
        <v>1.5</v>
      </c>
      <c r="G22" s="300">
        <v>1500</v>
      </c>
      <c r="H22" s="303">
        <v>3</v>
      </c>
      <c r="I22" s="423" t="s">
        <v>359</v>
      </c>
    </row>
    <row r="23" spans="2:9">
      <c r="B23" s="304" t="s">
        <v>360</v>
      </c>
      <c r="C23" s="305">
        <v>0</v>
      </c>
      <c r="D23" s="305">
        <v>0.7</v>
      </c>
      <c r="E23" s="304">
        <v>0</v>
      </c>
      <c r="F23" s="306">
        <v>0</v>
      </c>
      <c r="G23" s="304">
        <v>0</v>
      </c>
      <c r="H23" s="307" t="s">
        <v>306</v>
      </c>
      <c r="I23" s="424" t="s">
        <v>361</v>
      </c>
    </row>
    <row r="25" spans="2:9" ht="18.75" thickBot="1">
      <c r="B25" s="591" t="s">
        <v>489</v>
      </c>
      <c r="C25" s="591"/>
    </row>
    <row r="26" spans="2:9" ht="15.75" thickTop="1"/>
    <row r="27" spans="2:9">
      <c r="B27" s="295" t="s">
        <v>129</v>
      </c>
      <c r="C27" s="296" t="s">
        <v>310</v>
      </c>
    </row>
    <row r="28" spans="2:9">
      <c r="B28" t="s">
        <v>130</v>
      </c>
      <c r="C28" s="297">
        <v>0.4</v>
      </c>
    </row>
    <row r="29" spans="2:9">
      <c r="B29" t="s">
        <v>312</v>
      </c>
      <c r="C29" s="297">
        <v>0.4</v>
      </c>
    </row>
    <row r="30" spans="2:9">
      <c r="B30" t="s">
        <v>131</v>
      </c>
      <c r="C30" s="297">
        <v>0.2</v>
      </c>
    </row>
    <row r="32" spans="2:9" ht="18.75" thickBot="1">
      <c r="B32" s="591" t="s">
        <v>536</v>
      </c>
      <c r="C32" s="591"/>
    </row>
    <row r="33" spans="2:3" ht="15.75" thickTop="1"/>
    <row r="34" spans="2:3">
      <c r="B34" s="295" t="s">
        <v>129</v>
      </c>
      <c r="C34" s="296" t="s">
        <v>311</v>
      </c>
    </row>
    <row r="35" spans="2:3">
      <c r="B35" t="s">
        <v>130</v>
      </c>
      <c r="C35" s="344">
        <v>0.25</v>
      </c>
    </row>
    <row r="36" spans="2:3">
      <c r="B36" t="s">
        <v>365</v>
      </c>
      <c r="C36" s="344">
        <v>0.2</v>
      </c>
    </row>
    <row r="37" spans="2:3">
      <c r="B37" t="s">
        <v>200</v>
      </c>
      <c r="C37" s="344">
        <v>0.1</v>
      </c>
    </row>
    <row r="38" spans="2:3">
      <c r="B38" t="s">
        <v>207</v>
      </c>
      <c r="C38" s="344">
        <v>0.45</v>
      </c>
    </row>
    <row r="40" spans="2:3" ht="18.75" thickBot="1">
      <c r="B40" s="591" t="s">
        <v>472</v>
      </c>
      <c r="C40" s="591"/>
    </row>
    <row r="41" spans="2:3" ht="15.75" thickTop="1"/>
    <row r="42" spans="2:3">
      <c r="B42" s="295" t="s">
        <v>103</v>
      </c>
      <c r="C42" s="296" t="s">
        <v>311</v>
      </c>
    </row>
    <row r="43" spans="2:3">
      <c r="B43" t="str">
        <f>'Credit Rating (Existing)'!E21</f>
        <v>Customer Relationship</v>
      </c>
      <c r="C43" s="297">
        <v>1</v>
      </c>
    </row>
    <row r="44" spans="2:3">
      <c r="B44" t="s">
        <v>532</v>
      </c>
      <c r="C44" s="297">
        <v>1</v>
      </c>
    </row>
    <row r="45" spans="2:3">
      <c r="B45" t="str">
        <f>'Credit Rating (Existing)'!E32</f>
        <v>Industry Sector</v>
      </c>
      <c r="C45" s="297">
        <v>1</v>
      </c>
    </row>
    <row r="47" spans="2:3">
      <c r="B47" s="1" t="s">
        <v>493</v>
      </c>
      <c r="C47" s="9">
        <f>C68*C43+C79*C44+C186*C45</f>
        <v>73.5</v>
      </c>
    </row>
    <row r="49" spans="2:3">
      <c r="B49" s="1" t="s">
        <v>535</v>
      </c>
      <c r="C49" s="298">
        <v>0.6</v>
      </c>
    </row>
    <row r="51" spans="2:3" ht="18.75" thickBot="1">
      <c r="B51" s="591" t="s">
        <v>540</v>
      </c>
      <c r="C51" s="591"/>
    </row>
    <row r="52" spans="2:3" ht="15.75" thickTop="1"/>
    <row r="53" spans="2:3">
      <c r="B53" s="1" t="s">
        <v>493</v>
      </c>
      <c r="C53" s="9">
        <f>'Model Data'!C186</f>
        <v>63.5</v>
      </c>
    </row>
    <row r="55" spans="2:3">
      <c r="B55" s="1" t="s">
        <v>541</v>
      </c>
      <c r="C55" s="298">
        <v>0.6</v>
      </c>
    </row>
    <row r="57" spans="2:3" ht="18.75" thickBot="1">
      <c r="B57" s="591" t="s">
        <v>492</v>
      </c>
      <c r="C57" s="591"/>
    </row>
    <row r="58" spans="2:3" ht="15.75" thickTop="1"/>
    <row r="59" spans="2:3">
      <c r="B59" s="295" t="s">
        <v>491</v>
      </c>
      <c r="C59" s="296" t="s">
        <v>257</v>
      </c>
    </row>
    <row r="60" spans="2:3">
      <c r="B60" s="310" t="s">
        <v>520</v>
      </c>
      <c r="C60" s="310">
        <v>5</v>
      </c>
    </row>
    <row r="61" spans="2:3">
      <c r="B61" s="312" t="s">
        <v>524</v>
      </c>
      <c r="C61" s="312">
        <v>4</v>
      </c>
    </row>
    <row r="62" spans="2:3">
      <c r="B62" s="312" t="s">
        <v>525</v>
      </c>
      <c r="C62">
        <v>3</v>
      </c>
    </row>
    <row r="63" spans="2:3">
      <c r="B63" s="312" t="s">
        <v>523</v>
      </c>
      <c r="C63">
        <v>2</v>
      </c>
    </row>
    <row r="64" spans="2:3">
      <c r="B64" t="s">
        <v>521</v>
      </c>
      <c r="C64">
        <v>1</v>
      </c>
    </row>
    <row r="65" spans="2:3">
      <c r="B65" t="s">
        <v>522</v>
      </c>
      <c r="C65">
        <v>0</v>
      </c>
    </row>
    <row r="66" spans="2:3">
      <c r="B66" t="s">
        <v>401</v>
      </c>
      <c r="C66">
        <v>1</v>
      </c>
    </row>
    <row r="68" spans="2:3">
      <c r="B68" s="1" t="s">
        <v>314</v>
      </c>
      <c r="C68" s="9">
        <f>C60</f>
        <v>5</v>
      </c>
    </row>
    <row r="70" spans="2:3" ht="18.75" thickBot="1">
      <c r="B70" s="591" t="s">
        <v>526</v>
      </c>
      <c r="C70" s="591"/>
    </row>
    <row r="71" spans="2:3" ht="15.75" thickTop="1"/>
    <row r="72" spans="2:3">
      <c r="B72" s="295" t="s">
        <v>532</v>
      </c>
      <c r="C72" s="296" t="s">
        <v>257</v>
      </c>
    </row>
    <row r="73" spans="2:3">
      <c r="B73" s="310" t="s">
        <v>531</v>
      </c>
      <c r="C73" s="310">
        <v>5</v>
      </c>
    </row>
    <row r="74" spans="2:3">
      <c r="B74" s="312" t="s">
        <v>527</v>
      </c>
      <c r="C74" s="312">
        <v>4</v>
      </c>
    </row>
    <row r="75" spans="2:3">
      <c r="B75" s="312" t="s">
        <v>528</v>
      </c>
      <c r="C75">
        <v>0</v>
      </c>
    </row>
    <row r="76" spans="2:3">
      <c r="B76" s="312" t="s">
        <v>529</v>
      </c>
      <c r="C76">
        <v>0</v>
      </c>
    </row>
    <row r="77" spans="2:3">
      <c r="B77" t="s">
        <v>530</v>
      </c>
      <c r="C77">
        <v>0</v>
      </c>
    </row>
    <row r="79" spans="2:3">
      <c r="B79" s="1" t="s">
        <v>314</v>
      </c>
      <c r="C79" s="9">
        <f>C73</f>
        <v>5</v>
      </c>
    </row>
    <row r="81" spans="2:3" ht="18.75" thickBot="1">
      <c r="B81" s="591" t="s">
        <v>309</v>
      </c>
      <c r="C81" s="591"/>
    </row>
    <row r="82" spans="2:3" ht="15.75" thickTop="1"/>
    <row r="83" spans="2:3">
      <c r="B83" s="295" t="s">
        <v>82</v>
      </c>
      <c r="C83" s="296" t="s">
        <v>311</v>
      </c>
    </row>
    <row r="84" spans="2:3">
      <c r="B84" t="str">
        <f>'Credit Rating (Existing)'!C95</f>
        <v>Operational Cash/ Interest (ratio)</v>
      </c>
      <c r="C84" s="297">
        <v>0.6</v>
      </c>
    </row>
    <row r="85" spans="2:3">
      <c r="B85" t="str">
        <f>'Credit Rating (Existing)'!C96</f>
        <v>Operational Cash/ Turnover (percentage)</v>
      </c>
      <c r="C85" s="297">
        <v>0.4</v>
      </c>
    </row>
    <row r="86" spans="2:3">
      <c r="B86" t="str">
        <f>'Credit Rating (Existing)'!C97</f>
        <v>Debt Repayment Period (days)</v>
      </c>
      <c r="C86" s="297">
        <v>0.4</v>
      </c>
    </row>
    <row r="87" spans="2:3">
      <c r="B87" t="str">
        <f>'Credit Rating (Existing)'!C98</f>
        <v>Gross Margin (percentage)</v>
      </c>
      <c r="C87" s="297">
        <v>0.2</v>
      </c>
    </row>
    <row r="88" spans="2:3">
      <c r="B88" t="str">
        <f>'Credit Rating (Existing)'!C99</f>
        <v>PBT/ Total Assets (percentage)</v>
      </c>
      <c r="C88" s="297">
        <v>0.1</v>
      </c>
    </row>
    <row r="89" spans="2:3">
      <c r="B89" t="str">
        <f>'Credit Rating (Existing)'!C100</f>
        <v>Sales Growth (percentage)</v>
      </c>
      <c r="C89" s="297">
        <v>0.2</v>
      </c>
    </row>
    <row r="90" spans="2:3">
      <c r="B90" t="str">
        <f>'Credit Rating (Existing)'!C101</f>
        <v>Total Debt/ Capital (ratio)</v>
      </c>
      <c r="C90" s="297">
        <v>0.6</v>
      </c>
    </row>
    <row r="91" spans="2:3">
      <c r="B91" t="str">
        <f>'Credit Rating (Existing)'!C102</f>
        <v>Total Debt/ Total Assets (ratio)</v>
      </c>
      <c r="C91" s="297">
        <v>0.5</v>
      </c>
    </row>
    <row r="92" spans="2:3">
      <c r="B92" t="str">
        <f>'Credit Rating (Existing)'!C103</f>
        <v>Return on Equity (percentage)</v>
      </c>
      <c r="C92" s="297">
        <v>0.2</v>
      </c>
    </row>
    <row r="93" spans="2:3">
      <c r="B93" t="str">
        <f>'Credit Rating (Existing)'!C104</f>
        <v>Quick Ratio (ratio)</v>
      </c>
      <c r="C93" s="297">
        <v>0.4</v>
      </c>
    </row>
    <row r="94" spans="2:3">
      <c r="B94" t="str">
        <f>'Credit Rating (Existing)'!C105</f>
        <v>Stock Turnover (days)</v>
      </c>
      <c r="C94" s="297">
        <v>0.2</v>
      </c>
    </row>
    <row r="95" spans="2:3">
      <c r="B95" t="str">
        <f>'Credit Rating (Existing)'!C106</f>
        <v>Receivables Turnover (days)</v>
      </c>
      <c r="C95" s="297">
        <v>0.2</v>
      </c>
    </row>
    <row r="97" spans="2:3">
      <c r="B97" s="1" t="s">
        <v>314</v>
      </c>
      <c r="C97" s="9">
        <f>SUM(Financial_Ratio_Weightings[Weighting])*C212</f>
        <v>20</v>
      </c>
    </row>
    <row r="99" spans="2:3">
      <c r="B99" s="1" t="s">
        <v>315</v>
      </c>
      <c r="C99" s="298">
        <v>0.6</v>
      </c>
    </row>
    <row r="101" spans="2:3" ht="18.75" thickBot="1">
      <c r="B101" s="591" t="s">
        <v>548</v>
      </c>
      <c r="C101" s="591"/>
    </row>
    <row r="102" spans="2:3" ht="15.75" thickTop="1"/>
    <row r="103" spans="2:3">
      <c r="B103" s="295" t="s">
        <v>103</v>
      </c>
      <c r="C103" s="296" t="s">
        <v>311</v>
      </c>
    </row>
    <row r="104" spans="2:3">
      <c r="B104" t="s">
        <v>97</v>
      </c>
      <c r="C104" s="297">
        <v>0.5</v>
      </c>
    </row>
    <row r="105" spans="2:3">
      <c r="B105" t="s">
        <v>160</v>
      </c>
      <c r="C105" s="297">
        <v>1</v>
      </c>
    </row>
    <row r="106" spans="2:3">
      <c r="B106" t="s">
        <v>163</v>
      </c>
      <c r="C106" s="297">
        <v>0.1</v>
      </c>
    </row>
    <row r="108" spans="2:3">
      <c r="B108" s="1" t="s">
        <v>314</v>
      </c>
      <c r="C108" s="9">
        <f>'Model Data'!$C$212*SUM(Capitalisation_Criteria[Weighting])</f>
        <v>8</v>
      </c>
    </row>
    <row r="110" spans="2:3">
      <c r="B110" s="1" t="s">
        <v>315</v>
      </c>
      <c r="C110" s="298">
        <v>0.6</v>
      </c>
    </row>
    <row r="112" spans="2:3" ht="18.75" thickBot="1">
      <c r="B112" s="591" t="s">
        <v>352</v>
      </c>
      <c r="C112" s="591"/>
    </row>
    <row r="113" spans="2:3" ht="15.75" thickTop="1"/>
    <row r="114" spans="2:3">
      <c r="B114" s="1" t="s">
        <v>353</v>
      </c>
      <c r="C114" s="298">
        <v>0.1</v>
      </c>
    </row>
    <row r="116" spans="2:3" ht="18.75" thickBot="1">
      <c r="B116" s="591" t="s">
        <v>498</v>
      </c>
      <c r="C116" s="591"/>
    </row>
    <row r="117" spans="2:3" ht="15.75" thickTop="1"/>
    <row r="118" spans="2:3">
      <c r="B118" s="295" t="s">
        <v>501</v>
      </c>
      <c r="C118" s="296" t="s">
        <v>311</v>
      </c>
    </row>
    <row r="119" spans="2:3">
      <c r="B119" t="str">
        <f>'Credit Rating (Existing)'!C121</f>
        <v>Character</v>
      </c>
      <c r="C119" s="297">
        <v>1</v>
      </c>
    </row>
    <row r="120" spans="2:3">
      <c r="B120" t="str">
        <f>'Credit Rating (Existing)'!C122</f>
        <v>Ownership &amp; Governance</v>
      </c>
      <c r="C120" s="297">
        <v>0.8</v>
      </c>
    </row>
    <row r="121" spans="2:3">
      <c r="B121" t="str">
        <f>'Credit Rating (Existing)'!C123</f>
        <v>Succession Planning</v>
      </c>
      <c r="C121" s="297">
        <v>0.7</v>
      </c>
    </row>
    <row r="122" spans="2:3">
      <c r="B122" t="str">
        <f>'Credit Rating (Existing)'!C126</f>
        <v>Management Experience</v>
      </c>
      <c r="C122" s="297">
        <v>0.9</v>
      </c>
    </row>
    <row r="123" spans="2:3">
      <c r="B123" t="str">
        <f>'Credit Rating (Existing)'!C127</f>
        <v>Technical Competence</v>
      </c>
      <c r="C123" s="297">
        <v>0.8</v>
      </c>
    </row>
    <row r="124" spans="2:3">
      <c r="B124" t="str">
        <f>'Credit Rating (Existing)'!C130</f>
        <v>Strategic Management</v>
      </c>
      <c r="C124" s="297">
        <v>0.8</v>
      </c>
    </row>
    <row r="125" spans="2:3">
      <c r="B125" t="str">
        <f>'Credit Rating (Existing)'!C133</f>
        <v>Financial Management</v>
      </c>
      <c r="C125" s="297">
        <v>1</v>
      </c>
    </row>
    <row r="126" spans="2:3">
      <c r="B126" t="str">
        <f>'Credit Rating (Existing)'!C136</f>
        <v>Risk Management</v>
      </c>
      <c r="C126" s="297">
        <v>0.7</v>
      </c>
    </row>
    <row r="127" spans="2:3">
      <c r="B127" t="str">
        <f>'Credit Rating (Existing)'!C139</f>
        <v>Marketing &amp; Sales</v>
      </c>
      <c r="C127" s="297">
        <v>0.7</v>
      </c>
    </row>
    <row r="128" spans="2:3">
      <c r="B128" t="str">
        <f>'Credit Rating (Existing)'!C142</f>
        <v>Facilities &amp; Equipment</v>
      </c>
      <c r="C128" s="297">
        <v>0.8</v>
      </c>
    </row>
    <row r="129" spans="2:3">
      <c r="B129" t="str">
        <f>'Credit Rating (Existing)'!C145</f>
        <v>Human Resources</v>
      </c>
      <c r="C129" s="297">
        <v>0.7</v>
      </c>
    </row>
    <row r="130" spans="2:3">
      <c r="B130" t="str">
        <f>'Credit Rating (Existing)'!C148</f>
        <v>Trading History</v>
      </c>
      <c r="C130" s="297">
        <v>0.6</v>
      </c>
    </row>
    <row r="131" spans="2:3">
      <c r="B131" t="str">
        <f>'Credit Rating (Existing)'!C149</f>
        <v>Repayment History</v>
      </c>
      <c r="C131" s="297">
        <v>0.9</v>
      </c>
    </row>
    <row r="132" spans="2:3">
      <c r="B132" t="str">
        <f>'Credit Rating (Existing)'!C152</f>
        <v>Market Share</v>
      </c>
      <c r="C132" s="297">
        <v>0.8</v>
      </c>
    </row>
    <row r="133" spans="2:3">
      <c r="B133" t="str">
        <f>'Credit Rating (Existing)'!C155</f>
        <v>Customer Base</v>
      </c>
      <c r="C133" s="297">
        <v>0.8</v>
      </c>
    </row>
    <row r="134" spans="2:3">
      <c r="B134" t="str">
        <f>'Credit Rating (Existing)'!C158</f>
        <v>Product Range</v>
      </c>
      <c r="C134" s="297">
        <v>0.7</v>
      </c>
    </row>
    <row r="135" spans="2:3">
      <c r="B135" t="str">
        <f>'Credit Rating (Existing)'!C161</f>
        <v>Supply Chain</v>
      </c>
      <c r="C135" s="297">
        <v>0.7</v>
      </c>
    </row>
    <row r="137" spans="2:3">
      <c r="B137" s="1" t="s">
        <v>314</v>
      </c>
      <c r="C137" s="9">
        <f>SUM(Business_Risk_Review_Weightings[Weighting])*C212</f>
        <v>67</v>
      </c>
    </row>
    <row r="139" spans="2:3">
      <c r="B139" s="1" t="s">
        <v>315</v>
      </c>
      <c r="C139" s="298">
        <v>0.6</v>
      </c>
    </row>
    <row r="141" spans="2:3" ht="18.75" thickBot="1">
      <c r="B141" s="591" t="s">
        <v>542</v>
      </c>
      <c r="C141" s="591"/>
    </row>
    <row r="142" spans="2:3" ht="15.75" thickTop="1"/>
    <row r="143" spans="2:3">
      <c r="B143" s="295" t="s">
        <v>103</v>
      </c>
      <c r="C143" s="296" t="s">
        <v>311</v>
      </c>
    </row>
    <row r="144" spans="2:3">
      <c r="B144" t="str">
        <f>'Credit Rating (Start-up)'!C167</f>
        <v>Promoter Track Record</v>
      </c>
      <c r="C144" s="297">
        <v>1</v>
      </c>
    </row>
    <row r="145" spans="2:3">
      <c r="B145" t="str">
        <f>'Credit Rating (Start-up)'!C170</f>
        <v>Promoter Credit/ Repayment History</v>
      </c>
      <c r="C145" s="297">
        <v>1</v>
      </c>
    </row>
    <row r="146" spans="2:3">
      <c r="B146" t="str">
        <f>'Credit Rating (Start-up)'!C173</f>
        <v>Ownership Structure</v>
      </c>
      <c r="C146" s="297">
        <v>1</v>
      </c>
    </row>
    <row r="147" spans="2:3">
      <c r="B147" t="str">
        <f>'Credit Rating (Start-up)'!C176</f>
        <v>Technical Management</v>
      </c>
      <c r="C147" s="297">
        <v>1</v>
      </c>
    </row>
    <row r="148" spans="2:3">
      <c r="B148" t="str">
        <f>'Credit Rating (Start-up)'!C179</f>
        <v>Succession Planning</v>
      </c>
      <c r="C148" s="297">
        <v>1</v>
      </c>
    </row>
    <row r="149" spans="2:3">
      <c r="B149" t="str">
        <f>'Credit Rating (Start-up)'!C182</f>
        <v>Strategic Plan</v>
      </c>
      <c r="C149" s="297">
        <v>1</v>
      </c>
    </row>
    <row r="150" spans="2:3">
      <c r="B150" t="str">
        <f>'Credit Rating (Start-up)'!C185</f>
        <v>Financial Plan</v>
      </c>
      <c r="C150" s="297">
        <v>1</v>
      </c>
    </row>
    <row r="151" spans="2:3">
      <c r="B151" t="str">
        <f>'Credit Rating (Start-up)'!C188</f>
        <v>Input Sourcing</v>
      </c>
      <c r="C151" s="297">
        <v>1</v>
      </c>
    </row>
    <row r="152" spans="2:3">
      <c r="B152" t="str">
        <f>'Credit Rating (Start-up)'!C191</f>
        <v>Processing/ Manufacturing Location</v>
      </c>
      <c r="C152" s="297">
        <v>1</v>
      </c>
    </row>
    <row r="153" spans="2:3">
      <c r="B153" t="str">
        <f>'Credit Rating (Start-up)'!C194</f>
        <v>Regulatory Compliance</v>
      </c>
      <c r="C153" s="297">
        <v>1</v>
      </c>
    </row>
    <row r="154" spans="2:3">
      <c r="B154" t="str">
        <f>'Credit Rating (Start-up)'!C197</f>
        <v>Risk Management</v>
      </c>
      <c r="C154" s="297">
        <v>1</v>
      </c>
    </row>
    <row r="155" spans="2:3">
      <c r="B155" t="str">
        <f>'Credit Rating (Start-up)'!C200</f>
        <v>Customer Base</v>
      </c>
      <c r="C155" s="297">
        <v>1</v>
      </c>
    </row>
    <row r="156" spans="2:3">
      <c r="B156" t="str">
        <f>'Credit Rating (Start-up)'!C203</f>
        <v>Product Range</v>
      </c>
      <c r="C156" s="297">
        <v>1</v>
      </c>
    </row>
    <row r="157" spans="2:3">
      <c r="B157" t="str">
        <f>'Credit Rating (Start-up)'!C206</f>
        <v>Supply Chain Management</v>
      </c>
      <c r="C157" s="297">
        <v>1</v>
      </c>
    </row>
    <row r="158" spans="2:3">
      <c r="B158" t="str">
        <f>'Credit Rating (Start-up)'!C209</f>
        <v>Sales &amp; Marketing Strategy</v>
      </c>
      <c r="C158" s="297">
        <v>1</v>
      </c>
    </row>
    <row r="160" spans="2:3">
      <c r="B160" s="1" t="s">
        <v>314</v>
      </c>
      <c r="C160" s="9">
        <f>'Model Data'!$C$212*SUM(Feasability_Assessment_Weightings[Weighting])</f>
        <v>75</v>
      </c>
    </row>
    <row r="162" spans="2:3">
      <c r="B162" s="1" t="s">
        <v>315</v>
      </c>
      <c r="C162" s="298">
        <v>0.6</v>
      </c>
    </row>
    <row r="164" spans="2:3" ht="18.75" thickBot="1">
      <c r="B164" s="591" t="s">
        <v>500</v>
      </c>
      <c r="C164" s="591"/>
    </row>
    <row r="165" spans="2:3" ht="15.75" thickTop="1"/>
    <row r="166" spans="2:3">
      <c r="B166" s="295" t="s">
        <v>499</v>
      </c>
      <c r="C166" s="296" t="s">
        <v>311</v>
      </c>
    </row>
    <row r="167" spans="2:3">
      <c r="B167" t="str">
        <f>'Industry Sector Analysis'!C6</f>
        <v>Interest Rate Sensitivity</v>
      </c>
      <c r="C167" s="297">
        <v>1</v>
      </c>
    </row>
    <row r="168" spans="2:3">
      <c r="B168" t="str">
        <f>'Industry Sector Analysis'!D6</f>
        <v>Exchange Rate Sensitivity</v>
      </c>
      <c r="C168" s="297">
        <v>0.8</v>
      </c>
    </row>
    <row r="169" spans="2:3">
      <c r="B169" t="str">
        <f>'Industry Sector Analysis'!E6</f>
        <v>Business Cycle Sensitivity</v>
      </c>
      <c r="C169" s="297">
        <v>0.8</v>
      </c>
    </row>
    <row r="170" spans="2:3">
      <c r="B170" t="str">
        <f>'Industry Sector Analysis'!F6</f>
        <v>Inflation Sensitivity</v>
      </c>
      <c r="C170" s="297">
        <v>0.7</v>
      </c>
    </row>
    <row r="171" spans="2:3">
      <c r="B171" t="s">
        <v>243</v>
      </c>
      <c r="C171" s="297">
        <v>0.5</v>
      </c>
    </row>
    <row r="172" spans="2:3">
      <c r="B172" t="str">
        <f>'Industry Sector Analysis'!H6</f>
        <v>Fiscal Policy Sensitivity</v>
      </c>
      <c r="C172" s="297">
        <v>0.7</v>
      </c>
    </row>
    <row r="173" spans="2:3">
      <c r="B173" t="str">
        <f>'Industry Sector Analysis'!I6</f>
        <v>International Trade Sensitivity</v>
      </c>
      <c r="C173" s="297">
        <v>0.6</v>
      </c>
    </row>
    <row r="174" spans="2:3">
      <c r="B174" t="str">
        <f>'Industry Sector Analysis'!J6</f>
        <v>Regulatory Sensitivity</v>
      </c>
      <c r="C174" s="297">
        <v>0.6</v>
      </c>
    </row>
    <row r="175" spans="2:3">
      <c r="B175" t="str">
        <f>'Industry Sector Analysis'!K6</f>
        <v>Environmental Sensitivity</v>
      </c>
      <c r="C175" s="297">
        <v>0.5</v>
      </c>
    </row>
    <row r="176" spans="2:3">
      <c r="B176" t="str">
        <f>'Industry Sector Analysis'!L6</f>
        <v>Industry Stage Sensitivity</v>
      </c>
      <c r="C176" s="297">
        <v>1</v>
      </c>
    </row>
    <row r="177" spans="2:3">
      <c r="B177" t="str">
        <f>'Industry Sector Analysis'!M6</f>
        <v>Competitive Intensity</v>
      </c>
      <c r="C177" s="297">
        <v>0.8</v>
      </c>
    </row>
    <row r="178" spans="2:3">
      <c r="B178" t="str">
        <f>'Industry Sector Analysis'!N6</f>
        <v>Value Chain Sophistication</v>
      </c>
      <c r="C178" s="297">
        <v>0.6</v>
      </c>
    </row>
    <row r="179" spans="2:3">
      <c r="B179" t="str">
        <f>'Industry Sector Analysis'!O6</f>
        <v>Product Subsitution Sensitivity</v>
      </c>
      <c r="C179" s="297">
        <v>0.7</v>
      </c>
    </row>
    <row r="180" spans="2:3">
      <c r="B180" t="str">
        <f>'Industry Sector Analysis'!P6</f>
        <v>Demographic Sensitivity</v>
      </c>
      <c r="C180" s="297">
        <v>0.7</v>
      </c>
    </row>
    <row r="181" spans="2:3">
      <c r="B181" t="str">
        <f>'Industry Sector Analysis'!Q6</f>
        <v>Climate/Disease Sensitivity</v>
      </c>
      <c r="C181" s="297">
        <v>0.6</v>
      </c>
    </row>
    <row r="182" spans="2:3">
      <c r="B182" t="str">
        <f>'Industry Sector Analysis'!R6</f>
        <v>Labour Relations Sensitivity</v>
      </c>
      <c r="C182" s="297">
        <v>0.8</v>
      </c>
    </row>
    <row r="183" spans="2:3">
      <c r="B183" t="str">
        <f>'Industry Sector Analysis'!S6</f>
        <v>Capital Intensity</v>
      </c>
      <c r="C183" s="297">
        <v>0.9</v>
      </c>
    </row>
    <row r="184" spans="2:3">
      <c r="B184" t="str">
        <f>'Industry Sector Analysis'!T6</f>
        <v>Security Risk</v>
      </c>
      <c r="C184" s="297">
        <v>0.4</v>
      </c>
    </row>
    <row r="186" spans="2:3">
      <c r="B186" s="1" t="s">
        <v>314</v>
      </c>
      <c r="C186" s="9">
        <f>SUM(Industry_Sector_Criteria_Weighting[Weighting])*C212</f>
        <v>63.5</v>
      </c>
    </row>
    <row r="188" spans="2:3">
      <c r="B188" s="314" t="s">
        <v>22</v>
      </c>
    </row>
    <row r="189" spans="2:3">
      <c r="B189" s="316" t="s">
        <v>416</v>
      </c>
    </row>
    <row r="190" spans="2:3">
      <c r="B190" s="316" t="s">
        <v>23</v>
      </c>
    </row>
    <row r="191" spans="2:3">
      <c r="B191" s="316" t="s">
        <v>417</v>
      </c>
    </row>
    <row r="192" spans="2:3">
      <c r="B192" s="316" t="s">
        <v>406</v>
      </c>
    </row>
    <row r="193" spans="2:2">
      <c r="B193" s="316" t="s">
        <v>403</v>
      </c>
    </row>
    <row r="194" spans="2:2">
      <c r="B194" s="316" t="s">
        <v>410</v>
      </c>
    </row>
    <row r="195" spans="2:2">
      <c r="B195" s="316" t="s">
        <v>411</v>
      </c>
    </row>
    <row r="196" spans="2:2">
      <c r="B196" s="316" t="s">
        <v>392</v>
      </c>
    </row>
    <row r="197" spans="2:2">
      <c r="B197" s="316" t="s">
        <v>413</v>
      </c>
    </row>
    <row r="198" spans="2:2">
      <c r="B198" s="316" t="s">
        <v>404</v>
      </c>
    </row>
    <row r="199" spans="2:2">
      <c r="B199" s="316" t="s">
        <v>412</v>
      </c>
    </row>
    <row r="200" spans="2:2">
      <c r="B200" s="316" t="s">
        <v>415</v>
      </c>
    </row>
    <row r="201" spans="2:2">
      <c r="B201" s="316" t="s">
        <v>407</v>
      </c>
    </row>
    <row r="202" spans="2:2">
      <c r="B202" s="316" t="s">
        <v>154</v>
      </c>
    </row>
    <row r="203" spans="2:2">
      <c r="B203" s="316" t="s">
        <v>409</v>
      </c>
    </row>
    <row r="204" spans="2:2">
      <c r="B204" s="316" t="s">
        <v>402</v>
      </c>
    </row>
    <row r="205" spans="2:2">
      <c r="B205" s="316" t="s">
        <v>408</v>
      </c>
    </row>
    <row r="206" spans="2:2">
      <c r="B206" s="316" t="s">
        <v>405</v>
      </c>
    </row>
    <row r="207" spans="2:2">
      <c r="B207" s="316" t="s">
        <v>414</v>
      </c>
    </row>
    <row r="208" spans="2:2">
      <c r="B208" s="316" t="s">
        <v>418</v>
      </c>
    </row>
    <row r="209" spans="1:3">
      <c r="B209" s="316" t="s">
        <v>419</v>
      </c>
    </row>
    <row r="211" spans="1:3">
      <c r="B211" s="295" t="s">
        <v>104</v>
      </c>
      <c r="C211" s="296" t="s">
        <v>257</v>
      </c>
    </row>
    <row r="212" spans="1:3">
      <c r="B212" s="308" t="s">
        <v>259</v>
      </c>
      <c r="C212" s="309">
        <v>5</v>
      </c>
    </row>
    <row r="213" spans="1:3">
      <c r="B213" s="310" t="s">
        <v>195</v>
      </c>
      <c r="C213" s="309">
        <v>4</v>
      </c>
    </row>
    <row r="214" spans="1:3">
      <c r="B214" s="310" t="s">
        <v>107</v>
      </c>
      <c r="C214" s="309">
        <v>3</v>
      </c>
    </row>
    <row r="215" spans="1:3">
      <c r="B215" s="310" t="s">
        <v>260</v>
      </c>
      <c r="C215" s="309">
        <v>2</v>
      </c>
    </row>
    <row r="216" spans="1:3">
      <c r="B216" s="310" t="s">
        <v>261</v>
      </c>
      <c r="C216" s="309">
        <v>1</v>
      </c>
    </row>
    <row r="217" spans="1:3">
      <c r="B217" s="308"/>
      <c r="C217" s="308"/>
    </row>
    <row r="218" spans="1:3">
      <c r="B218" s="295" t="s">
        <v>313</v>
      </c>
      <c r="C218" s="308"/>
    </row>
    <row r="219" spans="1:3">
      <c r="A219" s="310"/>
      <c r="B219" s="311" t="s">
        <v>28</v>
      </c>
      <c r="C219" s="310"/>
    </row>
    <row r="220" spans="1:3">
      <c r="A220" s="310"/>
      <c r="B220" s="311" t="s">
        <v>301</v>
      </c>
      <c r="C220" s="310"/>
    </row>
    <row r="221" spans="1:3">
      <c r="A221" s="310"/>
      <c r="B221" s="311" t="s">
        <v>300</v>
      </c>
      <c r="C221" s="310"/>
    </row>
    <row r="222" spans="1:3">
      <c r="A222" s="310"/>
      <c r="B222" s="311" t="s">
        <v>455</v>
      </c>
      <c r="C222" s="310"/>
    </row>
    <row r="223" spans="1:3">
      <c r="A223" s="310"/>
      <c r="B223" s="311" t="s">
        <v>362</v>
      </c>
      <c r="C223" s="310"/>
    </row>
    <row r="224" spans="1:3">
      <c r="A224" s="310"/>
      <c r="B224" s="311"/>
      <c r="C224" s="310"/>
    </row>
    <row r="225" spans="2:2">
      <c r="B225" s="314" t="s">
        <v>36</v>
      </c>
    </row>
    <row r="226" spans="2:2">
      <c r="B226" s="315" t="s">
        <v>37</v>
      </c>
    </row>
    <row r="227" spans="2:2">
      <c r="B227" s="316" t="s">
        <v>337</v>
      </c>
    </row>
    <row r="228" spans="2:2">
      <c r="B228" s="317" t="s">
        <v>338</v>
      </c>
    </row>
    <row r="229" spans="2:2">
      <c r="B229" s="316" t="s">
        <v>339</v>
      </c>
    </row>
    <row r="230" spans="2:2">
      <c r="B230" s="316"/>
    </row>
    <row r="231" spans="2:2">
      <c r="B231" s="314" t="s">
        <v>559</v>
      </c>
    </row>
    <row r="232" spans="2:2">
      <c r="B232" s="315" t="s">
        <v>35</v>
      </c>
    </row>
    <row r="233" spans="2:2">
      <c r="B233" s="316" t="s">
        <v>558</v>
      </c>
    </row>
    <row r="234" spans="2:2">
      <c r="B234" s="317"/>
    </row>
    <row r="235" spans="2:2">
      <c r="B235" s="316"/>
    </row>
    <row r="254" spans="2:2">
      <c r="B254" s="313" t="s">
        <v>154</v>
      </c>
    </row>
    <row r="255" spans="2:2">
      <c r="B255" t="s">
        <v>14</v>
      </c>
    </row>
    <row r="256" spans="2:2">
      <c r="B256" t="s">
        <v>340</v>
      </c>
    </row>
    <row r="257" spans="2:3">
      <c r="B257" t="s">
        <v>341</v>
      </c>
    </row>
    <row r="258" spans="2:3">
      <c r="B258" t="s">
        <v>342</v>
      </c>
    </row>
    <row r="260" spans="2:3">
      <c r="B260" s="313" t="s">
        <v>23</v>
      </c>
    </row>
    <row r="261" spans="2:3">
      <c r="B261" t="s">
        <v>343</v>
      </c>
    </row>
    <row r="262" spans="2:3">
      <c r="B262" t="s">
        <v>344</v>
      </c>
    </row>
    <row r="263" spans="2:3">
      <c r="B263" t="s">
        <v>345</v>
      </c>
    </row>
    <row r="264" spans="2:3">
      <c r="B264" t="s">
        <v>346</v>
      </c>
    </row>
    <row r="265" spans="2:3">
      <c r="B265" t="s">
        <v>347</v>
      </c>
    </row>
    <row r="266" spans="2:3">
      <c r="B266" t="s">
        <v>348</v>
      </c>
    </row>
    <row r="267" spans="2:3">
      <c r="B267" t="s">
        <v>349</v>
      </c>
    </row>
    <row r="268" spans="2:3">
      <c r="B268" t="s">
        <v>350</v>
      </c>
    </row>
    <row r="269" spans="2:3">
      <c r="B269" t="s">
        <v>351</v>
      </c>
    </row>
    <row r="271" spans="2:3">
      <c r="B271" s="401" t="s">
        <v>443</v>
      </c>
      <c r="C271" s="401" t="s">
        <v>446</v>
      </c>
    </row>
    <row r="272" spans="2:3">
      <c r="B272" s="316" t="s">
        <v>41</v>
      </c>
      <c r="C272" s="316" t="s">
        <v>447</v>
      </c>
    </row>
    <row r="273" spans="2:3">
      <c r="B273" s="316" t="s">
        <v>442</v>
      </c>
      <c r="C273" s="316" t="s">
        <v>448</v>
      </c>
    </row>
    <row r="274" spans="2:3">
      <c r="B274" s="316" t="s">
        <v>444</v>
      </c>
      <c r="C274" s="316" t="s">
        <v>450</v>
      </c>
    </row>
    <row r="275" spans="2:3">
      <c r="B275" s="316" t="s">
        <v>445</v>
      </c>
      <c r="C275" s="316" t="s">
        <v>449</v>
      </c>
    </row>
  </sheetData>
  <sheetProtection algorithmName="SHA-512" hashValue="xHhTPjH6O4DcR8SAKvMQ60YbqaT9NRo+1FaxDQR/JQDBUEfYs44eILxmHtkFTSUR9lHnq0cmco+nuvRAZFRBIA==" saltValue="t6jYugDhPtQ7gr7vyA/d9w==" spinCount="100000" sheet="1" selectLockedCells="1" selectUnlockedCells="1"/>
  <mergeCells count="14">
    <mergeCell ref="B164:C164"/>
    <mergeCell ref="B70:C70"/>
    <mergeCell ref="B32:C32"/>
    <mergeCell ref="B51:C51"/>
    <mergeCell ref="B141:C141"/>
    <mergeCell ref="B101:C101"/>
    <mergeCell ref="B3:K3"/>
    <mergeCell ref="B17:I17"/>
    <mergeCell ref="B81:C81"/>
    <mergeCell ref="B116:C116"/>
    <mergeCell ref="B57:C57"/>
    <mergeCell ref="B40:C40"/>
    <mergeCell ref="B112:C112"/>
    <mergeCell ref="B25:C25"/>
  </mergeCells>
  <dataValidations count="2">
    <dataValidation type="decimal" allowBlank="1" showInputMessage="1" showErrorMessage="1" sqref="C43:C45">
      <formula1>0</formula1>
      <formula2>1</formula2>
    </dataValidation>
    <dataValidation type="decimal" allowBlank="1" showInputMessage="1" showErrorMessage="1" errorTitle="Criteria Weighting" error="The value must be between 0 and 1 inclusive." promptTitle="Criteria Weighting" prompt="Please enter a value between value between 0 and 1. 0 means the criterion will be ignored. 1 gives the criterion the full relative weighting. Any fraction will be assessed realtive to the weightings of the other criteria." sqref="C167:C184">
      <formula1>0</formula1>
      <formula2>1</formula2>
    </dataValidation>
  </dataValidations>
  <pageMargins left="0.7" right="0.7" top="0.75" bottom="0.75" header="0.3" footer="0.3"/>
  <pageSetup orientation="portrait" r:id="rId1"/>
  <drawing r:id="rId2"/>
  <tableParts count="20">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6"/>
  <sheetViews>
    <sheetView showGridLines="0" zoomScaleNormal="100" workbookViewId="0">
      <selection activeCell="D16" sqref="D16"/>
    </sheetView>
  </sheetViews>
  <sheetFormatPr defaultColWidth="8.85546875" defaultRowHeight="15"/>
  <cols>
    <col min="2" max="2" width="30.140625" customWidth="1"/>
    <col min="3" max="3" width="22.140625" customWidth="1"/>
    <col min="4" max="4" width="23.5703125" customWidth="1"/>
    <col min="5" max="5" width="23.42578125" customWidth="1"/>
    <col min="6" max="7" width="18.5703125" customWidth="1"/>
    <col min="8" max="8" width="21.140625" customWidth="1"/>
    <col min="9" max="9" width="27.5703125" customWidth="1"/>
    <col min="10" max="10" width="20.42578125" customWidth="1"/>
    <col min="11" max="11" width="23.85546875" customWidth="1"/>
    <col min="12" max="12" width="23.42578125" customWidth="1"/>
    <col min="13" max="13" width="20.42578125" customWidth="1"/>
    <col min="14" max="14" width="24.85546875" customWidth="1"/>
    <col min="15" max="15" width="27.85546875" customWidth="1"/>
    <col min="16" max="16" width="22.5703125" customWidth="1"/>
    <col min="17" max="17" width="18.5703125" customWidth="1"/>
    <col min="18" max="18" width="25.42578125" customWidth="1"/>
    <col min="19" max="20" width="18.5703125" customWidth="1"/>
    <col min="21" max="21" width="11.140625" customWidth="1"/>
  </cols>
  <sheetData>
    <row r="1" spans="2:21" s="19" customFormat="1" ht="83.1" customHeight="1">
      <c r="D1" s="328" t="s">
        <v>233</v>
      </c>
    </row>
    <row r="2" spans="2:21" ht="15.75" thickBot="1"/>
    <row r="3" spans="2:21" ht="50.1" customHeight="1" thickBot="1">
      <c r="B3" s="20" t="s">
        <v>234</v>
      </c>
      <c r="C3" s="594"/>
      <c r="D3" s="595"/>
      <c r="E3" s="595"/>
      <c r="F3" s="595"/>
      <c r="G3" s="595"/>
      <c r="H3" s="596"/>
    </row>
    <row r="5" spans="2:21" ht="18.75">
      <c r="C5" s="592" t="s">
        <v>235</v>
      </c>
      <c r="D5" s="592"/>
      <c r="E5" s="592"/>
      <c r="F5" s="592"/>
      <c r="G5" s="326"/>
      <c r="H5" s="593" t="s">
        <v>236</v>
      </c>
      <c r="I5" s="593"/>
      <c r="J5" s="593"/>
      <c r="K5" s="593"/>
      <c r="L5" s="592" t="s">
        <v>237</v>
      </c>
      <c r="M5" s="592"/>
      <c r="N5" s="592"/>
      <c r="O5" s="592"/>
      <c r="P5" s="593" t="s">
        <v>238</v>
      </c>
      <c r="Q5" s="593"/>
      <c r="R5" s="593"/>
      <c r="S5" s="593"/>
      <c r="T5" s="327"/>
      <c r="U5" s="21"/>
    </row>
    <row r="6" spans="2:21" ht="45">
      <c r="B6" s="429" t="s">
        <v>29</v>
      </c>
      <c r="C6" s="22" t="s">
        <v>239</v>
      </c>
      <c r="D6" s="23" t="s">
        <v>240</v>
      </c>
      <c r="E6" s="22" t="s">
        <v>241</v>
      </c>
      <c r="F6" s="23" t="s">
        <v>242</v>
      </c>
      <c r="G6" s="22" t="s">
        <v>243</v>
      </c>
      <c r="H6" s="23" t="s">
        <v>244</v>
      </c>
      <c r="I6" s="22" t="s">
        <v>245</v>
      </c>
      <c r="J6" s="23" t="s">
        <v>246</v>
      </c>
      <c r="K6" s="22" t="s">
        <v>247</v>
      </c>
      <c r="L6" s="23" t="s">
        <v>248</v>
      </c>
      <c r="M6" s="22" t="s">
        <v>249</v>
      </c>
      <c r="N6" s="23" t="s">
        <v>250</v>
      </c>
      <c r="O6" s="22" t="s">
        <v>251</v>
      </c>
      <c r="P6" s="23" t="s">
        <v>252</v>
      </c>
      <c r="Q6" s="22" t="s">
        <v>253</v>
      </c>
      <c r="R6" s="23" t="s">
        <v>254</v>
      </c>
      <c r="S6" s="22" t="s">
        <v>255</v>
      </c>
      <c r="T6" s="23" t="s">
        <v>256</v>
      </c>
      <c r="U6" s="431" t="s">
        <v>481</v>
      </c>
    </row>
    <row r="7" spans="2:21">
      <c r="B7" s="10" t="s">
        <v>258</v>
      </c>
      <c r="C7" s="10" t="s">
        <v>259</v>
      </c>
      <c r="D7" s="10" t="s">
        <v>195</v>
      </c>
      <c r="E7" s="10" t="s">
        <v>107</v>
      </c>
      <c r="F7" s="10" t="s">
        <v>107</v>
      </c>
      <c r="G7" s="10" t="s">
        <v>107</v>
      </c>
      <c r="H7" s="10" t="s">
        <v>107</v>
      </c>
      <c r="I7" s="10" t="s">
        <v>195</v>
      </c>
      <c r="J7" s="10" t="s">
        <v>259</v>
      </c>
      <c r="K7" s="10" t="s">
        <v>195</v>
      </c>
      <c r="L7" s="10" t="s">
        <v>260</v>
      </c>
      <c r="M7" s="10" t="s">
        <v>261</v>
      </c>
      <c r="N7" s="10" t="s">
        <v>195</v>
      </c>
      <c r="O7" s="10" t="s">
        <v>261</v>
      </c>
      <c r="P7" s="10" t="s">
        <v>107</v>
      </c>
      <c r="Q7" s="10" t="s">
        <v>107</v>
      </c>
      <c r="R7" s="10" t="s">
        <v>259</v>
      </c>
      <c r="S7" s="10" t="s">
        <v>261</v>
      </c>
      <c r="T7" s="10" t="s">
        <v>107</v>
      </c>
      <c r="U7" s="9">
        <f>VLOOKUP($C7, Rating_Scores[],2,FALSE)*VLOOKUP($C$6, Industry_Sector_Criteria_Weighting[],2,FALSE)+VLOOKUP($D7, Rating_Scores[],2,FALSE)*VLOOKUP($D$6, Industry_Sector_Criteria_Weighting[],2,FALSE)+VLOOKUP($E7, Rating_Scores[],2,FALSE)*VLOOKUP($E$6, Industry_Sector_Criteria_Weighting[],2,FALSE)+VLOOKUP($F7, Rating_Scores[],2,FALSE)*VLOOKUP($F$6, Industry_Sector_Criteria_Weighting[],2,FALSE)+VLOOKUP($G7, Rating_Scores[],2,FALSE)*VLOOKUP($G$6, Industry_Sector_Criteria_Weighting[],2,FALSE)+VLOOKUP($H7, Rating_Scores[],2,FALSE)*VLOOKUP($H$6, Industry_Sector_Criteria_Weighting[],2,FALSE)+VLOOKUP($I7, Rating_Scores[],2,FALSE)*VLOOKUP($I$6, Industry_Sector_Criteria_Weighting[],2,FALSE)+VLOOKUP($J7, Rating_Scores[],2,FALSE)*VLOOKUP($J$6, Industry_Sector_Criteria_Weighting[],2,FALSE)+VLOOKUP($K7, Rating_Scores[],2,FALSE)*VLOOKUP($K$6, Industry_Sector_Criteria_Weighting[],2,FALSE)+VLOOKUP($L7, Rating_Scores[],2,FALSE)*VLOOKUP($L$6, Industry_Sector_Criteria_Weighting[],2,FALSE)+VLOOKUP($M7, Rating_Scores[],2,FALSE)*VLOOKUP($M$6, Industry_Sector_Criteria_Weighting[],2,FALSE)+VLOOKUP($N7, Rating_Scores[],2,FALSE)*VLOOKUP($N$6, Industry_Sector_Criteria_Weighting[],2,FALSE)+VLOOKUP($O7, Rating_Scores[],2,FALSE)*VLOOKUP($O$6, Industry_Sector_Criteria_Weighting[],2,FALSE)+VLOOKUP($P7, Rating_Scores[],2,FALSE)*VLOOKUP($P$6, Industry_Sector_Criteria_Weighting[],2,FALSE)+VLOOKUP($Q7, Rating_Scores[],2,FALSE)*VLOOKUP($Q$6, Industry_Sector_Criteria_Weighting[],2,FALSE)+VLOOKUP($R7, Rating_Scores[],2,FALSE)*VLOOKUP($R$6, Industry_Sector_Criteria_Weighting[],2,FALSE)+VLOOKUP($S7, Rating_Scores[],2,FALSE)*VLOOKUP($S$6, Industry_Sector_Criteria_Weighting[],2,FALSE)+VLOOKUP($T7, Rating_Scores[],2,FALSE)*VLOOKUP($T$6, Industry_Sector_Criteria_Weighting[],2,FALSE)</f>
        <v>39.599999999999994</v>
      </c>
    </row>
    <row r="8" spans="2:21">
      <c r="B8" s="10" t="s">
        <v>262</v>
      </c>
      <c r="C8" s="10" t="s">
        <v>107</v>
      </c>
      <c r="D8" s="10" t="s">
        <v>195</v>
      </c>
      <c r="E8" s="10" t="s">
        <v>107</v>
      </c>
      <c r="F8" s="10" t="s">
        <v>107</v>
      </c>
      <c r="G8" s="10" t="s">
        <v>260</v>
      </c>
      <c r="H8" s="10" t="s">
        <v>107</v>
      </c>
      <c r="I8" s="10" t="s">
        <v>195</v>
      </c>
      <c r="J8" s="10" t="s">
        <v>107</v>
      </c>
      <c r="K8" s="10" t="s">
        <v>195</v>
      </c>
      <c r="L8" s="10" t="s">
        <v>107</v>
      </c>
      <c r="M8" s="10" t="s">
        <v>260</v>
      </c>
      <c r="N8" s="10" t="s">
        <v>107</v>
      </c>
      <c r="O8" s="10" t="s">
        <v>107</v>
      </c>
      <c r="P8" s="10" t="s">
        <v>107</v>
      </c>
      <c r="Q8" s="10" t="s">
        <v>107</v>
      </c>
      <c r="R8" s="10" t="s">
        <v>259</v>
      </c>
      <c r="S8" s="10" t="s">
        <v>107</v>
      </c>
      <c r="T8" s="10" t="s">
        <v>195</v>
      </c>
      <c r="U8" s="9">
        <f>VLOOKUP($C8, Rating_Scores[],2,FALSE)*VLOOKUP($C$6, Industry_Sector_Criteria_Weighting[],2,FALSE)+VLOOKUP($D8, Rating_Scores[],2,FALSE)*VLOOKUP($D$6, Industry_Sector_Criteria_Weighting[],2,FALSE)+VLOOKUP($E8, Rating_Scores[],2,FALSE)*VLOOKUP($E$6, Industry_Sector_Criteria_Weighting[],2,FALSE)+VLOOKUP($F8, Rating_Scores[],2,FALSE)*VLOOKUP($F$6, Industry_Sector_Criteria_Weighting[],2,FALSE)+VLOOKUP($G8, Rating_Scores[],2,FALSE)*VLOOKUP($G$6, Industry_Sector_Criteria_Weighting[],2,FALSE)+VLOOKUP($H8, Rating_Scores[],2,FALSE)*VLOOKUP($H$6, Industry_Sector_Criteria_Weighting[],2,FALSE)+VLOOKUP($I8, Rating_Scores[],2,FALSE)*VLOOKUP($I$6, Industry_Sector_Criteria_Weighting[],2,FALSE)+VLOOKUP($J8, Rating_Scores[],2,FALSE)*VLOOKUP($J$6, Industry_Sector_Criteria_Weighting[],2,FALSE)+VLOOKUP($K8, Rating_Scores[],2,FALSE)*VLOOKUP($K$6, Industry_Sector_Criteria_Weighting[],2,FALSE)+VLOOKUP($L8, Rating_Scores[],2,FALSE)*VLOOKUP($L$6, Industry_Sector_Criteria_Weighting[],2,FALSE)+VLOOKUP($M8, Rating_Scores[],2,FALSE)*VLOOKUP($M$6, Industry_Sector_Criteria_Weighting[],2,FALSE)+VLOOKUP($N8, Rating_Scores[],2,FALSE)*VLOOKUP($N$6, Industry_Sector_Criteria_Weighting[],2,FALSE)+VLOOKUP($O8, Rating_Scores[],2,FALSE)*VLOOKUP($O$6, Industry_Sector_Criteria_Weighting[],2,FALSE)+VLOOKUP($P8, Rating_Scores[],2,FALSE)*VLOOKUP($P$6, Industry_Sector_Criteria_Weighting[],2,FALSE)+VLOOKUP($Q8, Rating_Scores[],2,FALSE)*VLOOKUP($Q$6, Industry_Sector_Criteria_Weighting[],2,FALSE)+VLOOKUP($R8, Rating_Scores[],2,FALSE)*VLOOKUP($R$6, Industry_Sector_Criteria_Weighting[],2,FALSE)+VLOOKUP($S8, Rating_Scores[],2,FALSE)*VLOOKUP($S$6, Industry_Sector_Criteria_Weighting[],2,FALSE)+VLOOKUP($T8, Rating_Scores[],2,FALSE)*VLOOKUP($T$6, Industry_Sector_Criteria_Weighting[],2,FALSE)</f>
        <v>40.700000000000003</v>
      </c>
    </row>
    <row r="9" spans="2:21">
      <c r="B9" s="10" t="s">
        <v>263</v>
      </c>
      <c r="C9" s="10" t="s">
        <v>195</v>
      </c>
      <c r="D9" s="10" t="s">
        <v>260</v>
      </c>
      <c r="E9" s="10" t="s">
        <v>259</v>
      </c>
      <c r="F9" s="10" t="s">
        <v>107</v>
      </c>
      <c r="G9" s="10" t="s">
        <v>195</v>
      </c>
      <c r="H9" s="10" t="s">
        <v>259</v>
      </c>
      <c r="I9" s="10" t="s">
        <v>107</v>
      </c>
      <c r="J9" s="10" t="s">
        <v>195</v>
      </c>
      <c r="K9" s="10" t="s">
        <v>107</v>
      </c>
      <c r="L9" s="10" t="s">
        <v>259</v>
      </c>
      <c r="M9" s="10" t="s">
        <v>260</v>
      </c>
      <c r="N9" s="10" t="s">
        <v>195</v>
      </c>
      <c r="O9" s="10" t="s">
        <v>260</v>
      </c>
      <c r="P9" s="10" t="s">
        <v>259</v>
      </c>
      <c r="Q9" s="10" t="s">
        <v>260</v>
      </c>
      <c r="R9" s="10" t="s">
        <v>259</v>
      </c>
      <c r="S9" s="10" t="s">
        <v>195</v>
      </c>
      <c r="T9" s="10" t="s">
        <v>260</v>
      </c>
      <c r="U9" s="9">
        <f>VLOOKUP($C9, Rating_Scores[],2,FALSE)*VLOOKUP($C$6, Industry_Sector_Criteria_Weighting[],2,FALSE)+VLOOKUP($D9, Rating_Scores[],2,FALSE)*VLOOKUP($D$6, Industry_Sector_Criteria_Weighting[],2,FALSE)+VLOOKUP($E9, Rating_Scores[],2,FALSE)*VLOOKUP($E$6, Industry_Sector_Criteria_Weighting[],2,FALSE)+VLOOKUP($F9, Rating_Scores[],2,FALSE)*VLOOKUP($F$6, Industry_Sector_Criteria_Weighting[],2,FALSE)+VLOOKUP($G9, Rating_Scores[],2,FALSE)*VLOOKUP($G$6, Industry_Sector_Criteria_Weighting[],2,FALSE)+VLOOKUP($H9, Rating_Scores[],2,FALSE)*VLOOKUP($H$6, Industry_Sector_Criteria_Weighting[],2,FALSE)+VLOOKUP($I9, Rating_Scores[],2,FALSE)*VLOOKUP($I$6, Industry_Sector_Criteria_Weighting[],2,FALSE)+VLOOKUP($J9, Rating_Scores[],2,FALSE)*VLOOKUP($J$6, Industry_Sector_Criteria_Weighting[],2,FALSE)+VLOOKUP($K9, Rating_Scores[],2,FALSE)*VLOOKUP($K$6, Industry_Sector_Criteria_Weighting[],2,FALSE)+VLOOKUP($L9, Rating_Scores[],2,FALSE)*VLOOKUP($L$6, Industry_Sector_Criteria_Weighting[],2,FALSE)+VLOOKUP($M9, Rating_Scores[],2,FALSE)*VLOOKUP($M$6, Industry_Sector_Criteria_Weighting[],2,FALSE)+VLOOKUP($N9, Rating_Scores[],2,FALSE)*VLOOKUP($N$6, Industry_Sector_Criteria_Weighting[],2,FALSE)+VLOOKUP($O9, Rating_Scores[],2,FALSE)*VLOOKUP($O$6, Industry_Sector_Criteria_Weighting[],2,FALSE)+VLOOKUP($P9, Rating_Scores[],2,FALSE)*VLOOKUP($P$6, Industry_Sector_Criteria_Weighting[],2,FALSE)+VLOOKUP($Q9, Rating_Scores[],2,FALSE)*VLOOKUP($Q$6, Industry_Sector_Criteria_Weighting[],2,FALSE)+VLOOKUP($R9, Rating_Scores[],2,FALSE)*VLOOKUP($R$6, Industry_Sector_Criteria_Weighting[],2,FALSE)+VLOOKUP($S9, Rating_Scores[],2,FALSE)*VLOOKUP($S$6, Industry_Sector_Criteria_Weighting[],2,FALSE)+VLOOKUP($T9, Rating_Scores[],2,FALSE)*VLOOKUP($T$6, Industry_Sector_Criteria_Weighting[],2,FALSE)</f>
        <v>46.4</v>
      </c>
    </row>
    <row r="10" spans="2:21">
      <c r="B10" s="10" t="s">
        <v>264</v>
      </c>
      <c r="C10" s="10" t="s">
        <v>195</v>
      </c>
      <c r="D10" s="10" t="s">
        <v>107</v>
      </c>
      <c r="E10" s="10" t="s">
        <v>259</v>
      </c>
      <c r="F10" s="10" t="s">
        <v>195</v>
      </c>
      <c r="G10" s="10" t="s">
        <v>195</v>
      </c>
      <c r="H10" s="10" t="s">
        <v>259</v>
      </c>
      <c r="I10" s="10" t="s">
        <v>259</v>
      </c>
      <c r="J10" s="10" t="s">
        <v>260</v>
      </c>
      <c r="K10" s="10" t="s">
        <v>195</v>
      </c>
      <c r="L10" s="10" t="s">
        <v>259</v>
      </c>
      <c r="M10" s="10" t="s">
        <v>260</v>
      </c>
      <c r="N10" s="10" t="s">
        <v>260</v>
      </c>
      <c r="O10" s="10" t="s">
        <v>259</v>
      </c>
      <c r="P10" s="10" t="s">
        <v>259</v>
      </c>
      <c r="Q10" s="10" t="s">
        <v>195</v>
      </c>
      <c r="R10" s="10" t="s">
        <v>259</v>
      </c>
      <c r="S10" s="10" t="s">
        <v>107</v>
      </c>
      <c r="T10" s="10" t="s">
        <v>195</v>
      </c>
      <c r="U10" s="9">
        <f>VLOOKUP($C10, Rating_Scores[],2,FALSE)*VLOOKUP($C$6, Industry_Sector_Criteria_Weighting[],2,FALSE)+VLOOKUP($D10, Rating_Scores[],2,FALSE)*VLOOKUP($D$6, Industry_Sector_Criteria_Weighting[],2,FALSE)+VLOOKUP($E10, Rating_Scores[],2,FALSE)*VLOOKUP($E$6, Industry_Sector_Criteria_Weighting[],2,FALSE)+VLOOKUP($F10, Rating_Scores[],2,FALSE)*VLOOKUP($F$6, Industry_Sector_Criteria_Weighting[],2,FALSE)+VLOOKUP($G10, Rating_Scores[],2,FALSE)*VLOOKUP($G$6, Industry_Sector_Criteria_Weighting[],2,FALSE)+VLOOKUP($H10, Rating_Scores[],2,FALSE)*VLOOKUP($H$6, Industry_Sector_Criteria_Weighting[],2,FALSE)+VLOOKUP($I10, Rating_Scores[],2,FALSE)*VLOOKUP($I$6, Industry_Sector_Criteria_Weighting[],2,FALSE)+VLOOKUP($J10, Rating_Scores[],2,FALSE)*VLOOKUP($J$6, Industry_Sector_Criteria_Weighting[],2,FALSE)+VLOOKUP($K10, Rating_Scores[],2,FALSE)*VLOOKUP($K$6, Industry_Sector_Criteria_Weighting[],2,FALSE)+VLOOKUP($L10, Rating_Scores[],2,FALSE)*VLOOKUP($L$6, Industry_Sector_Criteria_Weighting[],2,FALSE)+VLOOKUP($M10, Rating_Scores[],2,FALSE)*VLOOKUP($M$6, Industry_Sector_Criteria_Weighting[],2,FALSE)+VLOOKUP($N10, Rating_Scores[],2,FALSE)*VLOOKUP($N$6, Industry_Sector_Criteria_Weighting[],2,FALSE)+VLOOKUP($O10, Rating_Scores[],2,FALSE)*VLOOKUP($O$6, Industry_Sector_Criteria_Weighting[],2,FALSE)+VLOOKUP($P10, Rating_Scores[],2,FALSE)*VLOOKUP($P$6, Industry_Sector_Criteria_Weighting[],2,FALSE)+VLOOKUP($Q10, Rating_Scores[],2,FALSE)*VLOOKUP($Q$6, Industry_Sector_Criteria_Weighting[],2,FALSE)+VLOOKUP($R10, Rating_Scores[],2,FALSE)*VLOOKUP($R$6, Industry_Sector_Criteria_Weighting[],2,FALSE)+VLOOKUP($S10, Rating_Scores[],2,FALSE)*VLOOKUP($S$6, Industry_Sector_Criteria_Weighting[],2,FALSE)+VLOOKUP($T10, Rating_Scores[],2,FALSE)*VLOOKUP($T$6, Industry_Sector_Criteria_Weighting[],2,FALSE)</f>
        <v>50.400000000000006</v>
      </c>
    </row>
    <row r="11" spans="2:21">
      <c r="B11" s="10" t="s">
        <v>265</v>
      </c>
      <c r="C11" s="10" t="s">
        <v>195</v>
      </c>
      <c r="D11" s="10" t="s">
        <v>195</v>
      </c>
      <c r="E11" s="10" t="s">
        <v>195</v>
      </c>
      <c r="F11" s="10" t="s">
        <v>107</v>
      </c>
      <c r="G11" s="10" t="s">
        <v>107</v>
      </c>
      <c r="H11" s="10" t="s">
        <v>195</v>
      </c>
      <c r="I11" s="10" t="s">
        <v>259</v>
      </c>
      <c r="J11" s="10" t="s">
        <v>195</v>
      </c>
      <c r="K11" s="10" t="s">
        <v>107</v>
      </c>
      <c r="L11" s="10" t="s">
        <v>195</v>
      </c>
      <c r="M11" s="10" t="s">
        <v>261</v>
      </c>
      <c r="N11" s="10" t="s">
        <v>107</v>
      </c>
      <c r="O11" s="10" t="s">
        <v>195</v>
      </c>
      <c r="P11" s="10" t="s">
        <v>195</v>
      </c>
      <c r="Q11" s="10" t="s">
        <v>107</v>
      </c>
      <c r="R11" s="10" t="s">
        <v>259</v>
      </c>
      <c r="S11" s="10" t="s">
        <v>261</v>
      </c>
      <c r="T11" s="10" t="s">
        <v>195</v>
      </c>
      <c r="U11" s="9">
        <f>VLOOKUP($C11, Rating_Scores[],2,FALSE)*VLOOKUP($C$6, Industry_Sector_Criteria_Weighting[],2,FALSE)+VLOOKUP($D11, Rating_Scores[],2,FALSE)*VLOOKUP($D$6, Industry_Sector_Criteria_Weighting[],2,FALSE)+VLOOKUP($E11, Rating_Scores[],2,FALSE)*VLOOKUP($E$6, Industry_Sector_Criteria_Weighting[],2,FALSE)+VLOOKUP($F11, Rating_Scores[],2,FALSE)*VLOOKUP($F$6, Industry_Sector_Criteria_Weighting[],2,FALSE)+VLOOKUP($G11, Rating_Scores[],2,FALSE)*VLOOKUP($G$6, Industry_Sector_Criteria_Weighting[],2,FALSE)+VLOOKUP($H11, Rating_Scores[],2,FALSE)*VLOOKUP($H$6, Industry_Sector_Criteria_Weighting[],2,FALSE)+VLOOKUP($I11, Rating_Scores[],2,FALSE)*VLOOKUP($I$6, Industry_Sector_Criteria_Weighting[],2,FALSE)+VLOOKUP($J11, Rating_Scores[],2,FALSE)*VLOOKUP($J$6, Industry_Sector_Criteria_Weighting[],2,FALSE)+VLOOKUP($K11, Rating_Scores[],2,FALSE)*VLOOKUP($K$6, Industry_Sector_Criteria_Weighting[],2,FALSE)+VLOOKUP($L11, Rating_Scores[],2,FALSE)*VLOOKUP($L$6, Industry_Sector_Criteria_Weighting[],2,FALSE)+VLOOKUP($M11, Rating_Scores[],2,FALSE)*VLOOKUP($M$6, Industry_Sector_Criteria_Weighting[],2,FALSE)+VLOOKUP($N11, Rating_Scores[],2,FALSE)*VLOOKUP($N$6, Industry_Sector_Criteria_Weighting[],2,FALSE)+VLOOKUP($O11, Rating_Scores[],2,FALSE)*VLOOKUP($O$6, Industry_Sector_Criteria_Weighting[],2,FALSE)+VLOOKUP($P11, Rating_Scores[],2,FALSE)*VLOOKUP($P$6, Industry_Sector_Criteria_Weighting[],2,FALSE)+VLOOKUP($Q11, Rating_Scores[],2,FALSE)*VLOOKUP($Q$6, Industry_Sector_Criteria_Weighting[],2,FALSE)+VLOOKUP($R11, Rating_Scores[],2,FALSE)*VLOOKUP($R$6, Industry_Sector_Criteria_Weighting[],2,FALSE)+VLOOKUP($S11, Rating_Scores[],2,FALSE)*VLOOKUP($S$6, Industry_Sector_Criteria_Weighting[],2,FALSE)+VLOOKUP($T11, Rating_Scores[],2,FALSE)*VLOOKUP($T$6, Industry_Sector_Criteria_Weighting[],2,FALSE)</f>
        <v>44.199999999999996</v>
      </c>
    </row>
    <row r="12" spans="2:21">
      <c r="B12" s="10" t="s">
        <v>266</v>
      </c>
      <c r="C12" s="10" t="s">
        <v>107</v>
      </c>
      <c r="D12" s="10" t="s">
        <v>195</v>
      </c>
      <c r="E12" s="10" t="s">
        <v>195</v>
      </c>
      <c r="F12" s="10" t="s">
        <v>195</v>
      </c>
      <c r="G12" s="10" t="s">
        <v>260</v>
      </c>
      <c r="H12" s="10" t="s">
        <v>259</v>
      </c>
      <c r="I12" s="10" t="s">
        <v>259</v>
      </c>
      <c r="J12" s="10" t="s">
        <v>260</v>
      </c>
      <c r="K12" s="10" t="s">
        <v>195</v>
      </c>
      <c r="L12" s="10" t="s">
        <v>107</v>
      </c>
      <c r="M12" s="10" t="s">
        <v>260</v>
      </c>
      <c r="N12" s="10" t="s">
        <v>260</v>
      </c>
      <c r="O12" s="10" t="s">
        <v>195</v>
      </c>
      <c r="P12" s="10" t="s">
        <v>195</v>
      </c>
      <c r="Q12" s="10" t="s">
        <v>195</v>
      </c>
      <c r="R12" s="10" t="s">
        <v>259</v>
      </c>
      <c r="S12" s="10" t="s">
        <v>107</v>
      </c>
      <c r="T12" s="10" t="s">
        <v>259</v>
      </c>
      <c r="U12" s="9">
        <f>VLOOKUP($C12, Rating_Scores[],2,FALSE)*VLOOKUP($C$6, Industry_Sector_Criteria_Weighting[],2,FALSE)+VLOOKUP($D12, Rating_Scores[],2,FALSE)*VLOOKUP($D$6, Industry_Sector_Criteria_Weighting[],2,FALSE)+VLOOKUP($E12, Rating_Scores[],2,FALSE)*VLOOKUP($E$6, Industry_Sector_Criteria_Weighting[],2,FALSE)+VLOOKUP($F12, Rating_Scores[],2,FALSE)*VLOOKUP($F$6, Industry_Sector_Criteria_Weighting[],2,FALSE)+VLOOKUP($G12, Rating_Scores[],2,FALSE)*VLOOKUP($G$6, Industry_Sector_Criteria_Weighting[],2,FALSE)+VLOOKUP($H12, Rating_Scores[],2,FALSE)*VLOOKUP($H$6, Industry_Sector_Criteria_Weighting[],2,FALSE)+VLOOKUP($I12, Rating_Scores[],2,FALSE)*VLOOKUP($I$6, Industry_Sector_Criteria_Weighting[],2,FALSE)+VLOOKUP($J12, Rating_Scores[],2,FALSE)*VLOOKUP($J$6, Industry_Sector_Criteria_Weighting[],2,FALSE)+VLOOKUP($K12, Rating_Scores[],2,FALSE)*VLOOKUP($K$6, Industry_Sector_Criteria_Weighting[],2,FALSE)+VLOOKUP($L12, Rating_Scores[],2,FALSE)*VLOOKUP($L$6, Industry_Sector_Criteria_Weighting[],2,FALSE)+VLOOKUP($M12, Rating_Scores[],2,FALSE)*VLOOKUP($M$6, Industry_Sector_Criteria_Weighting[],2,FALSE)+VLOOKUP($N12, Rating_Scores[],2,FALSE)*VLOOKUP($N$6, Industry_Sector_Criteria_Weighting[],2,FALSE)+VLOOKUP($O12, Rating_Scores[],2,FALSE)*VLOOKUP($O$6, Industry_Sector_Criteria_Weighting[],2,FALSE)+VLOOKUP($P12, Rating_Scores[],2,FALSE)*VLOOKUP($P$6, Industry_Sector_Criteria_Weighting[],2,FALSE)+VLOOKUP($Q12, Rating_Scores[],2,FALSE)*VLOOKUP($Q$6, Industry_Sector_Criteria_Weighting[],2,FALSE)+VLOOKUP($R12, Rating_Scores[],2,FALSE)*VLOOKUP($R$6, Industry_Sector_Criteria_Weighting[],2,FALSE)+VLOOKUP($S12, Rating_Scores[],2,FALSE)*VLOOKUP($S$6, Industry_Sector_Criteria_Weighting[],2,FALSE)+VLOOKUP($T12, Rating_Scores[],2,FALSE)*VLOOKUP($T$6, Industry_Sector_Criteria_Weighting[],2,FALSE)</f>
        <v>45.4</v>
      </c>
    </row>
    <row r="13" spans="2:21">
      <c r="B13" s="10" t="s">
        <v>267</v>
      </c>
      <c r="C13" s="10" t="s">
        <v>260</v>
      </c>
      <c r="D13" s="10" t="s">
        <v>260</v>
      </c>
      <c r="E13" s="10" t="s">
        <v>260</v>
      </c>
      <c r="F13" s="10" t="s">
        <v>107</v>
      </c>
      <c r="G13" s="10" t="s">
        <v>107</v>
      </c>
      <c r="H13" s="10" t="s">
        <v>107</v>
      </c>
      <c r="I13" s="10" t="s">
        <v>260</v>
      </c>
      <c r="J13" s="10" t="s">
        <v>195</v>
      </c>
      <c r="K13" s="10" t="s">
        <v>195</v>
      </c>
      <c r="L13" s="10" t="s">
        <v>195</v>
      </c>
      <c r="M13" s="10" t="s">
        <v>259</v>
      </c>
      <c r="N13" s="10" t="s">
        <v>260</v>
      </c>
      <c r="O13" s="10" t="s">
        <v>259</v>
      </c>
      <c r="P13" s="10" t="s">
        <v>260</v>
      </c>
      <c r="Q13" s="10" t="s">
        <v>259</v>
      </c>
      <c r="R13" s="10" t="s">
        <v>195</v>
      </c>
      <c r="S13" s="10" t="s">
        <v>107</v>
      </c>
      <c r="T13" s="10" t="s">
        <v>195</v>
      </c>
      <c r="U13" s="9">
        <f>VLOOKUP($C13, Rating_Scores[],2,FALSE)*VLOOKUP($C$6, Industry_Sector_Criteria_Weighting[],2,FALSE)+VLOOKUP($D13, Rating_Scores[],2,FALSE)*VLOOKUP($D$6, Industry_Sector_Criteria_Weighting[],2,FALSE)+VLOOKUP($E13, Rating_Scores[],2,FALSE)*VLOOKUP($E$6, Industry_Sector_Criteria_Weighting[],2,FALSE)+VLOOKUP($F13, Rating_Scores[],2,FALSE)*VLOOKUP($F$6, Industry_Sector_Criteria_Weighting[],2,FALSE)+VLOOKUP($G13, Rating_Scores[],2,FALSE)*VLOOKUP($G$6, Industry_Sector_Criteria_Weighting[],2,FALSE)+VLOOKUP($H13, Rating_Scores[],2,FALSE)*VLOOKUP($H$6, Industry_Sector_Criteria_Weighting[],2,FALSE)+VLOOKUP($I13, Rating_Scores[],2,FALSE)*VLOOKUP($I$6, Industry_Sector_Criteria_Weighting[],2,FALSE)+VLOOKUP($J13, Rating_Scores[],2,FALSE)*VLOOKUP($J$6, Industry_Sector_Criteria_Weighting[],2,FALSE)+VLOOKUP($K13, Rating_Scores[],2,FALSE)*VLOOKUP($K$6, Industry_Sector_Criteria_Weighting[],2,FALSE)+VLOOKUP($L13, Rating_Scores[],2,FALSE)*VLOOKUP($L$6, Industry_Sector_Criteria_Weighting[],2,FALSE)+VLOOKUP($M13, Rating_Scores[],2,FALSE)*VLOOKUP($M$6, Industry_Sector_Criteria_Weighting[],2,FALSE)+VLOOKUP($N13, Rating_Scores[],2,FALSE)*VLOOKUP($N$6, Industry_Sector_Criteria_Weighting[],2,FALSE)+VLOOKUP($O13, Rating_Scores[],2,FALSE)*VLOOKUP($O$6, Industry_Sector_Criteria_Weighting[],2,FALSE)+VLOOKUP($P13, Rating_Scores[],2,FALSE)*VLOOKUP($P$6, Industry_Sector_Criteria_Weighting[],2,FALSE)+VLOOKUP($Q13, Rating_Scores[],2,FALSE)*VLOOKUP($Q$6, Industry_Sector_Criteria_Weighting[],2,FALSE)+VLOOKUP($R13, Rating_Scores[],2,FALSE)*VLOOKUP($R$6, Industry_Sector_Criteria_Weighting[],2,FALSE)+VLOOKUP($S13, Rating_Scores[],2,FALSE)*VLOOKUP($S$6, Industry_Sector_Criteria_Weighting[],2,FALSE)+VLOOKUP($T13, Rating_Scores[],2,FALSE)*VLOOKUP($T$6, Industry_Sector_Criteria_Weighting[],2,FALSE)</f>
        <v>41.1</v>
      </c>
    </row>
    <row r="14" spans="2:21">
      <c r="B14" s="10" t="s">
        <v>268</v>
      </c>
      <c r="C14" s="10" t="s">
        <v>260</v>
      </c>
      <c r="D14" s="10" t="s">
        <v>260</v>
      </c>
      <c r="E14" s="10" t="s">
        <v>260</v>
      </c>
      <c r="F14" s="10" t="s">
        <v>107</v>
      </c>
      <c r="G14" s="10" t="s">
        <v>107</v>
      </c>
      <c r="H14" s="10" t="s">
        <v>195</v>
      </c>
      <c r="I14" s="10" t="s">
        <v>195</v>
      </c>
      <c r="J14" s="10" t="s">
        <v>260</v>
      </c>
      <c r="K14" s="10" t="s">
        <v>260</v>
      </c>
      <c r="L14" s="10" t="s">
        <v>259</v>
      </c>
      <c r="M14" s="10" t="s">
        <v>260</v>
      </c>
      <c r="N14" s="10" t="s">
        <v>107</v>
      </c>
      <c r="O14" s="10" t="s">
        <v>259</v>
      </c>
      <c r="P14" s="10" t="s">
        <v>259</v>
      </c>
      <c r="Q14" s="10" t="s">
        <v>259</v>
      </c>
      <c r="R14" s="10" t="s">
        <v>195</v>
      </c>
      <c r="S14" s="10" t="s">
        <v>107</v>
      </c>
      <c r="T14" s="10" t="s">
        <v>195</v>
      </c>
      <c r="U14" s="9">
        <f>VLOOKUP($C14, Rating_Scores[],2,FALSE)*VLOOKUP($C$6, Industry_Sector_Criteria_Weighting[],2,FALSE)+VLOOKUP($D14, Rating_Scores[],2,FALSE)*VLOOKUP($D$6, Industry_Sector_Criteria_Weighting[],2,FALSE)+VLOOKUP($E14, Rating_Scores[],2,FALSE)*VLOOKUP($E$6, Industry_Sector_Criteria_Weighting[],2,FALSE)+VLOOKUP($F14, Rating_Scores[],2,FALSE)*VLOOKUP($F$6, Industry_Sector_Criteria_Weighting[],2,FALSE)+VLOOKUP($G14, Rating_Scores[],2,FALSE)*VLOOKUP($G$6, Industry_Sector_Criteria_Weighting[],2,FALSE)+VLOOKUP($H14, Rating_Scores[],2,FALSE)*VLOOKUP($H$6, Industry_Sector_Criteria_Weighting[],2,FALSE)+VLOOKUP($I14, Rating_Scores[],2,FALSE)*VLOOKUP($I$6, Industry_Sector_Criteria_Weighting[],2,FALSE)+VLOOKUP($J14, Rating_Scores[],2,FALSE)*VLOOKUP($J$6, Industry_Sector_Criteria_Weighting[],2,FALSE)+VLOOKUP($K14, Rating_Scores[],2,FALSE)*VLOOKUP($K$6, Industry_Sector_Criteria_Weighting[],2,FALSE)+VLOOKUP($L14, Rating_Scores[],2,FALSE)*VLOOKUP($L$6, Industry_Sector_Criteria_Weighting[],2,FALSE)+VLOOKUP($M14, Rating_Scores[],2,FALSE)*VLOOKUP($M$6, Industry_Sector_Criteria_Weighting[],2,FALSE)+VLOOKUP($N14, Rating_Scores[],2,FALSE)*VLOOKUP($N$6, Industry_Sector_Criteria_Weighting[],2,FALSE)+VLOOKUP($O14, Rating_Scores[],2,FALSE)*VLOOKUP($O$6, Industry_Sector_Criteria_Weighting[],2,FALSE)+VLOOKUP($P14, Rating_Scores[],2,FALSE)*VLOOKUP($P$6, Industry_Sector_Criteria_Weighting[],2,FALSE)+VLOOKUP($Q14, Rating_Scores[],2,FALSE)*VLOOKUP($Q$6, Industry_Sector_Criteria_Weighting[],2,FALSE)+VLOOKUP($R14, Rating_Scores[],2,FALSE)*VLOOKUP($R$6, Industry_Sector_Criteria_Weighting[],2,FALSE)+VLOOKUP($S14, Rating_Scores[],2,FALSE)*VLOOKUP($S$6, Industry_Sector_Criteria_Weighting[],2,FALSE)+VLOOKUP($T14, Rating_Scores[],2,FALSE)*VLOOKUP($T$6, Industry_Sector_Criteria_Weighting[],2,FALSE)</f>
        <v>42.100000000000016</v>
      </c>
    </row>
    <row r="15" spans="2:21">
      <c r="B15" s="10" t="s">
        <v>269</v>
      </c>
      <c r="C15" s="10" t="s">
        <v>195</v>
      </c>
      <c r="D15" s="10" t="s">
        <v>195</v>
      </c>
      <c r="E15" s="10" t="s">
        <v>195</v>
      </c>
      <c r="F15" s="10" t="s">
        <v>195</v>
      </c>
      <c r="G15" s="10" t="s">
        <v>195</v>
      </c>
      <c r="H15" s="10" t="s">
        <v>195</v>
      </c>
      <c r="I15" s="10" t="s">
        <v>195</v>
      </c>
      <c r="J15" s="10" t="s">
        <v>260</v>
      </c>
      <c r="K15" s="10" t="s">
        <v>195</v>
      </c>
      <c r="L15" s="10" t="s">
        <v>259</v>
      </c>
      <c r="M15" s="10" t="s">
        <v>260</v>
      </c>
      <c r="N15" s="10" t="s">
        <v>260</v>
      </c>
      <c r="O15" s="10" t="s">
        <v>195</v>
      </c>
      <c r="P15" s="10" t="s">
        <v>259</v>
      </c>
      <c r="Q15" s="10" t="s">
        <v>259</v>
      </c>
      <c r="R15" s="10" t="s">
        <v>195</v>
      </c>
      <c r="S15" s="10" t="s">
        <v>107</v>
      </c>
      <c r="T15" s="10" t="s">
        <v>195</v>
      </c>
      <c r="U15" s="9">
        <f>VLOOKUP($C15, Rating_Scores[],2,FALSE)*VLOOKUP($C$6, Industry_Sector_Criteria_Weighting[],2,FALSE)+VLOOKUP($D15, Rating_Scores[],2,FALSE)*VLOOKUP($D$6, Industry_Sector_Criteria_Weighting[],2,FALSE)+VLOOKUP($E15, Rating_Scores[],2,FALSE)*VLOOKUP($E$6, Industry_Sector_Criteria_Weighting[],2,FALSE)+VLOOKUP($F15, Rating_Scores[],2,FALSE)*VLOOKUP($F$6, Industry_Sector_Criteria_Weighting[],2,FALSE)+VLOOKUP($G15, Rating_Scores[],2,FALSE)*VLOOKUP($G$6, Industry_Sector_Criteria_Weighting[],2,FALSE)+VLOOKUP($H15, Rating_Scores[],2,FALSE)*VLOOKUP($H$6, Industry_Sector_Criteria_Weighting[],2,FALSE)+VLOOKUP($I15, Rating_Scores[],2,FALSE)*VLOOKUP($I$6, Industry_Sector_Criteria_Weighting[],2,FALSE)+VLOOKUP($J15, Rating_Scores[],2,FALSE)*VLOOKUP($J$6, Industry_Sector_Criteria_Weighting[],2,FALSE)+VLOOKUP($K15, Rating_Scores[],2,FALSE)*VLOOKUP($K$6, Industry_Sector_Criteria_Weighting[],2,FALSE)+VLOOKUP($L15, Rating_Scores[],2,FALSE)*VLOOKUP($L$6, Industry_Sector_Criteria_Weighting[],2,FALSE)+VLOOKUP($M15, Rating_Scores[],2,FALSE)*VLOOKUP($M$6, Industry_Sector_Criteria_Weighting[],2,FALSE)+VLOOKUP($N15, Rating_Scores[],2,FALSE)*VLOOKUP($N$6, Industry_Sector_Criteria_Weighting[],2,FALSE)+VLOOKUP($O15, Rating_Scores[],2,FALSE)*VLOOKUP($O$6, Industry_Sector_Criteria_Weighting[],2,FALSE)+VLOOKUP($P15, Rating_Scores[],2,FALSE)*VLOOKUP($P$6, Industry_Sector_Criteria_Weighting[],2,FALSE)+VLOOKUP($Q15, Rating_Scores[],2,FALSE)*VLOOKUP($Q$6, Industry_Sector_Criteria_Weighting[],2,FALSE)+VLOOKUP($R15, Rating_Scores[],2,FALSE)*VLOOKUP($R$6, Industry_Sector_Criteria_Weighting[],2,FALSE)+VLOOKUP($S15, Rating_Scores[],2,FALSE)*VLOOKUP($S$6, Industry_Sector_Criteria_Weighting[],2,FALSE)+VLOOKUP($T15, Rating_Scores[],2,FALSE)*VLOOKUP($T$6, Industry_Sector_Criteria_Weighting[],2,FALSE)</f>
        <v>48.2</v>
      </c>
    </row>
    <row r="16" spans="2:21">
      <c r="B16" s="10" t="s">
        <v>270</v>
      </c>
      <c r="C16" s="10" t="s">
        <v>260</v>
      </c>
      <c r="D16" s="10" t="s">
        <v>107</v>
      </c>
      <c r="E16" s="10" t="s">
        <v>107</v>
      </c>
      <c r="F16" s="10" t="s">
        <v>195</v>
      </c>
      <c r="G16" s="10" t="s">
        <v>260</v>
      </c>
      <c r="H16" s="10" t="s">
        <v>259</v>
      </c>
      <c r="I16" s="10" t="s">
        <v>259</v>
      </c>
      <c r="J16" s="10" t="s">
        <v>260</v>
      </c>
      <c r="K16" s="10" t="s">
        <v>195</v>
      </c>
      <c r="L16" s="10" t="s">
        <v>259</v>
      </c>
      <c r="M16" s="10" t="s">
        <v>259</v>
      </c>
      <c r="N16" s="10" t="s">
        <v>259</v>
      </c>
      <c r="O16" s="10" t="s">
        <v>259</v>
      </c>
      <c r="P16" s="10" t="s">
        <v>195</v>
      </c>
      <c r="Q16" s="10" t="s">
        <v>260</v>
      </c>
      <c r="R16" s="10" t="s">
        <v>259</v>
      </c>
      <c r="S16" s="10" t="s">
        <v>107</v>
      </c>
      <c r="T16" s="10" t="s">
        <v>107</v>
      </c>
      <c r="U16" s="9">
        <f>VLOOKUP($C16, Rating_Scores[],2,FALSE)*VLOOKUP($C$6, Industry_Sector_Criteria_Weighting[],2,FALSE)+VLOOKUP($D16, Rating_Scores[],2,FALSE)*VLOOKUP($D$6, Industry_Sector_Criteria_Weighting[],2,FALSE)+VLOOKUP($E16, Rating_Scores[],2,FALSE)*VLOOKUP($E$6, Industry_Sector_Criteria_Weighting[],2,FALSE)+VLOOKUP($F16, Rating_Scores[],2,FALSE)*VLOOKUP($F$6, Industry_Sector_Criteria_Weighting[],2,FALSE)+VLOOKUP($G16, Rating_Scores[],2,FALSE)*VLOOKUP($G$6, Industry_Sector_Criteria_Weighting[],2,FALSE)+VLOOKUP($H16, Rating_Scores[],2,FALSE)*VLOOKUP($H$6, Industry_Sector_Criteria_Weighting[],2,FALSE)+VLOOKUP($I16, Rating_Scores[],2,FALSE)*VLOOKUP($I$6, Industry_Sector_Criteria_Weighting[],2,FALSE)+VLOOKUP($J16, Rating_Scores[],2,FALSE)*VLOOKUP($J$6, Industry_Sector_Criteria_Weighting[],2,FALSE)+VLOOKUP($K16, Rating_Scores[],2,FALSE)*VLOOKUP($K$6, Industry_Sector_Criteria_Weighting[],2,FALSE)+VLOOKUP($L16, Rating_Scores[],2,FALSE)*VLOOKUP($L$6, Industry_Sector_Criteria_Weighting[],2,FALSE)+VLOOKUP($M16, Rating_Scores[],2,FALSE)*VLOOKUP($M$6, Industry_Sector_Criteria_Weighting[],2,FALSE)+VLOOKUP($N16, Rating_Scores[],2,FALSE)*VLOOKUP($N$6, Industry_Sector_Criteria_Weighting[],2,FALSE)+VLOOKUP($O16, Rating_Scores[],2,FALSE)*VLOOKUP($O$6, Industry_Sector_Criteria_Weighting[],2,FALSE)+VLOOKUP($P16, Rating_Scores[],2,FALSE)*VLOOKUP($P$6, Industry_Sector_Criteria_Weighting[],2,FALSE)+VLOOKUP($Q16, Rating_Scores[],2,FALSE)*VLOOKUP($Q$6, Industry_Sector_Criteria_Weighting[],2,FALSE)+VLOOKUP($R16, Rating_Scores[],2,FALSE)*VLOOKUP($R$6, Industry_Sector_Criteria_Weighting[],2,FALSE)+VLOOKUP($S16, Rating_Scores[],2,FALSE)*VLOOKUP($S$6, Industry_Sector_Criteria_Weighting[],2,FALSE)+VLOOKUP($T16, Rating_Scores[],2,FALSE)*VLOOKUP($T$6, Industry_Sector_Criteria_Weighting[],2,FALSE)</f>
        <v>47.7</v>
      </c>
    </row>
    <row r="17" spans="2:21">
      <c r="B17" s="10" t="s">
        <v>271</v>
      </c>
      <c r="C17" s="10" t="s">
        <v>260</v>
      </c>
      <c r="D17" s="10" t="s">
        <v>260</v>
      </c>
      <c r="E17" s="10" t="s">
        <v>260</v>
      </c>
      <c r="F17" s="10" t="s">
        <v>107</v>
      </c>
      <c r="G17" s="10" t="s">
        <v>260</v>
      </c>
      <c r="H17" s="10" t="s">
        <v>195</v>
      </c>
      <c r="I17" s="10" t="s">
        <v>259</v>
      </c>
      <c r="J17" s="10" t="s">
        <v>195</v>
      </c>
      <c r="K17" s="10" t="s">
        <v>107</v>
      </c>
      <c r="L17" s="10" t="s">
        <v>259</v>
      </c>
      <c r="M17" s="10" t="s">
        <v>260</v>
      </c>
      <c r="N17" s="10" t="s">
        <v>260</v>
      </c>
      <c r="O17" s="10" t="s">
        <v>107</v>
      </c>
      <c r="P17" s="10" t="s">
        <v>107</v>
      </c>
      <c r="Q17" s="10" t="s">
        <v>259</v>
      </c>
      <c r="R17" s="10" t="s">
        <v>195</v>
      </c>
      <c r="S17" s="10" t="s">
        <v>107</v>
      </c>
      <c r="T17" s="10" t="s">
        <v>259</v>
      </c>
      <c r="U17" s="9">
        <f>VLOOKUP($C17, Rating_Scores[],2,FALSE)*VLOOKUP($C$6, Industry_Sector_Criteria_Weighting[],2,FALSE)+VLOOKUP($D17, Rating_Scores[],2,FALSE)*VLOOKUP($D$6, Industry_Sector_Criteria_Weighting[],2,FALSE)+VLOOKUP($E17, Rating_Scores[],2,FALSE)*VLOOKUP($E$6, Industry_Sector_Criteria_Weighting[],2,FALSE)+VLOOKUP($F17, Rating_Scores[],2,FALSE)*VLOOKUP($F$6, Industry_Sector_Criteria_Weighting[],2,FALSE)+VLOOKUP($G17, Rating_Scores[],2,FALSE)*VLOOKUP($G$6, Industry_Sector_Criteria_Weighting[],2,FALSE)+VLOOKUP($H17, Rating_Scores[],2,FALSE)*VLOOKUP($H$6, Industry_Sector_Criteria_Weighting[],2,FALSE)+VLOOKUP($I17, Rating_Scores[],2,FALSE)*VLOOKUP($I$6, Industry_Sector_Criteria_Weighting[],2,FALSE)+VLOOKUP($J17, Rating_Scores[],2,FALSE)*VLOOKUP($J$6, Industry_Sector_Criteria_Weighting[],2,FALSE)+VLOOKUP($K17, Rating_Scores[],2,FALSE)*VLOOKUP($K$6, Industry_Sector_Criteria_Weighting[],2,FALSE)+VLOOKUP($L17, Rating_Scores[],2,FALSE)*VLOOKUP($L$6, Industry_Sector_Criteria_Weighting[],2,FALSE)+VLOOKUP($M17, Rating_Scores[],2,FALSE)*VLOOKUP($M$6, Industry_Sector_Criteria_Weighting[],2,FALSE)+VLOOKUP($N17, Rating_Scores[],2,FALSE)*VLOOKUP($N$6, Industry_Sector_Criteria_Weighting[],2,FALSE)+VLOOKUP($O17, Rating_Scores[],2,FALSE)*VLOOKUP($O$6, Industry_Sector_Criteria_Weighting[],2,FALSE)+VLOOKUP($P17, Rating_Scores[],2,FALSE)*VLOOKUP($P$6, Industry_Sector_Criteria_Weighting[],2,FALSE)+VLOOKUP($Q17, Rating_Scores[],2,FALSE)*VLOOKUP($Q$6, Industry_Sector_Criteria_Weighting[],2,FALSE)+VLOOKUP($R17, Rating_Scores[],2,FALSE)*VLOOKUP($R$6, Industry_Sector_Criteria_Weighting[],2,FALSE)+VLOOKUP($S17, Rating_Scores[],2,FALSE)*VLOOKUP($S$6, Industry_Sector_Criteria_Weighting[],2,FALSE)+VLOOKUP($T17, Rating_Scores[],2,FALSE)*VLOOKUP($T$6, Industry_Sector_Criteria_Weighting[],2,FALSE)</f>
        <v>40.900000000000006</v>
      </c>
    </row>
    <row r="18" spans="2:21">
      <c r="B18" s="10" t="s">
        <v>272</v>
      </c>
      <c r="C18" s="10" t="s">
        <v>259</v>
      </c>
      <c r="D18" s="10" t="s">
        <v>195</v>
      </c>
      <c r="E18" s="10" t="s">
        <v>195</v>
      </c>
      <c r="F18" s="10" t="s">
        <v>195</v>
      </c>
      <c r="G18" s="10" t="s">
        <v>107</v>
      </c>
      <c r="H18" s="10" t="s">
        <v>195</v>
      </c>
      <c r="I18" s="10" t="s">
        <v>259</v>
      </c>
      <c r="J18" s="10" t="s">
        <v>107</v>
      </c>
      <c r="K18" s="10" t="s">
        <v>259</v>
      </c>
      <c r="L18" s="10" t="s">
        <v>259</v>
      </c>
      <c r="M18" s="10" t="s">
        <v>107</v>
      </c>
      <c r="N18" s="10" t="s">
        <v>195</v>
      </c>
      <c r="O18" s="10" t="s">
        <v>195</v>
      </c>
      <c r="P18" s="10" t="s">
        <v>259</v>
      </c>
      <c r="Q18" s="10" t="s">
        <v>259</v>
      </c>
      <c r="R18" s="10" t="s">
        <v>195</v>
      </c>
      <c r="S18" s="10" t="s">
        <v>195</v>
      </c>
      <c r="T18" s="10" t="s">
        <v>107</v>
      </c>
      <c r="U18" s="9">
        <f>VLOOKUP($C18, Rating_Scores[],2,FALSE)*VLOOKUP($C$6, Industry_Sector_Criteria_Weighting[],2,FALSE)+VLOOKUP($D18, Rating_Scores[],2,FALSE)*VLOOKUP($D$6, Industry_Sector_Criteria_Weighting[],2,FALSE)+VLOOKUP($E18, Rating_Scores[],2,FALSE)*VLOOKUP($E$6, Industry_Sector_Criteria_Weighting[],2,FALSE)+VLOOKUP($F18, Rating_Scores[],2,FALSE)*VLOOKUP($F$6, Industry_Sector_Criteria_Weighting[],2,FALSE)+VLOOKUP($G18, Rating_Scores[],2,FALSE)*VLOOKUP($G$6, Industry_Sector_Criteria_Weighting[],2,FALSE)+VLOOKUP($H18, Rating_Scores[],2,FALSE)*VLOOKUP($H$6, Industry_Sector_Criteria_Weighting[],2,FALSE)+VLOOKUP($I18, Rating_Scores[],2,FALSE)*VLOOKUP($I$6, Industry_Sector_Criteria_Weighting[],2,FALSE)+VLOOKUP($J18, Rating_Scores[],2,FALSE)*VLOOKUP($J$6, Industry_Sector_Criteria_Weighting[],2,FALSE)+VLOOKUP($K18, Rating_Scores[],2,FALSE)*VLOOKUP($K$6, Industry_Sector_Criteria_Weighting[],2,FALSE)+VLOOKUP($L18, Rating_Scores[],2,FALSE)*VLOOKUP($L$6, Industry_Sector_Criteria_Weighting[],2,FALSE)+VLOOKUP($M18, Rating_Scores[],2,FALSE)*VLOOKUP($M$6, Industry_Sector_Criteria_Weighting[],2,FALSE)+VLOOKUP($N18, Rating_Scores[],2,FALSE)*VLOOKUP($N$6, Industry_Sector_Criteria_Weighting[],2,FALSE)+VLOOKUP($O18, Rating_Scores[],2,FALSE)*VLOOKUP($O$6, Industry_Sector_Criteria_Weighting[],2,FALSE)+VLOOKUP($P18, Rating_Scores[],2,FALSE)*VLOOKUP($P$6, Industry_Sector_Criteria_Weighting[],2,FALSE)+VLOOKUP($Q18, Rating_Scores[],2,FALSE)*VLOOKUP($Q$6, Industry_Sector_Criteria_Weighting[],2,FALSE)+VLOOKUP($R18, Rating_Scores[],2,FALSE)*VLOOKUP($R$6, Industry_Sector_Criteria_Weighting[],2,FALSE)+VLOOKUP($S18, Rating_Scores[],2,FALSE)*VLOOKUP($S$6, Industry_Sector_Criteria_Weighting[],2,FALSE)+VLOOKUP($T18, Rating_Scores[],2,FALSE)*VLOOKUP($T$6, Industry_Sector_Criteria_Weighting[],2,FALSE)</f>
        <v>52.900000000000006</v>
      </c>
    </row>
    <row r="19" spans="2:21">
      <c r="B19" s="10" t="s">
        <v>273</v>
      </c>
      <c r="C19" s="10" t="s">
        <v>195</v>
      </c>
      <c r="D19" s="10" t="s">
        <v>260</v>
      </c>
      <c r="E19" s="10" t="s">
        <v>259</v>
      </c>
      <c r="F19" s="10" t="s">
        <v>259</v>
      </c>
      <c r="G19" s="10" t="s">
        <v>259</v>
      </c>
      <c r="H19" s="10" t="s">
        <v>259</v>
      </c>
      <c r="I19" s="10" t="s">
        <v>259</v>
      </c>
      <c r="J19" s="10" t="s">
        <v>259</v>
      </c>
      <c r="K19" s="10" t="s">
        <v>259</v>
      </c>
      <c r="L19" s="10" t="s">
        <v>195</v>
      </c>
      <c r="M19" s="10" t="s">
        <v>260</v>
      </c>
      <c r="N19" s="10" t="s">
        <v>195</v>
      </c>
      <c r="O19" s="10" t="s">
        <v>195</v>
      </c>
      <c r="P19" s="10" t="s">
        <v>259</v>
      </c>
      <c r="Q19" s="10" t="s">
        <v>259</v>
      </c>
      <c r="R19" s="10" t="s">
        <v>195</v>
      </c>
      <c r="S19" s="10" t="s">
        <v>195</v>
      </c>
      <c r="T19" s="10" t="s">
        <v>259</v>
      </c>
      <c r="U19" s="9">
        <f>VLOOKUP($C19, Rating_Scores[],2,FALSE)*VLOOKUP($C$6, Industry_Sector_Criteria_Weighting[],2,FALSE)+VLOOKUP($D19, Rating_Scores[],2,FALSE)*VLOOKUP($D$6, Industry_Sector_Criteria_Weighting[],2,FALSE)+VLOOKUP($E19, Rating_Scores[],2,FALSE)*VLOOKUP($E$6, Industry_Sector_Criteria_Weighting[],2,FALSE)+VLOOKUP($F19, Rating_Scores[],2,FALSE)*VLOOKUP($F$6, Industry_Sector_Criteria_Weighting[],2,FALSE)+VLOOKUP($G19, Rating_Scores[],2,FALSE)*VLOOKUP($G$6, Industry_Sector_Criteria_Weighting[],2,FALSE)+VLOOKUP($H19, Rating_Scores[],2,FALSE)*VLOOKUP($H$6, Industry_Sector_Criteria_Weighting[],2,FALSE)+VLOOKUP($I19, Rating_Scores[],2,FALSE)*VLOOKUP($I$6, Industry_Sector_Criteria_Weighting[],2,FALSE)+VLOOKUP($J19, Rating_Scores[],2,FALSE)*VLOOKUP($J$6, Industry_Sector_Criteria_Weighting[],2,FALSE)+VLOOKUP($K19, Rating_Scores[],2,FALSE)*VLOOKUP($K$6, Industry_Sector_Criteria_Weighting[],2,FALSE)+VLOOKUP($L19, Rating_Scores[],2,FALSE)*VLOOKUP($L$6, Industry_Sector_Criteria_Weighting[],2,FALSE)+VLOOKUP($M19, Rating_Scores[],2,FALSE)*VLOOKUP($M$6, Industry_Sector_Criteria_Weighting[],2,FALSE)+VLOOKUP($N19, Rating_Scores[],2,FALSE)*VLOOKUP($N$6, Industry_Sector_Criteria_Weighting[],2,FALSE)+VLOOKUP($O19, Rating_Scores[],2,FALSE)*VLOOKUP($O$6, Industry_Sector_Criteria_Weighting[],2,FALSE)+VLOOKUP($P19, Rating_Scores[],2,FALSE)*VLOOKUP($P$6, Industry_Sector_Criteria_Weighting[],2,FALSE)+VLOOKUP($Q19, Rating_Scores[],2,FALSE)*VLOOKUP($Q$6, Industry_Sector_Criteria_Weighting[],2,FALSE)+VLOOKUP($R19, Rating_Scores[],2,FALSE)*VLOOKUP($R$6, Industry_Sector_Criteria_Weighting[],2,FALSE)+VLOOKUP($S19, Rating_Scores[],2,FALSE)*VLOOKUP($S$6, Industry_Sector_Criteria_Weighting[],2,FALSE)+VLOOKUP($T19, Rating_Scores[],2,FALSE)*VLOOKUP($T$6, Industry_Sector_Criteria_Weighting[],2,FALSE)</f>
        <v>53.7</v>
      </c>
    </row>
    <row r="20" spans="2:21">
      <c r="B20" s="10" t="s">
        <v>30</v>
      </c>
      <c r="C20" s="10" t="s">
        <v>195</v>
      </c>
      <c r="D20" s="10" t="s">
        <v>107</v>
      </c>
      <c r="E20" s="10" t="s">
        <v>107</v>
      </c>
      <c r="F20" s="10" t="s">
        <v>260</v>
      </c>
      <c r="G20" s="10" t="s">
        <v>260</v>
      </c>
      <c r="H20" s="10" t="s">
        <v>107</v>
      </c>
      <c r="I20" s="10" t="s">
        <v>195</v>
      </c>
      <c r="J20" s="10" t="s">
        <v>195</v>
      </c>
      <c r="K20" s="10" t="s">
        <v>195</v>
      </c>
      <c r="L20" s="10" t="s">
        <v>107</v>
      </c>
      <c r="M20" s="10" t="s">
        <v>261</v>
      </c>
      <c r="N20" s="10" t="s">
        <v>195</v>
      </c>
      <c r="O20" s="10" t="s">
        <v>107</v>
      </c>
      <c r="P20" s="10" t="s">
        <v>107</v>
      </c>
      <c r="Q20" s="10" t="s">
        <v>107</v>
      </c>
      <c r="R20" s="10" t="s">
        <v>259</v>
      </c>
      <c r="S20" s="10" t="s">
        <v>261</v>
      </c>
      <c r="T20" s="10" t="s">
        <v>260</v>
      </c>
      <c r="U20" s="9">
        <f>VLOOKUP($C20, Rating_Scores[],2,FALSE)*VLOOKUP($C$6, Industry_Sector_Criteria_Weighting[],2,FALSE)+VLOOKUP($D20, Rating_Scores[],2,FALSE)*VLOOKUP($D$6, Industry_Sector_Criteria_Weighting[],2,FALSE)+VLOOKUP($E20, Rating_Scores[],2,FALSE)*VLOOKUP($E$6, Industry_Sector_Criteria_Weighting[],2,FALSE)+VLOOKUP($F20, Rating_Scores[],2,FALSE)*VLOOKUP($F$6, Industry_Sector_Criteria_Weighting[],2,FALSE)+VLOOKUP($G20, Rating_Scores[],2,FALSE)*VLOOKUP($G$6, Industry_Sector_Criteria_Weighting[],2,FALSE)+VLOOKUP($H20, Rating_Scores[],2,FALSE)*VLOOKUP($H$6, Industry_Sector_Criteria_Weighting[],2,FALSE)+VLOOKUP($I20, Rating_Scores[],2,FALSE)*VLOOKUP($I$6, Industry_Sector_Criteria_Weighting[],2,FALSE)+VLOOKUP($J20, Rating_Scores[],2,FALSE)*VLOOKUP($J$6, Industry_Sector_Criteria_Weighting[],2,FALSE)+VLOOKUP($K20, Rating_Scores[],2,FALSE)*VLOOKUP($K$6, Industry_Sector_Criteria_Weighting[],2,FALSE)+VLOOKUP($L20, Rating_Scores[],2,FALSE)*VLOOKUP($L$6, Industry_Sector_Criteria_Weighting[],2,FALSE)+VLOOKUP($M20, Rating_Scores[],2,FALSE)*VLOOKUP($M$6, Industry_Sector_Criteria_Weighting[],2,FALSE)+VLOOKUP($N20, Rating_Scores[],2,FALSE)*VLOOKUP($N$6, Industry_Sector_Criteria_Weighting[],2,FALSE)+VLOOKUP($O20, Rating_Scores[],2,FALSE)*VLOOKUP($O$6, Industry_Sector_Criteria_Weighting[],2,FALSE)+VLOOKUP($P20, Rating_Scores[],2,FALSE)*VLOOKUP($P$6, Industry_Sector_Criteria_Weighting[],2,FALSE)+VLOOKUP($Q20, Rating_Scores[],2,FALSE)*VLOOKUP($Q$6, Industry_Sector_Criteria_Weighting[],2,FALSE)+VLOOKUP($R20, Rating_Scores[],2,FALSE)*VLOOKUP($R$6, Industry_Sector_Criteria_Weighting[],2,FALSE)+VLOOKUP($S20, Rating_Scores[],2,FALSE)*VLOOKUP($S$6, Industry_Sector_Criteria_Weighting[],2,FALSE)+VLOOKUP($T20, Rating_Scores[],2,FALSE)*VLOOKUP($T$6, Industry_Sector_Criteria_Weighting[],2,FALSE)</f>
        <v>37.999999999999993</v>
      </c>
    </row>
    <row r="21" spans="2:21">
      <c r="B21" s="8" t="s">
        <v>490</v>
      </c>
      <c r="C21" s="8" t="s">
        <v>195</v>
      </c>
      <c r="D21" s="8" t="s">
        <v>260</v>
      </c>
      <c r="E21" s="8" t="s">
        <v>259</v>
      </c>
      <c r="F21" s="8" t="s">
        <v>107</v>
      </c>
      <c r="G21" s="8" t="s">
        <v>107</v>
      </c>
      <c r="H21" s="8" t="s">
        <v>260</v>
      </c>
      <c r="I21" s="8" t="s">
        <v>195</v>
      </c>
      <c r="J21" s="8" t="s">
        <v>195</v>
      </c>
      <c r="K21" s="8" t="s">
        <v>260</v>
      </c>
      <c r="L21" s="8" t="s">
        <v>107</v>
      </c>
      <c r="M21" s="8" t="s">
        <v>261</v>
      </c>
      <c r="N21" s="8" t="s">
        <v>260</v>
      </c>
      <c r="O21" s="8" t="s">
        <v>260</v>
      </c>
      <c r="P21" s="8" t="s">
        <v>259</v>
      </c>
      <c r="Q21" s="8" t="s">
        <v>195</v>
      </c>
      <c r="R21" s="8" t="s">
        <v>195</v>
      </c>
      <c r="S21" s="8" t="s">
        <v>107</v>
      </c>
      <c r="T21" s="8" t="s">
        <v>107</v>
      </c>
      <c r="U21" s="9">
        <f>VLOOKUP($C21, Rating_Scores[],2,FALSE)*VLOOKUP($C$6, Industry_Sector_Criteria_Weighting[],2,FALSE)+VLOOKUP($D21, Rating_Scores[],2,FALSE)*VLOOKUP($D$6, Industry_Sector_Criteria_Weighting[],2,FALSE)+VLOOKUP($E21, Rating_Scores[],2,FALSE)*VLOOKUP($E$6, Industry_Sector_Criteria_Weighting[],2,FALSE)+VLOOKUP($F21, Rating_Scores[],2,FALSE)*VLOOKUP($F$6, Industry_Sector_Criteria_Weighting[],2,FALSE)+VLOOKUP($G21, Rating_Scores[],2,FALSE)*VLOOKUP($G$6, Industry_Sector_Criteria_Weighting[],2,FALSE)+VLOOKUP($H21, Rating_Scores[],2,FALSE)*VLOOKUP($H$6, Industry_Sector_Criteria_Weighting[],2,FALSE)+VLOOKUP($I21, Rating_Scores[],2,FALSE)*VLOOKUP($I$6, Industry_Sector_Criteria_Weighting[],2,FALSE)+VLOOKUP($J21, Rating_Scores[],2,FALSE)*VLOOKUP($J$6, Industry_Sector_Criteria_Weighting[],2,FALSE)+VLOOKUP($K21, Rating_Scores[],2,FALSE)*VLOOKUP($K$6, Industry_Sector_Criteria_Weighting[],2,FALSE)+VLOOKUP($L21, Rating_Scores[],2,FALSE)*VLOOKUP($L$6, Industry_Sector_Criteria_Weighting[],2,FALSE)+VLOOKUP($M21, Rating_Scores[],2,FALSE)*VLOOKUP($M$6, Industry_Sector_Criteria_Weighting[],2,FALSE)+VLOOKUP($N21, Rating_Scores[],2,FALSE)*VLOOKUP($N$6, Industry_Sector_Criteria_Weighting[],2,FALSE)+VLOOKUP($O21, Rating_Scores[],2,FALSE)*VLOOKUP($O$6, Industry_Sector_Criteria_Weighting[],2,FALSE)+VLOOKUP($P21, Rating_Scores[],2,FALSE)*VLOOKUP($P$6, Industry_Sector_Criteria_Weighting[],2,FALSE)+VLOOKUP($Q21, Rating_Scores[],2,FALSE)*VLOOKUP($Q$6, Industry_Sector_Criteria_Weighting[],2,FALSE)+VLOOKUP($R21, Rating_Scores[],2,FALSE)*VLOOKUP($R$6, Industry_Sector_Criteria_Weighting[],2,FALSE)+VLOOKUP($S21, Rating_Scores[],2,FALSE)*VLOOKUP($S$6, Industry_Sector_Criteria_Weighting[],2,FALSE)+VLOOKUP($T21, Rating_Scores[],2,FALSE)*VLOOKUP($T$6, Industry_Sector_Criteria_Weighting[],2,FALSE)</f>
        <v>39.800000000000004</v>
      </c>
    </row>
    <row r="22" spans="2:21">
      <c r="B22" s="10" t="s">
        <v>156</v>
      </c>
      <c r="C22" s="10" t="s">
        <v>107</v>
      </c>
      <c r="D22" s="10" t="s">
        <v>195</v>
      </c>
      <c r="E22" s="10" t="s">
        <v>195</v>
      </c>
      <c r="F22" s="10" t="s">
        <v>195</v>
      </c>
      <c r="G22" s="10" t="s">
        <v>260</v>
      </c>
      <c r="H22" s="10" t="s">
        <v>259</v>
      </c>
      <c r="I22" s="10" t="s">
        <v>259</v>
      </c>
      <c r="J22" s="10" t="s">
        <v>260</v>
      </c>
      <c r="K22" s="10" t="s">
        <v>195</v>
      </c>
      <c r="L22" s="10" t="s">
        <v>195</v>
      </c>
      <c r="M22" s="10" t="s">
        <v>195</v>
      </c>
      <c r="N22" s="10" t="s">
        <v>260</v>
      </c>
      <c r="O22" s="10" t="s">
        <v>195</v>
      </c>
      <c r="P22" s="10" t="s">
        <v>195</v>
      </c>
      <c r="Q22" s="10" t="s">
        <v>107</v>
      </c>
      <c r="R22" s="10" t="s">
        <v>259</v>
      </c>
      <c r="S22" s="10" t="s">
        <v>107</v>
      </c>
      <c r="T22" s="10" t="s">
        <v>259</v>
      </c>
      <c r="U22" s="9">
        <f>VLOOKUP($C22, Rating_Scores[],2,FALSE)*VLOOKUP($C$6, Industry_Sector_Criteria_Weighting[],2,FALSE)+VLOOKUP($D22, Rating_Scores[],2,FALSE)*VLOOKUP($D$6, Industry_Sector_Criteria_Weighting[],2,FALSE)+VLOOKUP($E22, Rating_Scores[],2,FALSE)*VLOOKUP($E$6, Industry_Sector_Criteria_Weighting[],2,FALSE)+VLOOKUP($F22, Rating_Scores[],2,FALSE)*VLOOKUP($F$6, Industry_Sector_Criteria_Weighting[],2,FALSE)+VLOOKUP($G22, Rating_Scores[],2,FALSE)*VLOOKUP($G$6, Industry_Sector_Criteria_Weighting[],2,FALSE)+VLOOKUP($H22, Rating_Scores[],2,FALSE)*VLOOKUP($H$6, Industry_Sector_Criteria_Weighting[],2,FALSE)+VLOOKUP($I22, Rating_Scores[],2,FALSE)*VLOOKUP($I$6, Industry_Sector_Criteria_Weighting[],2,FALSE)+VLOOKUP($J22, Rating_Scores[],2,FALSE)*VLOOKUP($J$6, Industry_Sector_Criteria_Weighting[],2,FALSE)+VLOOKUP($K22, Rating_Scores[],2,FALSE)*VLOOKUP($K$6, Industry_Sector_Criteria_Weighting[],2,FALSE)+VLOOKUP($L22, Rating_Scores[],2,FALSE)*VLOOKUP($L$6, Industry_Sector_Criteria_Weighting[],2,FALSE)+VLOOKUP($M22, Rating_Scores[],2,FALSE)*VLOOKUP($M$6, Industry_Sector_Criteria_Weighting[],2,FALSE)+VLOOKUP($N22, Rating_Scores[],2,FALSE)*VLOOKUP($N$6, Industry_Sector_Criteria_Weighting[],2,FALSE)+VLOOKUP($O22, Rating_Scores[],2,FALSE)*VLOOKUP($O$6, Industry_Sector_Criteria_Weighting[],2,FALSE)+VLOOKUP($P22, Rating_Scores[],2,FALSE)*VLOOKUP($P$6, Industry_Sector_Criteria_Weighting[],2,FALSE)+VLOOKUP($Q22, Rating_Scores[],2,FALSE)*VLOOKUP($Q$6, Industry_Sector_Criteria_Weighting[],2,FALSE)+VLOOKUP($R22, Rating_Scores[],2,FALSE)*VLOOKUP($R$6, Industry_Sector_Criteria_Weighting[],2,FALSE)+VLOOKUP($S22, Rating_Scores[],2,FALSE)*VLOOKUP($S$6, Industry_Sector_Criteria_Weighting[],2,FALSE)+VLOOKUP($T22, Rating_Scores[],2,FALSE)*VLOOKUP($T$6, Industry_Sector_Criteria_Weighting[],2,FALSE)</f>
        <v>47.399999999999991</v>
      </c>
    </row>
    <row r="23" spans="2:21">
      <c r="B23" s="17" t="s">
        <v>274</v>
      </c>
      <c r="C23" s="10" t="s">
        <v>260</v>
      </c>
      <c r="D23" s="10" t="s">
        <v>260</v>
      </c>
      <c r="E23" s="10" t="s">
        <v>260</v>
      </c>
      <c r="F23" s="10" t="s">
        <v>107</v>
      </c>
      <c r="G23" s="10" t="s">
        <v>260</v>
      </c>
      <c r="H23" s="10" t="s">
        <v>259</v>
      </c>
      <c r="I23" s="10" t="s">
        <v>259</v>
      </c>
      <c r="J23" s="10" t="s">
        <v>195</v>
      </c>
      <c r="K23" s="10" t="s">
        <v>107</v>
      </c>
      <c r="L23" s="10" t="s">
        <v>259</v>
      </c>
      <c r="M23" s="10" t="s">
        <v>195</v>
      </c>
      <c r="N23" s="10" t="s">
        <v>259</v>
      </c>
      <c r="O23" s="10" t="s">
        <v>259</v>
      </c>
      <c r="P23" s="10" t="s">
        <v>259</v>
      </c>
      <c r="Q23" s="10" t="s">
        <v>259</v>
      </c>
      <c r="R23" s="10" t="s">
        <v>260</v>
      </c>
      <c r="S23" s="10" t="s">
        <v>260</v>
      </c>
      <c r="T23" s="10" t="s">
        <v>260</v>
      </c>
      <c r="U23" s="9">
        <f>VLOOKUP($C23, Rating_Scores[],2,FALSE)*VLOOKUP($C$6, Industry_Sector_Criteria_Weighting[],2,FALSE)+VLOOKUP($D23, Rating_Scores[],2,FALSE)*VLOOKUP($D$6, Industry_Sector_Criteria_Weighting[],2,FALSE)+VLOOKUP($E23, Rating_Scores[],2,FALSE)*VLOOKUP($E$6, Industry_Sector_Criteria_Weighting[],2,FALSE)+VLOOKUP($F23, Rating_Scores[],2,FALSE)*VLOOKUP($F$6, Industry_Sector_Criteria_Weighting[],2,FALSE)+VLOOKUP($G23, Rating_Scores[],2,FALSE)*VLOOKUP($G$6, Industry_Sector_Criteria_Weighting[],2,FALSE)+VLOOKUP($H23, Rating_Scores[],2,FALSE)*VLOOKUP($H$6, Industry_Sector_Criteria_Weighting[],2,FALSE)+VLOOKUP($I23, Rating_Scores[],2,FALSE)*VLOOKUP($I$6, Industry_Sector_Criteria_Weighting[],2,FALSE)+VLOOKUP($J23, Rating_Scores[],2,FALSE)*VLOOKUP($J$6, Industry_Sector_Criteria_Weighting[],2,FALSE)+VLOOKUP($K23, Rating_Scores[],2,FALSE)*VLOOKUP($K$6, Industry_Sector_Criteria_Weighting[],2,FALSE)+VLOOKUP($L23, Rating_Scores[],2,FALSE)*VLOOKUP($L$6, Industry_Sector_Criteria_Weighting[],2,FALSE)+VLOOKUP($M23, Rating_Scores[],2,FALSE)*VLOOKUP($M$6, Industry_Sector_Criteria_Weighting[],2,FALSE)+VLOOKUP($N23, Rating_Scores[],2,FALSE)*VLOOKUP($N$6, Industry_Sector_Criteria_Weighting[],2,FALSE)+VLOOKUP($O23, Rating_Scores[],2,FALSE)*VLOOKUP($O$6, Industry_Sector_Criteria_Weighting[],2,FALSE)+VLOOKUP($P23, Rating_Scores[],2,FALSE)*VLOOKUP($P$6, Industry_Sector_Criteria_Weighting[],2,FALSE)+VLOOKUP($Q23, Rating_Scores[],2,FALSE)*VLOOKUP($Q$6, Industry_Sector_Criteria_Weighting[],2,FALSE)+VLOOKUP($R23, Rating_Scores[],2,FALSE)*VLOOKUP($R$6, Industry_Sector_Criteria_Weighting[],2,FALSE)+VLOOKUP($S23, Rating_Scores[],2,FALSE)*VLOOKUP($S$6, Industry_Sector_Criteria_Weighting[],2,FALSE)+VLOOKUP($T23, Rating_Scores[],2,FALSE)*VLOOKUP($T$6, Industry_Sector_Criteria_Weighting[],2,FALSE)</f>
        <v>44.099999999999994</v>
      </c>
    </row>
    <row r="24" spans="2:21">
      <c r="B24" s="10" t="s">
        <v>275</v>
      </c>
      <c r="C24" s="10" t="s">
        <v>260</v>
      </c>
      <c r="D24" s="10" t="s">
        <v>107</v>
      </c>
      <c r="E24" s="10" t="s">
        <v>260</v>
      </c>
      <c r="F24" s="10" t="s">
        <v>195</v>
      </c>
      <c r="G24" s="10" t="s">
        <v>260</v>
      </c>
      <c r="H24" s="10" t="s">
        <v>259</v>
      </c>
      <c r="I24" s="10" t="s">
        <v>259</v>
      </c>
      <c r="J24" s="10" t="s">
        <v>260</v>
      </c>
      <c r="K24" s="10" t="s">
        <v>195</v>
      </c>
      <c r="L24" s="10" t="s">
        <v>195</v>
      </c>
      <c r="M24" s="10" t="s">
        <v>195</v>
      </c>
      <c r="N24" s="10" t="s">
        <v>260</v>
      </c>
      <c r="O24" s="10" t="s">
        <v>260</v>
      </c>
      <c r="P24" s="10" t="s">
        <v>195</v>
      </c>
      <c r="Q24" s="10" t="s">
        <v>195</v>
      </c>
      <c r="R24" s="10" t="s">
        <v>259</v>
      </c>
      <c r="S24" s="10" t="s">
        <v>107</v>
      </c>
      <c r="T24" s="10" t="s">
        <v>259</v>
      </c>
      <c r="U24" s="9">
        <f>VLOOKUP($C24, Rating_Scores[],2,FALSE)*VLOOKUP($C$6, Industry_Sector_Criteria_Weighting[],2,FALSE)+VLOOKUP($D24, Rating_Scores[],2,FALSE)*VLOOKUP($D$6, Industry_Sector_Criteria_Weighting[],2,FALSE)+VLOOKUP($E24, Rating_Scores[],2,FALSE)*VLOOKUP($E$6, Industry_Sector_Criteria_Weighting[],2,FALSE)+VLOOKUP($F24, Rating_Scores[],2,FALSE)*VLOOKUP($F$6, Industry_Sector_Criteria_Weighting[],2,FALSE)+VLOOKUP($G24, Rating_Scores[],2,FALSE)*VLOOKUP($G$6, Industry_Sector_Criteria_Weighting[],2,FALSE)+VLOOKUP($H24, Rating_Scores[],2,FALSE)*VLOOKUP($H$6, Industry_Sector_Criteria_Weighting[],2,FALSE)+VLOOKUP($I24, Rating_Scores[],2,FALSE)*VLOOKUP($I$6, Industry_Sector_Criteria_Weighting[],2,FALSE)+VLOOKUP($J24, Rating_Scores[],2,FALSE)*VLOOKUP($J$6, Industry_Sector_Criteria_Weighting[],2,FALSE)+VLOOKUP($K24, Rating_Scores[],2,FALSE)*VLOOKUP($K$6, Industry_Sector_Criteria_Weighting[],2,FALSE)+VLOOKUP($L24, Rating_Scores[],2,FALSE)*VLOOKUP($L$6, Industry_Sector_Criteria_Weighting[],2,FALSE)+VLOOKUP($M24, Rating_Scores[],2,FALSE)*VLOOKUP($M$6, Industry_Sector_Criteria_Weighting[],2,FALSE)+VLOOKUP($N24, Rating_Scores[],2,FALSE)*VLOOKUP($N$6, Industry_Sector_Criteria_Weighting[],2,FALSE)+VLOOKUP($O24, Rating_Scores[],2,FALSE)*VLOOKUP($O$6, Industry_Sector_Criteria_Weighting[],2,FALSE)+VLOOKUP($P24, Rating_Scores[],2,FALSE)*VLOOKUP($P$6, Industry_Sector_Criteria_Weighting[],2,FALSE)+VLOOKUP($Q24, Rating_Scores[],2,FALSE)*VLOOKUP($Q$6, Industry_Sector_Criteria_Weighting[],2,FALSE)+VLOOKUP($R24, Rating_Scores[],2,FALSE)*VLOOKUP($R$6, Industry_Sector_Criteria_Weighting[],2,FALSE)+VLOOKUP($S24, Rating_Scores[],2,FALSE)*VLOOKUP($S$6, Industry_Sector_Criteria_Weighting[],2,FALSE)+VLOOKUP($T24, Rating_Scores[],2,FALSE)*VLOOKUP($T$6, Industry_Sector_Criteria_Weighting[],2,FALSE)</f>
        <v>43.199999999999996</v>
      </c>
    </row>
    <row r="25" spans="2:21">
      <c r="B25" s="10" t="s">
        <v>276</v>
      </c>
      <c r="C25" s="10" t="s">
        <v>260</v>
      </c>
      <c r="D25" s="10" t="s">
        <v>260</v>
      </c>
      <c r="E25" s="10" t="s">
        <v>107</v>
      </c>
      <c r="F25" s="10" t="s">
        <v>107</v>
      </c>
      <c r="G25" s="10" t="s">
        <v>195</v>
      </c>
      <c r="H25" s="10" t="s">
        <v>195</v>
      </c>
      <c r="I25" s="10" t="s">
        <v>259</v>
      </c>
      <c r="J25" s="10" t="s">
        <v>259</v>
      </c>
      <c r="K25" s="10" t="s">
        <v>195</v>
      </c>
      <c r="L25" s="10" t="s">
        <v>259</v>
      </c>
      <c r="M25" s="10" t="s">
        <v>195</v>
      </c>
      <c r="N25" s="10" t="s">
        <v>195</v>
      </c>
      <c r="O25" s="10" t="s">
        <v>259</v>
      </c>
      <c r="P25" s="10" t="s">
        <v>259</v>
      </c>
      <c r="Q25" s="10" t="s">
        <v>259</v>
      </c>
      <c r="R25" s="10" t="s">
        <v>195</v>
      </c>
      <c r="S25" s="10" t="s">
        <v>107</v>
      </c>
      <c r="T25" s="10" t="s">
        <v>195</v>
      </c>
      <c r="U25" s="9">
        <f>VLOOKUP($C25, Rating_Scores[],2,FALSE)*VLOOKUP($C$6, Industry_Sector_Criteria_Weighting[],2,FALSE)+VLOOKUP($D25, Rating_Scores[],2,FALSE)*VLOOKUP($D$6, Industry_Sector_Criteria_Weighting[],2,FALSE)+VLOOKUP($E25, Rating_Scores[],2,FALSE)*VLOOKUP($E$6, Industry_Sector_Criteria_Weighting[],2,FALSE)+VLOOKUP($F25, Rating_Scores[],2,FALSE)*VLOOKUP($F$6, Industry_Sector_Criteria_Weighting[],2,FALSE)+VLOOKUP($G25, Rating_Scores[],2,FALSE)*VLOOKUP($G$6, Industry_Sector_Criteria_Weighting[],2,FALSE)+VLOOKUP($H25, Rating_Scores[],2,FALSE)*VLOOKUP($H$6, Industry_Sector_Criteria_Weighting[],2,FALSE)+VLOOKUP($I25, Rating_Scores[],2,FALSE)*VLOOKUP($I$6, Industry_Sector_Criteria_Weighting[],2,FALSE)+VLOOKUP($J25, Rating_Scores[],2,FALSE)*VLOOKUP($J$6, Industry_Sector_Criteria_Weighting[],2,FALSE)+VLOOKUP($K25, Rating_Scores[],2,FALSE)*VLOOKUP($K$6, Industry_Sector_Criteria_Weighting[],2,FALSE)+VLOOKUP($L25, Rating_Scores[],2,FALSE)*VLOOKUP($L$6, Industry_Sector_Criteria_Weighting[],2,FALSE)+VLOOKUP($M25, Rating_Scores[],2,FALSE)*VLOOKUP($M$6, Industry_Sector_Criteria_Weighting[],2,FALSE)+VLOOKUP($N25, Rating_Scores[],2,FALSE)*VLOOKUP($N$6, Industry_Sector_Criteria_Weighting[],2,FALSE)+VLOOKUP($O25, Rating_Scores[],2,FALSE)*VLOOKUP($O$6, Industry_Sector_Criteria_Weighting[],2,FALSE)+VLOOKUP($P25, Rating_Scores[],2,FALSE)*VLOOKUP($P$6, Industry_Sector_Criteria_Weighting[],2,FALSE)+VLOOKUP($Q25, Rating_Scores[],2,FALSE)*VLOOKUP($Q$6, Industry_Sector_Criteria_Weighting[],2,FALSE)+VLOOKUP($R25, Rating_Scores[],2,FALSE)*VLOOKUP($R$6, Industry_Sector_Criteria_Weighting[],2,FALSE)+VLOOKUP($S25, Rating_Scores[],2,FALSE)*VLOOKUP($S$6, Industry_Sector_Criteria_Weighting[],2,FALSE)+VLOOKUP($T25, Rating_Scores[],2,FALSE)*VLOOKUP($T$6, Industry_Sector_Criteria_Weighting[],2,FALSE)</f>
        <v>49.000000000000007</v>
      </c>
    </row>
    <row r="26" spans="2:21">
      <c r="B26" s="10" t="s">
        <v>277</v>
      </c>
      <c r="C26" s="10" t="s">
        <v>260</v>
      </c>
      <c r="D26" s="10" t="s">
        <v>195</v>
      </c>
      <c r="E26" s="10" t="s">
        <v>195</v>
      </c>
      <c r="F26" s="10" t="s">
        <v>107</v>
      </c>
      <c r="G26" s="10" t="s">
        <v>195</v>
      </c>
      <c r="H26" s="10" t="s">
        <v>260</v>
      </c>
      <c r="I26" s="10" t="s">
        <v>195</v>
      </c>
      <c r="J26" s="10" t="s">
        <v>107</v>
      </c>
      <c r="K26" s="10" t="s">
        <v>260</v>
      </c>
      <c r="L26" s="10" t="s">
        <v>195</v>
      </c>
      <c r="M26" s="10" t="s">
        <v>259</v>
      </c>
      <c r="N26" s="10" t="s">
        <v>195</v>
      </c>
      <c r="O26" s="10" t="s">
        <v>259</v>
      </c>
      <c r="P26" s="10" t="s">
        <v>260</v>
      </c>
      <c r="Q26" s="10" t="s">
        <v>259</v>
      </c>
      <c r="R26" s="10" t="s">
        <v>195</v>
      </c>
      <c r="S26" s="10" t="s">
        <v>260</v>
      </c>
      <c r="T26" s="10" t="s">
        <v>195</v>
      </c>
      <c r="U26" s="9">
        <f>VLOOKUP($C26, Rating_Scores[],2,FALSE)*VLOOKUP($C$6, Industry_Sector_Criteria_Weighting[],2,FALSE)+VLOOKUP($D26, Rating_Scores[],2,FALSE)*VLOOKUP($D$6, Industry_Sector_Criteria_Weighting[],2,FALSE)+VLOOKUP($E26, Rating_Scores[],2,FALSE)*VLOOKUP($E$6, Industry_Sector_Criteria_Weighting[],2,FALSE)+VLOOKUP($F26, Rating_Scores[],2,FALSE)*VLOOKUP($F$6, Industry_Sector_Criteria_Weighting[],2,FALSE)+VLOOKUP($G26, Rating_Scores[],2,FALSE)*VLOOKUP($G$6, Industry_Sector_Criteria_Weighting[],2,FALSE)+VLOOKUP($H26, Rating_Scores[],2,FALSE)*VLOOKUP($H$6, Industry_Sector_Criteria_Weighting[],2,FALSE)+VLOOKUP($I26, Rating_Scores[],2,FALSE)*VLOOKUP($I$6, Industry_Sector_Criteria_Weighting[],2,FALSE)+VLOOKUP($J26, Rating_Scores[],2,FALSE)*VLOOKUP($J$6, Industry_Sector_Criteria_Weighting[],2,FALSE)+VLOOKUP($K26, Rating_Scores[],2,FALSE)*VLOOKUP($K$6, Industry_Sector_Criteria_Weighting[],2,FALSE)+VLOOKUP($L26, Rating_Scores[],2,FALSE)*VLOOKUP($L$6, Industry_Sector_Criteria_Weighting[],2,FALSE)+VLOOKUP($M26, Rating_Scores[],2,FALSE)*VLOOKUP($M$6, Industry_Sector_Criteria_Weighting[],2,FALSE)+VLOOKUP($N26, Rating_Scores[],2,FALSE)*VLOOKUP($N$6, Industry_Sector_Criteria_Weighting[],2,FALSE)+VLOOKUP($O26, Rating_Scores[],2,FALSE)*VLOOKUP($O$6, Industry_Sector_Criteria_Weighting[],2,FALSE)+VLOOKUP($P26, Rating_Scores[],2,FALSE)*VLOOKUP($P$6, Industry_Sector_Criteria_Weighting[],2,FALSE)+VLOOKUP($Q26, Rating_Scores[],2,FALSE)*VLOOKUP($Q$6, Industry_Sector_Criteria_Weighting[],2,FALSE)+VLOOKUP($R26, Rating_Scores[],2,FALSE)*VLOOKUP($R$6, Industry_Sector_Criteria_Weighting[],2,FALSE)+VLOOKUP($S26, Rating_Scores[],2,FALSE)*VLOOKUP($S$6, Industry_Sector_Criteria_Weighting[],2,FALSE)+VLOOKUP($T26, Rating_Scores[],2,FALSE)*VLOOKUP($T$6, Industry_Sector_Criteria_Weighting[],2,FALSE)</f>
        <v>44</v>
      </c>
    </row>
    <row r="27" spans="2:21">
      <c r="B27" s="10" t="s">
        <v>278</v>
      </c>
      <c r="C27" s="10" t="s">
        <v>260</v>
      </c>
      <c r="D27" s="10" t="s">
        <v>260</v>
      </c>
      <c r="E27" s="10" t="s">
        <v>259</v>
      </c>
      <c r="F27" s="10" t="s">
        <v>107</v>
      </c>
      <c r="G27" s="10" t="s">
        <v>260</v>
      </c>
      <c r="H27" s="10" t="s">
        <v>259</v>
      </c>
      <c r="I27" s="10" t="s">
        <v>259</v>
      </c>
      <c r="J27" s="10" t="s">
        <v>195</v>
      </c>
      <c r="K27" s="10" t="s">
        <v>195</v>
      </c>
      <c r="L27" s="10" t="s">
        <v>260</v>
      </c>
      <c r="M27" s="10" t="s">
        <v>195</v>
      </c>
      <c r="N27" s="10" t="s">
        <v>195</v>
      </c>
      <c r="O27" s="10" t="s">
        <v>260</v>
      </c>
      <c r="P27" s="10" t="s">
        <v>259</v>
      </c>
      <c r="Q27" s="10" t="s">
        <v>260</v>
      </c>
      <c r="R27" s="10" t="s">
        <v>195</v>
      </c>
      <c r="S27" s="10" t="s">
        <v>260</v>
      </c>
      <c r="T27" s="10" t="s">
        <v>107</v>
      </c>
      <c r="U27" s="9">
        <f>VLOOKUP($C27, Rating_Scores[],2,FALSE)*VLOOKUP($C$6, Industry_Sector_Criteria_Weighting[],2,FALSE)+VLOOKUP($D27, Rating_Scores[],2,FALSE)*VLOOKUP($D$6, Industry_Sector_Criteria_Weighting[],2,FALSE)+VLOOKUP($E27, Rating_Scores[],2,FALSE)*VLOOKUP($E$6, Industry_Sector_Criteria_Weighting[],2,FALSE)+VLOOKUP($F27, Rating_Scores[],2,FALSE)*VLOOKUP($F$6, Industry_Sector_Criteria_Weighting[],2,FALSE)+VLOOKUP($G27, Rating_Scores[],2,FALSE)*VLOOKUP($G$6, Industry_Sector_Criteria_Weighting[],2,FALSE)+VLOOKUP($H27, Rating_Scores[],2,FALSE)*VLOOKUP($H$6, Industry_Sector_Criteria_Weighting[],2,FALSE)+VLOOKUP($I27, Rating_Scores[],2,FALSE)*VLOOKUP($I$6, Industry_Sector_Criteria_Weighting[],2,FALSE)+VLOOKUP($J27, Rating_Scores[],2,FALSE)*VLOOKUP($J$6, Industry_Sector_Criteria_Weighting[],2,FALSE)+VLOOKUP($K27, Rating_Scores[],2,FALSE)*VLOOKUP($K$6, Industry_Sector_Criteria_Weighting[],2,FALSE)+VLOOKUP($L27, Rating_Scores[],2,FALSE)*VLOOKUP($L$6, Industry_Sector_Criteria_Weighting[],2,FALSE)+VLOOKUP($M27, Rating_Scores[],2,FALSE)*VLOOKUP($M$6, Industry_Sector_Criteria_Weighting[],2,FALSE)+VLOOKUP($N27, Rating_Scores[],2,FALSE)*VLOOKUP($N$6, Industry_Sector_Criteria_Weighting[],2,FALSE)+VLOOKUP($O27, Rating_Scores[],2,FALSE)*VLOOKUP($O$6, Industry_Sector_Criteria_Weighting[],2,FALSE)+VLOOKUP($P27, Rating_Scores[],2,FALSE)*VLOOKUP($P$6, Industry_Sector_Criteria_Weighting[],2,FALSE)+VLOOKUP($Q27, Rating_Scores[],2,FALSE)*VLOOKUP($Q$6, Industry_Sector_Criteria_Weighting[],2,FALSE)+VLOOKUP($R27, Rating_Scores[],2,FALSE)*VLOOKUP($R$6, Industry_Sector_Criteria_Weighting[],2,FALSE)+VLOOKUP($S27, Rating_Scores[],2,FALSE)*VLOOKUP($S$6, Industry_Sector_Criteria_Weighting[],2,FALSE)+VLOOKUP($T27, Rating_Scores[],2,FALSE)*VLOOKUP($T$6, Industry_Sector_Criteria_Weighting[],2,FALSE)</f>
        <v>41.5</v>
      </c>
    </row>
    <row r="28" spans="2:21">
      <c r="B28" s="10" t="s">
        <v>279</v>
      </c>
      <c r="C28" s="10" t="s">
        <v>195</v>
      </c>
      <c r="D28" s="10" t="s">
        <v>195</v>
      </c>
      <c r="E28" s="10" t="s">
        <v>195</v>
      </c>
      <c r="F28" s="10" t="s">
        <v>195</v>
      </c>
      <c r="G28" s="10" t="s">
        <v>260</v>
      </c>
      <c r="H28" s="10" t="s">
        <v>259</v>
      </c>
      <c r="I28" s="10" t="s">
        <v>259</v>
      </c>
      <c r="J28" s="10" t="s">
        <v>260</v>
      </c>
      <c r="K28" s="10" t="s">
        <v>259</v>
      </c>
      <c r="L28" s="10" t="s">
        <v>107</v>
      </c>
      <c r="M28" s="10" t="s">
        <v>195</v>
      </c>
      <c r="N28" s="10" t="s">
        <v>107</v>
      </c>
      <c r="O28" s="10" t="s">
        <v>195</v>
      </c>
      <c r="P28" s="10" t="s">
        <v>195</v>
      </c>
      <c r="Q28" s="10" t="s">
        <v>107</v>
      </c>
      <c r="R28" s="10" t="s">
        <v>259</v>
      </c>
      <c r="S28" s="10" t="s">
        <v>195</v>
      </c>
      <c r="T28" s="10" t="s">
        <v>259</v>
      </c>
      <c r="U28" s="9">
        <f>VLOOKUP($C28, Rating_Scores[],2,FALSE)*VLOOKUP($C$6, Industry_Sector_Criteria_Weighting[],2,FALSE)+VLOOKUP($D28, Rating_Scores[],2,FALSE)*VLOOKUP($D$6, Industry_Sector_Criteria_Weighting[],2,FALSE)+VLOOKUP($E28, Rating_Scores[],2,FALSE)*VLOOKUP($E$6, Industry_Sector_Criteria_Weighting[],2,FALSE)+VLOOKUP($F28, Rating_Scores[],2,FALSE)*VLOOKUP($F$6, Industry_Sector_Criteria_Weighting[],2,FALSE)+VLOOKUP($G28, Rating_Scores[],2,FALSE)*VLOOKUP($G$6, Industry_Sector_Criteria_Weighting[],2,FALSE)+VLOOKUP($H28, Rating_Scores[],2,FALSE)*VLOOKUP($H$6, Industry_Sector_Criteria_Weighting[],2,FALSE)+VLOOKUP($I28, Rating_Scores[],2,FALSE)*VLOOKUP($I$6, Industry_Sector_Criteria_Weighting[],2,FALSE)+VLOOKUP($J28, Rating_Scores[],2,FALSE)*VLOOKUP($J$6, Industry_Sector_Criteria_Weighting[],2,FALSE)+VLOOKUP($K28, Rating_Scores[],2,FALSE)*VLOOKUP($K$6, Industry_Sector_Criteria_Weighting[],2,FALSE)+VLOOKUP($L28, Rating_Scores[],2,FALSE)*VLOOKUP($L$6, Industry_Sector_Criteria_Weighting[],2,FALSE)+VLOOKUP($M28, Rating_Scores[],2,FALSE)*VLOOKUP($M$6, Industry_Sector_Criteria_Weighting[],2,FALSE)+VLOOKUP($N28, Rating_Scores[],2,FALSE)*VLOOKUP($N$6, Industry_Sector_Criteria_Weighting[],2,FALSE)+VLOOKUP($O28, Rating_Scores[],2,FALSE)*VLOOKUP($O$6, Industry_Sector_Criteria_Weighting[],2,FALSE)+VLOOKUP($P28, Rating_Scores[],2,FALSE)*VLOOKUP($P$6, Industry_Sector_Criteria_Weighting[],2,FALSE)+VLOOKUP($Q28, Rating_Scores[],2,FALSE)*VLOOKUP($Q$6, Industry_Sector_Criteria_Weighting[],2,FALSE)+VLOOKUP($R28, Rating_Scores[],2,FALSE)*VLOOKUP($R$6, Industry_Sector_Criteria_Weighting[],2,FALSE)+VLOOKUP($S28, Rating_Scores[],2,FALSE)*VLOOKUP($S$6, Industry_Sector_Criteria_Weighting[],2,FALSE)+VLOOKUP($T28, Rating_Scores[],2,FALSE)*VLOOKUP($T$6, Industry_Sector_Criteria_Weighting[],2,FALSE)</f>
        <v>49.399999999999991</v>
      </c>
    </row>
    <row r="29" spans="2:21">
      <c r="B29" s="10" t="s">
        <v>280</v>
      </c>
      <c r="C29" s="10" t="s">
        <v>260</v>
      </c>
      <c r="D29" s="10" t="s">
        <v>260</v>
      </c>
      <c r="E29" s="10" t="s">
        <v>259</v>
      </c>
      <c r="F29" s="10" t="s">
        <v>107</v>
      </c>
      <c r="G29" s="10" t="s">
        <v>195</v>
      </c>
      <c r="H29" s="10" t="s">
        <v>195</v>
      </c>
      <c r="I29" s="10" t="s">
        <v>195</v>
      </c>
      <c r="J29" s="10" t="s">
        <v>107</v>
      </c>
      <c r="K29" s="10" t="s">
        <v>107</v>
      </c>
      <c r="L29" s="10" t="s">
        <v>259</v>
      </c>
      <c r="M29" s="10" t="s">
        <v>195</v>
      </c>
      <c r="N29" s="10" t="s">
        <v>260</v>
      </c>
      <c r="O29" s="10" t="s">
        <v>259</v>
      </c>
      <c r="P29" s="10" t="s">
        <v>195</v>
      </c>
      <c r="Q29" s="10" t="s">
        <v>107</v>
      </c>
      <c r="R29" s="10" t="s">
        <v>260</v>
      </c>
      <c r="S29" s="10" t="s">
        <v>260</v>
      </c>
      <c r="T29" s="10" t="s">
        <v>195</v>
      </c>
      <c r="U29" s="9">
        <f>VLOOKUP($C29, Rating_Scores[],2,FALSE)*VLOOKUP($C$6, Industry_Sector_Criteria_Weighting[],2,FALSE)+VLOOKUP($D29, Rating_Scores[],2,FALSE)*VLOOKUP($D$6, Industry_Sector_Criteria_Weighting[],2,FALSE)+VLOOKUP($E29, Rating_Scores[],2,FALSE)*VLOOKUP($E$6, Industry_Sector_Criteria_Weighting[],2,FALSE)+VLOOKUP($F29, Rating_Scores[],2,FALSE)*VLOOKUP($F$6, Industry_Sector_Criteria_Weighting[],2,FALSE)+VLOOKUP($G29, Rating_Scores[],2,FALSE)*VLOOKUP($G$6, Industry_Sector_Criteria_Weighting[],2,FALSE)+VLOOKUP($H29, Rating_Scores[],2,FALSE)*VLOOKUP($H$6, Industry_Sector_Criteria_Weighting[],2,FALSE)+VLOOKUP($I29, Rating_Scores[],2,FALSE)*VLOOKUP($I$6, Industry_Sector_Criteria_Weighting[],2,FALSE)+VLOOKUP($J29, Rating_Scores[],2,FALSE)*VLOOKUP($J$6, Industry_Sector_Criteria_Weighting[],2,FALSE)+VLOOKUP($K29, Rating_Scores[],2,FALSE)*VLOOKUP($K$6, Industry_Sector_Criteria_Weighting[],2,FALSE)+VLOOKUP($L29, Rating_Scores[],2,FALSE)*VLOOKUP($L$6, Industry_Sector_Criteria_Weighting[],2,FALSE)+VLOOKUP($M29, Rating_Scores[],2,FALSE)*VLOOKUP($M$6, Industry_Sector_Criteria_Weighting[],2,FALSE)+VLOOKUP($N29, Rating_Scores[],2,FALSE)*VLOOKUP($N$6, Industry_Sector_Criteria_Weighting[],2,FALSE)+VLOOKUP($O29, Rating_Scores[],2,FALSE)*VLOOKUP($O$6, Industry_Sector_Criteria_Weighting[],2,FALSE)+VLOOKUP($P29, Rating_Scores[],2,FALSE)*VLOOKUP($P$6, Industry_Sector_Criteria_Weighting[],2,FALSE)+VLOOKUP($Q29, Rating_Scores[],2,FALSE)*VLOOKUP($Q$6, Industry_Sector_Criteria_Weighting[],2,FALSE)+VLOOKUP($R29, Rating_Scores[],2,FALSE)*VLOOKUP($R$6, Industry_Sector_Criteria_Weighting[],2,FALSE)+VLOOKUP($S29, Rating_Scores[],2,FALSE)*VLOOKUP($S$6, Industry_Sector_Criteria_Weighting[],2,FALSE)+VLOOKUP($T29, Rating_Scores[],2,FALSE)*VLOOKUP($T$6, Industry_Sector_Criteria_Weighting[],2,FALSE)</f>
        <v>42.699999999999989</v>
      </c>
    </row>
    <row r="30" spans="2:21">
      <c r="B30" s="10" t="s">
        <v>420</v>
      </c>
      <c r="C30" s="10" t="s">
        <v>260</v>
      </c>
      <c r="D30" s="10" t="s">
        <v>107</v>
      </c>
      <c r="E30" s="10" t="s">
        <v>260</v>
      </c>
      <c r="F30" s="10" t="s">
        <v>260</v>
      </c>
      <c r="G30" s="10" t="s">
        <v>261</v>
      </c>
      <c r="H30" s="10" t="s">
        <v>195</v>
      </c>
      <c r="I30" s="10" t="s">
        <v>259</v>
      </c>
      <c r="J30" s="10" t="s">
        <v>195</v>
      </c>
      <c r="K30" s="10" t="s">
        <v>195</v>
      </c>
      <c r="L30" s="10" t="s">
        <v>259</v>
      </c>
      <c r="M30" s="10" t="s">
        <v>260</v>
      </c>
      <c r="N30" s="10" t="s">
        <v>107</v>
      </c>
      <c r="O30" s="10" t="s">
        <v>259</v>
      </c>
      <c r="P30" s="10" t="s">
        <v>259</v>
      </c>
      <c r="Q30" s="10" t="s">
        <v>195</v>
      </c>
      <c r="R30" s="10" t="s">
        <v>195</v>
      </c>
      <c r="S30" s="10" t="s">
        <v>260</v>
      </c>
      <c r="T30" s="10" t="s">
        <v>107</v>
      </c>
      <c r="U30" s="9">
        <f>VLOOKUP($C30, Rating_Scores[],2,FALSE)*VLOOKUP($C$6, Industry_Sector_Criteria_Weighting[],2,FALSE)+VLOOKUP($D30, Rating_Scores[],2,FALSE)*VLOOKUP($D$6, Industry_Sector_Criteria_Weighting[],2,FALSE)+VLOOKUP($E30, Rating_Scores[],2,FALSE)*VLOOKUP($E$6, Industry_Sector_Criteria_Weighting[],2,FALSE)+VLOOKUP($F30, Rating_Scores[],2,FALSE)*VLOOKUP($F$6, Industry_Sector_Criteria_Weighting[],2,FALSE)+VLOOKUP($G30, Rating_Scores[],2,FALSE)*VLOOKUP($G$6, Industry_Sector_Criteria_Weighting[],2,FALSE)+VLOOKUP($H30, Rating_Scores[],2,FALSE)*VLOOKUP($H$6, Industry_Sector_Criteria_Weighting[],2,FALSE)+VLOOKUP($I30, Rating_Scores[],2,FALSE)*VLOOKUP($I$6, Industry_Sector_Criteria_Weighting[],2,FALSE)+VLOOKUP($J30, Rating_Scores[],2,FALSE)*VLOOKUP($J$6, Industry_Sector_Criteria_Weighting[],2,FALSE)+VLOOKUP($K30, Rating_Scores[],2,FALSE)*VLOOKUP($K$6, Industry_Sector_Criteria_Weighting[],2,FALSE)+VLOOKUP($L30, Rating_Scores[],2,FALSE)*VLOOKUP($L$6, Industry_Sector_Criteria_Weighting[],2,FALSE)+VLOOKUP($M30, Rating_Scores[],2,FALSE)*VLOOKUP($M$6, Industry_Sector_Criteria_Weighting[],2,FALSE)+VLOOKUP($N30, Rating_Scores[],2,FALSE)*VLOOKUP($N$6, Industry_Sector_Criteria_Weighting[],2,FALSE)+VLOOKUP($O30, Rating_Scores[],2,FALSE)*VLOOKUP($O$6, Industry_Sector_Criteria_Weighting[],2,FALSE)+VLOOKUP($P30, Rating_Scores[],2,FALSE)*VLOOKUP($P$6, Industry_Sector_Criteria_Weighting[],2,FALSE)+VLOOKUP($Q30, Rating_Scores[],2,FALSE)*VLOOKUP($Q$6, Industry_Sector_Criteria_Weighting[],2,FALSE)+VLOOKUP($R30, Rating_Scores[],2,FALSE)*VLOOKUP($R$6, Industry_Sector_Criteria_Weighting[],2,FALSE)+VLOOKUP($S30, Rating_Scores[],2,FALSE)*VLOOKUP($S$6, Industry_Sector_Criteria_Weighting[],2,FALSE)+VLOOKUP($T30, Rating_Scores[],2,FALSE)*VLOOKUP($T$6, Industry_Sector_Criteria_Weighting[],2,FALSE)</f>
        <v>42.1</v>
      </c>
    </row>
    <row r="31" spans="2:21">
      <c r="B31" s="10" t="s">
        <v>281</v>
      </c>
      <c r="C31" s="10" t="s">
        <v>107</v>
      </c>
      <c r="D31" s="10" t="s">
        <v>260</v>
      </c>
      <c r="E31" s="10" t="s">
        <v>107</v>
      </c>
      <c r="F31" s="10" t="s">
        <v>107</v>
      </c>
      <c r="G31" s="10" t="s">
        <v>260</v>
      </c>
      <c r="H31" s="10" t="s">
        <v>259</v>
      </c>
      <c r="I31" s="10" t="s">
        <v>259</v>
      </c>
      <c r="J31" s="10" t="s">
        <v>195</v>
      </c>
      <c r="K31" s="10" t="s">
        <v>195</v>
      </c>
      <c r="L31" s="10" t="s">
        <v>195</v>
      </c>
      <c r="M31" s="10" t="s">
        <v>260</v>
      </c>
      <c r="N31" s="10" t="s">
        <v>260</v>
      </c>
      <c r="O31" s="10" t="s">
        <v>260</v>
      </c>
      <c r="P31" s="10" t="s">
        <v>107</v>
      </c>
      <c r="Q31" s="10" t="s">
        <v>195</v>
      </c>
      <c r="R31" s="10" t="s">
        <v>260</v>
      </c>
      <c r="S31" s="10" t="s">
        <v>195</v>
      </c>
      <c r="T31" s="10" t="s">
        <v>107</v>
      </c>
      <c r="U31" s="9">
        <f>VLOOKUP($C31, Rating_Scores[],2,FALSE)*VLOOKUP($C$6, Industry_Sector_Criteria_Weighting[],2,FALSE)+VLOOKUP($D31, Rating_Scores[],2,FALSE)*VLOOKUP($D$6, Industry_Sector_Criteria_Weighting[],2,FALSE)+VLOOKUP($E31, Rating_Scores[],2,FALSE)*VLOOKUP($E$6, Industry_Sector_Criteria_Weighting[],2,FALSE)+VLOOKUP($F31, Rating_Scores[],2,FALSE)*VLOOKUP($F$6, Industry_Sector_Criteria_Weighting[],2,FALSE)+VLOOKUP($G31, Rating_Scores[],2,FALSE)*VLOOKUP($G$6, Industry_Sector_Criteria_Weighting[],2,FALSE)+VLOOKUP($H31, Rating_Scores[],2,FALSE)*VLOOKUP($H$6, Industry_Sector_Criteria_Weighting[],2,FALSE)+VLOOKUP($I31, Rating_Scores[],2,FALSE)*VLOOKUP($I$6, Industry_Sector_Criteria_Weighting[],2,FALSE)+VLOOKUP($J31, Rating_Scores[],2,FALSE)*VLOOKUP($J$6, Industry_Sector_Criteria_Weighting[],2,FALSE)+VLOOKUP($K31, Rating_Scores[],2,FALSE)*VLOOKUP($K$6, Industry_Sector_Criteria_Weighting[],2,FALSE)+VLOOKUP($L31, Rating_Scores[],2,FALSE)*VLOOKUP($L$6, Industry_Sector_Criteria_Weighting[],2,FALSE)+VLOOKUP($M31, Rating_Scores[],2,FALSE)*VLOOKUP($M$6, Industry_Sector_Criteria_Weighting[],2,FALSE)+VLOOKUP($N31, Rating_Scores[],2,FALSE)*VLOOKUP($N$6, Industry_Sector_Criteria_Weighting[],2,FALSE)+VLOOKUP($O31, Rating_Scores[],2,FALSE)*VLOOKUP($O$6, Industry_Sector_Criteria_Weighting[],2,FALSE)+VLOOKUP($P31, Rating_Scores[],2,FALSE)*VLOOKUP($P$6, Industry_Sector_Criteria_Weighting[],2,FALSE)+VLOOKUP($Q31, Rating_Scores[],2,FALSE)*VLOOKUP($Q$6, Industry_Sector_Criteria_Weighting[],2,FALSE)+VLOOKUP($R31, Rating_Scores[],2,FALSE)*VLOOKUP($R$6, Industry_Sector_Criteria_Weighting[],2,FALSE)+VLOOKUP($S31, Rating_Scores[],2,FALSE)*VLOOKUP($S$6, Industry_Sector_Criteria_Weighting[],2,FALSE)+VLOOKUP($T31, Rating_Scores[],2,FALSE)*VLOOKUP($T$6, Industry_Sector_Criteria_Weighting[],2,FALSE)</f>
        <v>40.1</v>
      </c>
    </row>
    <row r="32" spans="2:21">
      <c r="B32" s="10" t="s">
        <v>282</v>
      </c>
      <c r="C32" s="10" t="s">
        <v>195</v>
      </c>
      <c r="D32" s="10" t="s">
        <v>107</v>
      </c>
      <c r="E32" s="10" t="s">
        <v>107</v>
      </c>
      <c r="F32" s="10" t="s">
        <v>107</v>
      </c>
      <c r="G32" s="10" t="s">
        <v>260</v>
      </c>
      <c r="H32" s="10" t="s">
        <v>195</v>
      </c>
      <c r="I32" s="10" t="s">
        <v>195</v>
      </c>
      <c r="J32" s="10" t="s">
        <v>195</v>
      </c>
      <c r="K32" s="10" t="s">
        <v>260</v>
      </c>
      <c r="L32" s="10" t="s">
        <v>107</v>
      </c>
      <c r="M32" s="10" t="s">
        <v>107</v>
      </c>
      <c r="N32" s="10" t="s">
        <v>195</v>
      </c>
      <c r="O32" s="10" t="s">
        <v>107</v>
      </c>
      <c r="P32" s="10" t="s">
        <v>195</v>
      </c>
      <c r="Q32" s="10" t="s">
        <v>107</v>
      </c>
      <c r="R32" s="10" t="s">
        <v>195</v>
      </c>
      <c r="S32" s="10" t="s">
        <v>107</v>
      </c>
      <c r="T32" s="10" t="s">
        <v>107</v>
      </c>
      <c r="U32" s="9">
        <f>VLOOKUP($C32, Rating_Scores[],2,FALSE)*VLOOKUP($C$6, Industry_Sector_Criteria_Weighting[],2,FALSE)+VLOOKUP($D32, Rating_Scores[],2,FALSE)*VLOOKUP($D$6, Industry_Sector_Criteria_Weighting[],2,FALSE)+VLOOKUP($E32, Rating_Scores[],2,FALSE)*VLOOKUP($E$6, Industry_Sector_Criteria_Weighting[],2,FALSE)+VLOOKUP($F32, Rating_Scores[],2,FALSE)*VLOOKUP($F$6, Industry_Sector_Criteria_Weighting[],2,FALSE)+VLOOKUP($G32, Rating_Scores[],2,FALSE)*VLOOKUP($G$6, Industry_Sector_Criteria_Weighting[],2,FALSE)+VLOOKUP($H32, Rating_Scores[],2,FALSE)*VLOOKUP($H$6, Industry_Sector_Criteria_Weighting[],2,FALSE)+VLOOKUP($I32, Rating_Scores[],2,FALSE)*VLOOKUP($I$6, Industry_Sector_Criteria_Weighting[],2,FALSE)+VLOOKUP($J32, Rating_Scores[],2,FALSE)*VLOOKUP($J$6, Industry_Sector_Criteria_Weighting[],2,FALSE)+VLOOKUP($K32, Rating_Scores[],2,FALSE)*VLOOKUP($K$6, Industry_Sector_Criteria_Weighting[],2,FALSE)+VLOOKUP($L32, Rating_Scores[],2,FALSE)*VLOOKUP($L$6, Industry_Sector_Criteria_Weighting[],2,FALSE)+VLOOKUP($M32, Rating_Scores[],2,FALSE)*VLOOKUP($M$6, Industry_Sector_Criteria_Weighting[],2,FALSE)+VLOOKUP($N32, Rating_Scores[],2,FALSE)*VLOOKUP($N$6, Industry_Sector_Criteria_Weighting[],2,FALSE)+VLOOKUP($O32, Rating_Scores[],2,FALSE)*VLOOKUP($O$6, Industry_Sector_Criteria_Weighting[],2,FALSE)+VLOOKUP($P32, Rating_Scores[],2,FALSE)*VLOOKUP($P$6, Industry_Sector_Criteria_Weighting[],2,FALSE)+VLOOKUP($Q32, Rating_Scores[],2,FALSE)*VLOOKUP($Q$6, Industry_Sector_Criteria_Weighting[],2,FALSE)+VLOOKUP($R32, Rating_Scores[],2,FALSE)*VLOOKUP($R$6, Industry_Sector_Criteria_Weighting[],2,FALSE)+VLOOKUP($S32, Rating_Scores[],2,FALSE)*VLOOKUP($S$6, Industry_Sector_Criteria_Weighting[],2,FALSE)+VLOOKUP($T32, Rating_Scores[],2,FALSE)*VLOOKUP($T$6, Industry_Sector_Criteria_Weighting[],2,FALSE)</f>
        <v>42.1</v>
      </c>
    </row>
    <row r="33" spans="2:21">
      <c r="B33" s="10" t="s">
        <v>283</v>
      </c>
      <c r="C33" s="10" t="s">
        <v>195</v>
      </c>
      <c r="D33" s="10" t="s">
        <v>260</v>
      </c>
      <c r="E33" s="10" t="s">
        <v>195</v>
      </c>
      <c r="F33" s="10" t="s">
        <v>195</v>
      </c>
      <c r="G33" s="10" t="s">
        <v>260</v>
      </c>
      <c r="H33" s="10" t="s">
        <v>259</v>
      </c>
      <c r="I33" s="10" t="s">
        <v>195</v>
      </c>
      <c r="J33" s="10" t="s">
        <v>107</v>
      </c>
      <c r="K33" s="10" t="s">
        <v>260</v>
      </c>
      <c r="L33" s="10" t="s">
        <v>259</v>
      </c>
      <c r="M33" s="10" t="s">
        <v>260</v>
      </c>
      <c r="N33" s="10" t="s">
        <v>107</v>
      </c>
      <c r="O33" s="10" t="s">
        <v>195</v>
      </c>
      <c r="P33" s="10" t="s">
        <v>195</v>
      </c>
      <c r="Q33" s="10" t="s">
        <v>195</v>
      </c>
      <c r="R33" s="10" t="s">
        <v>259</v>
      </c>
      <c r="S33" s="10" t="s">
        <v>195</v>
      </c>
      <c r="T33" s="10" t="s">
        <v>259</v>
      </c>
      <c r="U33" s="9">
        <f>VLOOKUP($C33, Rating_Scores[],2,FALSE)*VLOOKUP($C$6, Industry_Sector_Criteria_Weighting[],2,FALSE)+VLOOKUP($D33, Rating_Scores[],2,FALSE)*VLOOKUP($D$6, Industry_Sector_Criteria_Weighting[],2,FALSE)+VLOOKUP($E33, Rating_Scores[],2,FALSE)*VLOOKUP($E$6, Industry_Sector_Criteria_Weighting[],2,FALSE)+VLOOKUP($F33, Rating_Scores[],2,FALSE)*VLOOKUP($F$6, Industry_Sector_Criteria_Weighting[],2,FALSE)+VLOOKUP($G33, Rating_Scores[],2,FALSE)*VLOOKUP($G$6, Industry_Sector_Criteria_Weighting[],2,FALSE)+VLOOKUP($H33, Rating_Scores[],2,FALSE)*VLOOKUP($H$6, Industry_Sector_Criteria_Weighting[],2,FALSE)+VLOOKUP($I33, Rating_Scores[],2,FALSE)*VLOOKUP($I$6, Industry_Sector_Criteria_Weighting[],2,FALSE)+VLOOKUP($J33, Rating_Scores[],2,FALSE)*VLOOKUP($J$6, Industry_Sector_Criteria_Weighting[],2,FALSE)+VLOOKUP($K33, Rating_Scores[],2,FALSE)*VLOOKUP($K$6, Industry_Sector_Criteria_Weighting[],2,FALSE)+VLOOKUP($L33, Rating_Scores[],2,FALSE)*VLOOKUP($L$6, Industry_Sector_Criteria_Weighting[],2,FALSE)+VLOOKUP($M33, Rating_Scores[],2,FALSE)*VLOOKUP($M$6, Industry_Sector_Criteria_Weighting[],2,FALSE)+VLOOKUP($N33, Rating_Scores[],2,FALSE)*VLOOKUP($N$6, Industry_Sector_Criteria_Weighting[],2,FALSE)+VLOOKUP($O33, Rating_Scores[],2,FALSE)*VLOOKUP($O$6, Industry_Sector_Criteria_Weighting[],2,FALSE)+VLOOKUP($P33, Rating_Scores[],2,FALSE)*VLOOKUP($P$6, Industry_Sector_Criteria_Weighting[],2,FALSE)+VLOOKUP($Q33, Rating_Scores[],2,FALSE)*VLOOKUP($Q$6, Industry_Sector_Criteria_Weighting[],2,FALSE)+VLOOKUP($R33, Rating_Scores[],2,FALSE)*VLOOKUP($R$6, Industry_Sector_Criteria_Weighting[],2,FALSE)+VLOOKUP($S33, Rating_Scores[],2,FALSE)*VLOOKUP($S$6, Industry_Sector_Criteria_Weighting[],2,FALSE)+VLOOKUP($T33, Rating_Scores[],2,FALSE)*VLOOKUP($T$6, Industry_Sector_Criteria_Weighting[],2,FALSE)</f>
        <v>47.3</v>
      </c>
    </row>
    <row r="34" spans="2:21">
      <c r="B34" s="10" t="s">
        <v>284</v>
      </c>
      <c r="C34" s="10" t="s">
        <v>260</v>
      </c>
      <c r="D34" s="10" t="s">
        <v>260</v>
      </c>
      <c r="E34" s="10" t="s">
        <v>195</v>
      </c>
      <c r="F34" s="10" t="s">
        <v>195</v>
      </c>
      <c r="G34" s="10" t="s">
        <v>107</v>
      </c>
      <c r="H34" s="10" t="s">
        <v>259</v>
      </c>
      <c r="I34" s="10" t="s">
        <v>260</v>
      </c>
      <c r="J34" s="10" t="s">
        <v>107</v>
      </c>
      <c r="K34" s="10" t="s">
        <v>260</v>
      </c>
      <c r="L34" s="10" t="s">
        <v>195</v>
      </c>
      <c r="M34" s="10" t="s">
        <v>260</v>
      </c>
      <c r="N34" s="10" t="s">
        <v>107</v>
      </c>
      <c r="O34" s="10" t="s">
        <v>107</v>
      </c>
      <c r="P34" s="10" t="s">
        <v>195</v>
      </c>
      <c r="Q34" s="10" t="s">
        <v>259</v>
      </c>
      <c r="R34" s="10" t="s">
        <v>260</v>
      </c>
      <c r="S34" s="10" t="s">
        <v>195</v>
      </c>
      <c r="T34" s="10" t="s">
        <v>195</v>
      </c>
      <c r="U34" s="9">
        <f>VLOOKUP($C34, Rating_Scores[],2,FALSE)*VLOOKUP($C$6, Industry_Sector_Criteria_Weighting[],2,FALSE)+VLOOKUP($D34, Rating_Scores[],2,FALSE)*VLOOKUP($D$6, Industry_Sector_Criteria_Weighting[],2,FALSE)+VLOOKUP($E34, Rating_Scores[],2,FALSE)*VLOOKUP($E$6, Industry_Sector_Criteria_Weighting[],2,FALSE)+VLOOKUP($F34, Rating_Scores[],2,FALSE)*VLOOKUP($F$6, Industry_Sector_Criteria_Weighting[],2,FALSE)+VLOOKUP($G34, Rating_Scores[],2,FALSE)*VLOOKUP($G$6, Industry_Sector_Criteria_Weighting[],2,FALSE)+VLOOKUP($H34, Rating_Scores[],2,FALSE)*VLOOKUP($H$6, Industry_Sector_Criteria_Weighting[],2,FALSE)+VLOOKUP($I34, Rating_Scores[],2,FALSE)*VLOOKUP($I$6, Industry_Sector_Criteria_Weighting[],2,FALSE)+VLOOKUP($J34, Rating_Scores[],2,FALSE)*VLOOKUP($J$6, Industry_Sector_Criteria_Weighting[],2,FALSE)+VLOOKUP($K34, Rating_Scores[],2,FALSE)*VLOOKUP($K$6, Industry_Sector_Criteria_Weighting[],2,FALSE)+VLOOKUP($L34, Rating_Scores[],2,FALSE)*VLOOKUP($L$6, Industry_Sector_Criteria_Weighting[],2,FALSE)+VLOOKUP($M34, Rating_Scores[],2,FALSE)*VLOOKUP($M$6, Industry_Sector_Criteria_Weighting[],2,FALSE)+VLOOKUP($N34, Rating_Scores[],2,FALSE)*VLOOKUP($N$6, Industry_Sector_Criteria_Weighting[],2,FALSE)+VLOOKUP($O34, Rating_Scores[],2,FALSE)*VLOOKUP($O$6, Industry_Sector_Criteria_Weighting[],2,FALSE)+VLOOKUP($P34, Rating_Scores[],2,FALSE)*VLOOKUP($P$6, Industry_Sector_Criteria_Weighting[],2,FALSE)+VLOOKUP($Q34, Rating_Scores[],2,FALSE)*VLOOKUP($Q$6, Industry_Sector_Criteria_Weighting[],2,FALSE)+VLOOKUP($R34, Rating_Scores[],2,FALSE)*VLOOKUP($R$6, Industry_Sector_Criteria_Weighting[],2,FALSE)+VLOOKUP($S34, Rating_Scores[],2,FALSE)*VLOOKUP($S$6, Industry_Sector_Criteria_Weighting[],2,FALSE)+VLOOKUP($T34, Rating_Scores[],2,FALSE)*VLOOKUP($T$6, Industry_Sector_Criteria_Weighting[],2,FALSE)</f>
        <v>40.70000000000001</v>
      </c>
    </row>
    <row r="35" spans="2:21">
      <c r="B35" s="10" t="s">
        <v>460</v>
      </c>
      <c r="C35" s="10" t="s">
        <v>260</v>
      </c>
      <c r="D35" s="10" t="s">
        <v>260</v>
      </c>
      <c r="E35" s="10" t="s">
        <v>260</v>
      </c>
      <c r="F35" s="10" t="s">
        <v>195</v>
      </c>
      <c r="G35" s="10" t="s">
        <v>107</v>
      </c>
      <c r="H35" s="10" t="s">
        <v>107</v>
      </c>
      <c r="I35" s="10" t="s">
        <v>107</v>
      </c>
      <c r="J35" s="10" t="s">
        <v>107</v>
      </c>
      <c r="K35" s="10" t="s">
        <v>107</v>
      </c>
      <c r="L35" s="10" t="s">
        <v>195</v>
      </c>
      <c r="M35" s="10" t="s">
        <v>260</v>
      </c>
      <c r="N35" s="10" t="s">
        <v>107</v>
      </c>
      <c r="O35" s="10" t="s">
        <v>259</v>
      </c>
      <c r="P35" s="10" t="s">
        <v>259</v>
      </c>
      <c r="Q35" s="10" t="s">
        <v>259</v>
      </c>
      <c r="R35" s="10" t="s">
        <v>195</v>
      </c>
      <c r="S35" s="10" t="s">
        <v>107</v>
      </c>
      <c r="T35" s="10" t="s">
        <v>107</v>
      </c>
      <c r="U35" s="9">
        <f>VLOOKUP($C35, Rating_Scores[],2,FALSE)*VLOOKUP($C$6, Industry_Sector_Criteria_Weighting[],2,FALSE)+VLOOKUP($D35, Rating_Scores[],2,FALSE)*VLOOKUP($D$6, Industry_Sector_Criteria_Weighting[],2,FALSE)+VLOOKUP($E35, Rating_Scores[],2,FALSE)*VLOOKUP($E$6, Industry_Sector_Criteria_Weighting[],2,FALSE)+VLOOKUP($F35, Rating_Scores[],2,FALSE)*VLOOKUP($F$6, Industry_Sector_Criteria_Weighting[],2,FALSE)+VLOOKUP($G35, Rating_Scores[],2,FALSE)*VLOOKUP($G$6, Industry_Sector_Criteria_Weighting[],2,FALSE)+VLOOKUP($H35, Rating_Scores[],2,FALSE)*VLOOKUP($H$6, Industry_Sector_Criteria_Weighting[],2,FALSE)+VLOOKUP($I35, Rating_Scores[],2,FALSE)*VLOOKUP($I$6, Industry_Sector_Criteria_Weighting[],2,FALSE)+VLOOKUP($J35, Rating_Scores[],2,FALSE)*VLOOKUP($J$6, Industry_Sector_Criteria_Weighting[],2,FALSE)+VLOOKUP($K35, Rating_Scores[],2,FALSE)*VLOOKUP($K$6, Industry_Sector_Criteria_Weighting[],2,FALSE)+VLOOKUP($L35, Rating_Scores[],2,FALSE)*VLOOKUP($L$6, Industry_Sector_Criteria_Weighting[],2,FALSE)+VLOOKUP($M35, Rating_Scores[],2,FALSE)*VLOOKUP($M$6, Industry_Sector_Criteria_Weighting[],2,FALSE)+VLOOKUP($N35, Rating_Scores[],2,FALSE)*VLOOKUP($N$6, Industry_Sector_Criteria_Weighting[],2,FALSE)+VLOOKUP($O35, Rating_Scores[],2,FALSE)*VLOOKUP($O$6, Industry_Sector_Criteria_Weighting[],2,FALSE)+VLOOKUP($P35, Rating_Scores[],2,FALSE)*VLOOKUP($P$6, Industry_Sector_Criteria_Weighting[],2,FALSE)+VLOOKUP($Q35, Rating_Scores[],2,FALSE)*VLOOKUP($Q$6, Industry_Sector_Criteria_Weighting[],2,FALSE)+VLOOKUP($R35, Rating_Scores[],2,FALSE)*VLOOKUP($R$6, Industry_Sector_Criteria_Weighting[],2,FALSE)+VLOOKUP($S35, Rating_Scores[],2,FALSE)*VLOOKUP($S$6, Industry_Sector_Criteria_Weighting[],2,FALSE)+VLOOKUP($T35, Rating_Scores[],2,FALSE)*VLOOKUP($T$6, Industry_Sector_Criteria_Weighting[],2,FALSE)</f>
        <v>41.20000000000001</v>
      </c>
    </row>
    <row r="36" spans="2:21">
      <c r="B36" s="10" t="s">
        <v>285</v>
      </c>
      <c r="C36" s="10" t="s">
        <v>195</v>
      </c>
      <c r="D36" s="10" t="s">
        <v>195</v>
      </c>
      <c r="E36" s="10" t="s">
        <v>259</v>
      </c>
      <c r="F36" s="10" t="s">
        <v>259</v>
      </c>
      <c r="G36" s="10" t="s">
        <v>195</v>
      </c>
      <c r="H36" s="10" t="s">
        <v>259</v>
      </c>
      <c r="I36" s="10" t="s">
        <v>259</v>
      </c>
      <c r="J36" s="10" t="s">
        <v>259</v>
      </c>
      <c r="K36" s="10" t="s">
        <v>259</v>
      </c>
      <c r="L36" s="10" t="s">
        <v>259</v>
      </c>
      <c r="M36" s="10" t="s">
        <v>195</v>
      </c>
      <c r="N36" s="10" t="s">
        <v>260</v>
      </c>
      <c r="O36" s="10" t="s">
        <v>259</v>
      </c>
      <c r="P36" s="10" t="s">
        <v>259</v>
      </c>
      <c r="Q36" s="10" t="s">
        <v>259</v>
      </c>
      <c r="R36" s="10" t="s">
        <v>260</v>
      </c>
      <c r="S36" s="10" t="s">
        <v>195</v>
      </c>
      <c r="T36" s="10" t="s">
        <v>107</v>
      </c>
      <c r="U36" s="9">
        <f>VLOOKUP($C36, Rating_Scores[],2,FALSE)*VLOOKUP($C$6, Industry_Sector_Criteria_Weighting[],2,FALSE)+VLOOKUP($D36, Rating_Scores[],2,FALSE)*VLOOKUP($D$6, Industry_Sector_Criteria_Weighting[],2,FALSE)+VLOOKUP($E36, Rating_Scores[],2,FALSE)*VLOOKUP($E$6, Industry_Sector_Criteria_Weighting[],2,FALSE)+VLOOKUP($F36, Rating_Scores[],2,FALSE)*VLOOKUP($F$6, Industry_Sector_Criteria_Weighting[],2,FALSE)+VLOOKUP($G36, Rating_Scores[],2,FALSE)*VLOOKUP($G$6, Industry_Sector_Criteria_Weighting[],2,FALSE)+VLOOKUP($H36, Rating_Scores[],2,FALSE)*VLOOKUP($H$6, Industry_Sector_Criteria_Weighting[],2,FALSE)+VLOOKUP($I36, Rating_Scores[],2,FALSE)*VLOOKUP($I$6, Industry_Sector_Criteria_Weighting[],2,FALSE)+VLOOKUP($J36, Rating_Scores[],2,FALSE)*VLOOKUP($J$6, Industry_Sector_Criteria_Weighting[],2,FALSE)+VLOOKUP($K36, Rating_Scores[],2,FALSE)*VLOOKUP($K$6, Industry_Sector_Criteria_Weighting[],2,FALSE)+VLOOKUP($L36, Rating_Scores[],2,FALSE)*VLOOKUP($L$6, Industry_Sector_Criteria_Weighting[],2,FALSE)+VLOOKUP($M36, Rating_Scores[],2,FALSE)*VLOOKUP($M$6, Industry_Sector_Criteria_Weighting[],2,FALSE)+VLOOKUP($N36, Rating_Scores[],2,FALSE)*VLOOKUP($N$6, Industry_Sector_Criteria_Weighting[],2,FALSE)+VLOOKUP($O36, Rating_Scores[],2,FALSE)*VLOOKUP($O$6, Industry_Sector_Criteria_Weighting[],2,FALSE)+VLOOKUP($P36, Rating_Scores[],2,FALSE)*VLOOKUP($P$6, Industry_Sector_Criteria_Weighting[],2,FALSE)+VLOOKUP($Q36, Rating_Scores[],2,FALSE)*VLOOKUP($Q$6, Industry_Sector_Criteria_Weighting[],2,FALSE)+VLOOKUP($R36, Rating_Scores[],2,FALSE)*VLOOKUP($R$6, Industry_Sector_Criteria_Weighting[],2,FALSE)+VLOOKUP($S36, Rating_Scores[],2,FALSE)*VLOOKUP($S$6, Industry_Sector_Criteria_Weighting[],2,FALSE)+VLOOKUP($T36, Rating_Scores[],2,FALSE)*VLOOKUP($T$6, Industry_Sector_Criteria_Weighting[],2,FALSE)</f>
        <v>54.500000000000014</v>
      </c>
    </row>
    <row r="37" spans="2:21">
      <c r="B37" s="10" t="s">
        <v>286</v>
      </c>
      <c r="C37" s="10" t="s">
        <v>260</v>
      </c>
      <c r="D37" s="10" t="s">
        <v>107</v>
      </c>
      <c r="E37" s="10" t="s">
        <v>260</v>
      </c>
      <c r="F37" s="10" t="s">
        <v>107</v>
      </c>
      <c r="G37" s="10" t="s">
        <v>260</v>
      </c>
      <c r="H37" s="10" t="s">
        <v>259</v>
      </c>
      <c r="I37" s="10" t="s">
        <v>260</v>
      </c>
      <c r="J37" s="10" t="s">
        <v>260</v>
      </c>
      <c r="K37" s="10" t="s">
        <v>259</v>
      </c>
      <c r="L37" s="10" t="s">
        <v>195</v>
      </c>
      <c r="M37" s="10" t="s">
        <v>259</v>
      </c>
      <c r="N37" s="10" t="s">
        <v>259</v>
      </c>
      <c r="O37" s="10" t="s">
        <v>259</v>
      </c>
      <c r="P37" s="10" t="s">
        <v>259</v>
      </c>
      <c r="Q37" s="10" t="s">
        <v>259</v>
      </c>
      <c r="R37" s="10" t="s">
        <v>195</v>
      </c>
      <c r="S37" s="10" t="s">
        <v>260</v>
      </c>
      <c r="T37" s="10" t="s">
        <v>260</v>
      </c>
      <c r="U37" s="9">
        <f>VLOOKUP($C37, Rating_Scores[],2,FALSE)*VLOOKUP($C$6, Industry_Sector_Criteria_Weighting[],2,FALSE)+VLOOKUP($D37, Rating_Scores[],2,FALSE)*VLOOKUP($D$6, Industry_Sector_Criteria_Weighting[],2,FALSE)+VLOOKUP($E37, Rating_Scores[],2,FALSE)*VLOOKUP($E$6, Industry_Sector_Criteria_Weighting[],2,FALSE)+VLOOKUP($F37, Rating_Scores[],2,FALSE)*VLOOKUP($F$6, Industry_Sector_Criteria_Weighting[],2,FALSE)+VLOOKUP($G37, Rating_Scores[],2,FALSE)*VLOOKUP($G$6, Industry_Sector_Criteria_Weighting[],2,FALSE)+VLOOKUP($H37, Rating_Scores[],2,FALSE)*VLOOKUP($H$6, Industry_Sector_Criteria_Weighting[],2,FALSE)+VLOOKUP($I37, Rating_Scores[],2,FALSE)*VLOOKUP($I$6, Industry_Sector_Criteria_Weighting[],2,FALSE)+VLOOKUP($J37, Rating_Scores[],2,FALSE)*VLOOKUP($J$6, Industry_Sector_Criteria_Weighting[],2,FALSE)+VLOOKUP($K37, Rating_Scores[],2,FALSE)*VLOOKUP($K$6, Industry_Sector_Criteria_Weighting[],2,FALSE)+VLOOKUP($L37, Rating_Scores[],2,FALSE)*VLOOKUP($L$6, Industry_Sector_Criteria_Weighting[],2,FALSE)+VLOOKUP($M37, Rating_Scores[],2,FALSE)*VLOOKUP($M$6, Industry_Sector_Criteria_Weighting[],2,FALSE)+VLOOKUP($N37, Rating_Scores[],2,FALSE)*VLOOKUP($N$6, Industry_Sector_Criteria_Weighting[],2,FALSE)+VLOOKUP($O37, Rating_Scores[],2,FALSE)*VLOOKUP($O$6, Industry_Sector_Criteria_Weighting[],2,FALSE)+VLOOKUP($P37, Rating_Scores[],2,FALSE)*VLOOKUP($P$6, Industry_Sector_Criteria_Weighting[],2,FALSE)+VLOOKUP($Q37, Rating_Scores[],2,FALSE)*VLOOKUP($Q$6, Industry_Sector_Criteria_Weighting[],2,FALSE)+VLOOKUP($R37, Rating_Scores[],2,FALSE)*VLOOKUP($R$6, Industry_Sector_Criteria_Weighting[],2,FALSE)+VLOOKUP($S37, Rating_Scores[],2,FALSE)*VLOOKUP($S$6, Industry_Sector_Criteria_Weighting[],2,FALSE)+VLOOKUP($T37, Rating_Scores[],2,FALSE)*VLOOKUP($T$6, Industry_Sector_Criteria_Weighting[],2,FALSE)</f>
        <v>44.3</v>
      </c>
    </row>
    <row r="38" spans="2:21">
      <c r="B38" s="10" t="s">
        <v>287</v>
      </c>
      <c r="C38" s="10" t="s">
        <v>260</v>
      </c>
      <c r="D38" s="10" t="s">
        <v>195</v>
      </c>
      <c r="E38" s="10" t="s">
        <v>195</v>
      </c>
      <c r="F38" s="10" t="s">
        <v>195</v>
      </c>
      <c r="G38" s="10" t="s">
        <v>260</v>
      </c>
      <c r="H38" s="10" t="s">
        <v>259</v>
      </c>
      <c r="I38" s="10" t="s">
        <v>259</v>
      </c>
      <c r="J38" s="10" t="s">
        <v>195</v>
      </c>
      <c r="K38" s="10" t="s">
        <v>107</v>
      </c>
      <c r="L38" s="10" t="s">
        <v>259</v>
      </c>
      <c r="M38" s="10" t="s">
        <v>195</v>
      </c>
      <c r="N38" s="10" t="s">
        <v>260</v>
      </c>
      <c r="O38" s="10" t="s">
        <v>259</v>
      </c>
      <c r="P38" s="10" t="s">
        <v>259</v>
      </c>
      <c r="Q38" s="10" t="s">
        <v>259</v>
      </c>
      <c r="R38" s="10" t="s">
        <v>260</v>
      </c>
      <c r="S38" s="10" t="s">
        <v>260</v>
      </c>
      <c r="T38" s="10" t="s">
        <v>260</v>
      </c>
      <c r="U38" s="9">
        <f>VLOOKUP($C38, Rating_Scores[],2,FALSE)*VLOOKUP($C$6, Industry_Sector_Criteria_Weighting[],2,FALSE)+VLOOKUP($D38, Rating_Scores[],2,FALSE)*VLOOKUP($D$6, Industry_Sector_Criteria_Weighting[],2,FALSE)+VLOOKUP($E38, Rating_Scores[],2,FALSE)*VLOOKUP($E$6, Industry_Sector_Criteria_Weighting[],2,FALSE)+VLOOKUP($F38, Rating_Scores[],2,FALSE)*VLOOKUP($F$6, Industry_Sector_Criteria_Weighting[],2,FALSE)+VLOOKUP($G38, Rating_Scores[],2,FALSE)*VLOOKUP($G$6, Industry_Sector_Criteria_Weighting[],2,FALSE)+VLOOKUP($H38, Rating_Scores[],2,FALSE)*VLOOKUP($H$6, Industry_Sector_Criteria_Weighting[],2,FALSE)+VLOOKUP($I38, Rating_Scores[],2,FALSE)*VLOOKUP($I$6, Industry_Sector_Criteria_Weighting[],2,FALSE)+VLOOKUP($J38, Rating_Scores[],2,FALSE)*VLOOKUP($J$6, Industry_Sector_Criteria_Weighting[],2,FALSE)+VLOOKUP($K38, Rating_Scores[],2,FALSE)*VLOOKUP($K$6, Industry_Sector_Criteria_Weighting[],2,FALSE)+VLOOKUP($L38, Rating_Scores[],2,FALSE)*VLOOKUP($L$6, Industry_Sector_Criteria_Weighting[],2,FALSE)+VLOOKUP($M38, Rating_Scores[],2,FALSE)*VLOOKUP($M$6, Industry_Sector_Criteria_Weighting[],2,FALSE)+VLOOKUP($N38, Rating_Scores[],2,FALSE)*VLOOKUP($N$6, Industry_Sector_Criteria_Weighting[],2,FALSE)+VLOOKUP($O38, Rating_Scores[],2,FALSE)*VLOOKUP($O$6, Industry_Sector_Criteria_Weighting[],2,FALSE)+VLOOKUP($P38, Rating_Scores[],2,FALSE)*VLOOKUP($P$6, Industry_Sector_Criteria_Weighting[],2,FALSE)+VLOOKUP($Q38, Rating_Scores[],2,FALSE)*VLOOKUP($Q$6, Industry_Sector_Criteria_Weighting[],2,FALSE)+VLOOKUP($R38, Rating_Scores[],2,FALSE)*VLOOKUP($R$6, Industry_Sector_Criteria_Weighting[],2,FALSE)+VLOOKUP($S38, Rating_Scores[],2,FALSE)*VLOOKUP($S$6, Industry_Sector_Criteria_Weighting[],2,FALSE)+VLOOKUP($T38, Rating_Scores[],2,FALSE)*VLOOKUP($T$6, Industry_Sector_Criteria_Weighting[],2,FALSE)</f>
        <v>46.199999999999996</v>
      </c>
    </row>
    <row r="39" spans="2:21">
      <c r="B39" s="10" t="s">
        <v>288</v>
      </c>
      <c r="C39" s="10" t="s">
        <v>260</v>
      </c>
      <c r="D39" s="10" t="s">
        <v>260</v>
      </c>
      <c r="E39" s="10" t="s">
        <v>260</v>
      </c>
      <c r="F39" s="10" t="s">
        <v>107</v>
      </c>
      <c r="G39" s="10" t="s">
        <v>107</v>
      </c>
      <c r="H39" s="10" t="s">
        <v>107</v>
      </c>
      <c r="I39" s="10" t="s">
        <v>195</v>
      </c>
      <c r="J39" s="10" t="s">
        <v>195</v>
      </c>
      <c r="K39" s="10" t="s">
        <v>260</v>
      </c>
      <c r="L39" s="10" t="s">
        <v>195</v>
      </c>
      <c r="M39" s="10" t="s">
        <v>259</v>
      </c>
      <c r="N39" s="10" t="s">
        <v>260</v>
      </c>
      <c r="O39" s="10" t="s">
        <v>259</v>
      </c>
      <c r="P39" s="10" t="s">
        <v>260</v>
      </c>
      <c r="Q39" s="10" t="s">
        <v>259</v>
      </c>
      <c r="R39" s="10" t="s">
        <v>195</v>
      </c>
      <c r="S39" s="10" t="s">
        <v>260</v>
      </c>
      <c r="T39" s="10" t="s">
        <v>195</v>
      </c>
      <c r="U39" s="9">
        <f>VLOOKUP($C39, Rating_Scores[],2,FALSE)*VLOOKUP($C$6, Industry_Sector_Criteria_Weighting[],2,FALSE)+VLOOKUP($D39, Rating_Scores[],2,FALSE)*VLOOKUP($D$6, Industry_Sector_Criteria_Weighting[],2,FALSE)+VLOOKUP($E39, Rating_Scores[],2,FALSE)*VLOOKUP($E$6, Industry_Sector_Criteria_Weighting[],2,FALSE)+VLOOKUP($F39, Rating_Scores[],2,FALSE)*VLOOKUP($F$6, Industry_Sector_Criteria_Weighting[],2,FALSE)+VLOOKUP($G39, Rating_Scores[],2,FALSE)*VLOOKUP($G$6, Industry_Sector_Criteria_Weighting[],2,FALSE)+VLOOKUP($H39, Rating_Scores[],2,FALSE)*VLOOKUP($H$6, Industry_Sector_Criteria_Weighting[],2,FALSE)+VLOOKUP($I39, Rating_Scores[],2,FALSE)*VLOOKUP($I$6, Industry_Sector_Criteria_Weighting[],2,FALSE)+VLOOKUP($J39, Rating_Scores[],2,FALSE)*VLOOKUP($J$6, Industry_Sector_Criteria_Weighting[],2,FALSE)+VLOOKUP($K39, Rating_Scores[],2,FALSE)*VLOOKUP($K$6, Industry_Sector_Criteria_Weighting[],2,FALSE)+VLOOKUP($L39, Rating_Scores[],2,FALSE)*VLOOKUP($L$6, Industry_Sector_Criteria_Weighting[],2,FALSE)+VLOOKUP($M39, Rating_Scores[],2,FALSE)*VLOOKUP($M$6, Industry_Sector_Criteria_Weighting[],2,FALSE)+VLOOKUP($N39, Rating_Scores[],2,FALSE)*VLOOKUP($N$6, Industry_Sector_Criteria_Weighting[],2,FALSE)+VLOOKUP($O39, Rating_Scores[],2,FALSE)*VLOOKUP($O$6, Industry_Sector_Criteria_Weighting[],2,FALSE)+VLOOKUP($P39, Rating_Scores[],2,FALSE)*VLOOKUP($P$6, Industry_Sector_Criteria_Weighting[],2,FALSE)+VLOOKUP($Q39, Rating_Scores[],2,FALSE)*VLOOKUP($Q$6, Industry_Sector_Criteria_Weighting[],2,FALSE)+VLOOKUP($R39, Rating_Scores[],2,FALSE)*VLOOKUP($R$6, Industry_Sector_Criteria_Weighting[],2,FALSE)+VLOOKUP($S39, Rating_Scores[],2,FALSE)*VLOOKUP($S$6, Industry_Sector_Criteria_Weighting[],2,FALSE)+VLOOKUP($T39, Rating_Scores[],2,FALSE)*VLOOKUP($T$6, Industry_Sector_Criteria_Weighting[],2,FALSE)</f>
        <v>40.4</v>
      </c>
    </row>
    <row r="40" spans="2:21">
      <c r="B40" s="10" t="s">
        <v>289</v>
      </c>
      <c r="C40" s="10" t="s">
        <v>195</v>
      </c>
      <c r="D40" s="10" t="s">
        <v>259</v>
      </c>
      <c r="E40" s="10" t="s">
        <v>195</v>
      </c>
      <c r="F40" s="10" t="s">
        <v>195</v>
      </c>
      <c r="G40" s="10" t="s">
        <v>195</v>
      </c>
      <c r="H40" s="10" t="s">
        <v>195</v>
      </c>
      <c r="I40" s="10" t="s">
        <v>259</v>
      </c>
      <c r="J40" s="10" t="s">
        <v>107</v>
      </c>
      <c r="K40" s="10" t="s">
        <v>259</v>
      </c>
      <c r="L40" s="10" t="s">
        <v>195</v>
      </c>
      <c r="M40" s="10" t="s">
        <v>260</v>
      </c>
      <c r="N40" s="10" t="s">
        <v>260</v>
      </c>
      <c r="O40" s="10" t="s">
        <v>195</v>
      </c>
      <c r="P40" s="10" t="s">
        <v>195</v>
      </c>
      <c r="Q40" s="10" t="s">
        <v>107</v>
      </c>
      <c r="R40" s="10" t="s">
        <v>195</v>
      </c>
      <c r="S40" s="10" t="s">
        <v>195</v>
      </c>
      <c r="T40" s="10" t="s">
        <v>107</v>
      </c>
      <c r="U40" s="9">
        <f>VLOOKUP($C40, Rating_Scores[],2,FALSE)*VLOOKUP($C$6, Industry_Sector_Criteria_Weighting[],2,FALSE)+VLOOKUP($D40, Rating_Scores[],2,FALSE)*VLOOKUP($D$6, Industry_Sector_Criteria_Weighting[],2,FALSE)+VLOOKUP($E40, Rating_Scores[],2,FALSE)*VLOOKUP($E$6, Industry_Sector_Criteria_Weighting[],2,FALSE)+VLOOKUP($F40, Rating_Scores[],2,FALSE)*VLOOKUP($F$6, Industry_Sector_Criteria_Weighting[],2,FALSE)+VLOOKUP($G40, Rating_Scores[],2,FALSE)*VLOOKUP($G$6, Industry_Sector_Criteria_Weighting[],2,FALSE)+VLOOKUP($H40, Rating_Scores[],2,FALSE)*VLOOKUP($H$6, Industry_Sector_Criteria_Weighting[],2,FALSE)+VLOOKUP($I40, Rating_Scores[],2,FALSE)*VLOOKUP($I$6, Industry_Sector_Criteria_Weighting[],2,FALSE)+VLOOKUP($J40, Rating_Scores[],2,FALSE)*VLOOKUP($J$6, Industry_Sector_Criteria_Weighting[],2,FALSE)+VLOOKUP($K40, Rating_Scores[],2,FALSE)*VLOOKUP($K$6, Industry_Sector_Criteria_Weighting[],2,FALSE)+VLOOKUP($L40, Rating_Scores[],2,FALSE)*VLOOKUP($L$6, Industry_Sector_Criteria_Weighting[],2,FALSE)+VLOOKUP($M40, Rating_Scores[],2,FALSE)*VLOOKUP($M$6, Industry_Sector_Criteria_Weighting[],2,FALSE)+VLOOKUP($N40, Rating_Scores[],2,FALSE)*VLOOKUP($N$6, Industry_Sector_Criteria_Weighting[],2,FALSE)+VLOOKUP($O40, Rating_Scores[],2,FALSE)*VLOOKUP($O$6, Industry_Sector_Criteria_Weighting[],2,FALSE)+VLOOKUP($P40, Rating_Scores[],2,FALSE)*VLOOKUP($P$6, Industry_Sector_Criteria_Weighting[],2,FALSE)+VLOOKUP($Q40, Rating_Scores[],2,FALSE)*VLOOKUP($Q$6, Industry_Sector_Criteria_Weighting[],2,FALSE)+VLOOKUP($R40, Rating_Scores[],2,FALSE)*VLOOKUP($R$6, Industry_Sector_Criteria_Weighting[],2,FALSE)+VLOOKUP($S40, Rating_Scores[],2,FALSE)*VLOOKUP($S$6, Industry_Sector_Criteria_Weighting[],2,FALSE)+VLOOKUP($T40, Rating_Scores[],2,FALSE)*VLOOKUP($T$6, Industry_Sector_Criteria_Weighting[],2,FALSE)</f>
        <v>48.300000000000004</v>
      </c>
    </row>
    <row r="41" spans="2:21">
      <c r="B41" s="10" t="s">
        <v>290</v>
      </c>
      <c r="C41" s="10" t="s">
        <v>260</v>
      </c>
      <c r="D41" s="10" t="s">
        <v>260</v>
      </c>
      <c r="E41" s="10" t="s">
        <v>260</v>
      </c>
      <c r="F41" s="10" t="s">
        <v>107</v>
      </c>
      <c r="G41" s="10" t="s">
        <v>260</v>
      </c>
      <c r="H41" s="10" t="s">
        <v>259</v>
      </c>
      <c r="I41" s="10" t="s">
        <v>259</v>
      </c>
      <c r="J41" s="10" t="s">
        <v>195</v>
      </c>
      <c r="K41" s="10" t="s">
        <v>107</v>
      </c>
      <c r="L41" s="10" t="s">
        <v>195</v>
      </c>
      <c r="M41" s="10" t="s">
        <v>259</v>
      </c>
      <c r="N41" s="10" t="s">
        <v>260</v>
      </c>
      <c r="O41" s="10" t="s">
        <v>259</v>
      </c>
      <c r="P41" s="10" t="s">
        <v>259</v>
      </c>
      <c r="Q41" s="10" t="s">
        <v>259</v>
      </c>
      <c r="R41" s="10" t="s">
        <v>107</v>
      </c>
      <c r="S41" s="10" t="s">
        <v>260</v>
      </c>
      <c r="T41" s="10" t="s">
        <v>260</v>
      </c>
      <c r="U41" s="9">
        <f>VLOOKUP($C41, Rating_Scores[],2,FALSE)*VLOOKUP($C$6, Industry_Sector_Criteria_Weighting[],2,FALSE)+VLOOKUP($D41, Rating_Scores[],2,FALSE)*VLOOKUP($D$6, Industry_Sector_Criteria_Weighting[],2,FALSE)+VLOOKUP($E41, Rating_Scores[],2,FALSE)*VLOOKUP($E$6, Industry_Sector_Criteria_Weighting[],2,FALSE)+VLOOKUP($F41, Rating_Scores[],2,FALSE)*VLOOKUP($F$6, Industry_Sector_Criteria_Weighting[],2,FALSE)+VLOOKUP($G41, Rating_Scores[],2,FALSE)*VLOOKUP($G$6, Industry_Sector_Criteria_Weighting[],2,FALSE)+VLOOKUP($H41, Rating_Scores[],2,FALSE)*VLOOKUP($H$6, Industry_Sector_Criteria_Weighting[],2,FALSE)+VLOOKUP($I41, Rating_Scores[],2,FALSE)*VLOOKUP($I$6, Industry_Sector_Criteria_Weighting[],2,FALSE)+VLOOKUP($J41, Rating_Scores[],2,FALSE)*VLOOKUP($J$6, Industry_Sector_Criteria_Weighting[],2,FALSE)+VLOOKUP($K41, Rating_Scores[],2,FALSE)*VLOOKUP($K$6, Industry_Sector_Criteria_Weighting[],2,FALSE)+VLOOKUP($L41, Rating_Scores[],2,FALSE)*VLOOKUP($L$6, Industry_Sector_Criteria_Weighting[],2,FALSE)+VLOOKUP($M41, Rating_Scores[],2,FALSE)*VLOOKUP($M$6, Industry_Sector_Criteria_Weighting[],2,FALSE)+VLOOKUP($N41, Rating_Scores[],2,FALSE)*VLOOKUP($N$6, Industry_Sector_Criteria_Weighting[],2,FALSE)+VLOOKUP($O41, Rating_Scores[],2,FALSE)*VLOOKUP($O$6, Industry_Sector_Criteria_Weighting[],2,FALSE)+VLOOKUP($P41, Rating_Scores[],2,FALSE)*VLOOKUP($P$6, Industry_Sector_Criteria_Weighting[],2,FALSE)+VLOOKUP($Q41, Rating_Scores[],2,FALSE)*VLOOKUP($Q$6, Industry_Sector_Criteria_Weighting[],2,FALSE)+VLOOKUP($R41, Rating_Scores[],2,FALSE)*VLOOKUP($R$6, Industry_Sector_Criteria_Weighting[],2,FALSE)+VLOOKUP($S41, Rating_Scores[],2,FALSE)*VLOOKUP($S$6, Industry_Sector_Criteria_Weighting[],2,FALSE)+VLOOKUP($T41, Rating_Scores[],2,FALSE)*VLOOKUP($T$6, Industry_Sector_Criteria_Weighting[],2,FALSE)</f>
        <v>42.899999999999991</v>
      </c>
    </row>
    <row r="42" spans="2:21">
      <c r="B42" s="10" t="s">
        <v>291</v>
      </c>
      <c r="C42" s="10" t="s">
        <v>107</v>
      </c>
      <c r="D42" s="10" t="s">
        <v>260</v>
      </c>
      <c r="E42" s="10" t="s">
        <v>195</v>
      </c>
      <c r="F42" s="10" t="s">
        <v>107</v>
      </c>
      <c r="G42" s="10" t="s">
        <v>107</v>
      </c>
      <c r="H42" s="10" t="s">
        <v>195</v>
      </c>
      <c r="I42" s="10" t="s">
        <v>195</v>
      </c>
      <c r="J42" s="10" t="s">
        <v>260</v>
      </c>
      <c r="K42" s="10" t="s">
        <v>260</v>
      </c>
      <c r="L42" s="10" t="s">
        <v>195</v>
      </c>
      <c r="M42" s="10" t="s">
        <v>107</v>
      </c>
      <c r="N42" s="10" t="s">
        <v>195</v>
      </c>
      <c r="O42" s="10" t="s">
        <v>259</v>
      </c>
      <c r="P42" s="10" t="s">
        <v>259</v>
      </c>
      <c r="Q42" s="10" t="s">
        <v>259</v>
      </c>
      <c r="R42" s="10" t="s">
        <v>195</v>
      </c>
      <c r="S42" s="10" t="s">
        <v>107</v>
      </c>
      <c r="T42" s="10" t="s">
        <v>195</v>
      </c>
      <c r="U42" s="9">
        <f>VLOOKUP($C42, Rating_Scores[],2,FALSE)*VLOOKUP($C$6, Industry_Sector_Criteria_Weighting[],2,FALSE)+VLOOKUP($D42, Rating_Scores[],2,FALSE)*VLOOKUP($D$6, Industry_Sector_Criteria_Weighting[],2,FALSE)+VLOOKUP($E42, Rating_Scores[],2,FALSE)*VLOOKUP($E$6, Industry_Sector_Criteria_Weighting[],2,FALSE)+VLOOKUP($F42, Rating_Scores[],2,FALSE)*VLOOKUP($F$6, Industry_Sector_Criteria_Weighting[],2,FALSE)+VLOOKUP($G42, Rating_Scores[],2,FALSE)*VLOOKUP($G$6, Industry_Sector_Criteria_Weighting[],2,FALSE)+VLOOKUP($H42, Rating_Scores[],2,FALSE)*VLOOKUP($H$6, Industry_Sector_Criteria_Weighting[],2,FALSE)+VLOOKUP($I42, Rating_Scores[],2,FALSE)*VLOOKUP($I$6, Industry_Sector_Criteria_Weighting[],2,FALSE)+VLOOKUP($J42, Rating_Scores[],2,FALSE)*VLOOKUP($J$6, Industry_Sector_Criteria_Weighting[],2,FALSE)+VLOOKUP($K42, Rating_Scores[],2,FALSE)*VLOOKUP($K$6, Industry_Sector_Criteria_Weighting[],2,FALSE)+VLOOKUP($L42, Rating_Scores[],2,FALSE)*VLOOKUP($L$6, Industry_Sector_Criteria_Weighting[],2,FALSE)+VLOOKUP($M42, Rating_Scores[],2,FALSE)*VLOOKUP($M$6, Industry_Sector_Criteria_Weighting[],2,FALSE)+VLOOKUP($N42, Rating_Scores[],2,FALSE)*VLOOKUP($N$6, Industry_Sector_Criteria_Weighting[],2,FALSE)+VLOOKUP($O42, Rating_Scores[],2,FALSE)*VLOOKUP($O$6, Industry_Sector_Criteria_Weighting[],2,FALSE)+VLOOKUP($P42, Rating_Scores[],2,FALSE)*VLOOKUP($P$6, Industry_Sector_Criteria_Weighting[],2,FALSE)+VLOOKUP($Q42, Rating_Scores[],2,FALSE)*VLOOKUP($Q$6, Industry_Sector_Criteria_Weighting[],2,FALSE)+VLOOKUP($R42, Rating_Scores[],2,FALSE)*VLOOKUP($R$6, Industry_Sector_Criteria_Weighting[],2,FALSE)+VLOOKUP($S42, Rating_Scores[],2,FALSE)*VLOOKUP($S$6, Industry_Sector_Criteria_Weighting[],2,FALSE)+VLOOKUP($T42, Rating_Scores[],2,FALSE)*VLOOKUP($T$6, Industry_Sector_Criteria_Weighting[],2,FALSE)</f>
        <v>45.1</v>
      </c>
    </row>
    <row r="43" spans="2:21">
      <c r="B43" s="10" t="s">
        <v>292</v>
      </c>
      <c r="C43" s="10" t="s">
        <v>260</v>
      </c>
      <c r="D43" s="10" t="s">
        <v>260</v>
      </c>
      <c r="E43" s="10" t="s">
        <v>260</v>
      </c>
      <c r="F43" s="10" t="s">
        <v>107</v>
      </c>
      <c r="G43" s="10" t="s">
        <v>259</v>
      </c>
      <c r="H43" s="10" t="s">
        <v>259</v>
      </c>
      <c r="I43" s="10" t="s">
        <v>259</v>
      </c>
      <c r="J43" s="10" t="s">
        <v>195</v>
      </c>
      <c r="K43" s="10" t="s">
        <v>259</v>
      </c>
      <c r="L43" s="10" t="s">
        <v>259</v>
      </c>
      <c r="M43" s="10" t="s">
        <v>195</v>
      </c>
      <c r="N43" s="10" t="s">
        <v>259</v>
      </c>
      <c r="O43" s="10" t="s">
        <v>107</v>
      </c>
      <c r="P43" s="10" t="s">
        <v>259</v>
      </c>
      <c r="Q43" s="10" t="s">
        <v>259</v>
      </c>
      <c r="R43" s="10" t="s">
        <v>260</v>
      </c>
      <c r="S43" s="10" t="s">
        <v>260</v>
      </c>
      <c r="T43" s="10" t="s">
        <v>107</v>
      </c>
      <c r="U43" s="9">
        <f>VLOOKUP($C43, Rating_Scores[],2,FALSE)*VLOOKUP($C$6, Industry_Sector_Criteria_Weighting[],2,FALSE)+VLOOKUP($D43, Rating_Scores[],2,FALSE)*VLOOKUP($D$6, Industry_Sector_Criteria_Weighting[],2,FALSE)+VLOOKUP($E43, Rating_Scores[],2,FALSE)*VLOOKUP($E$6, Industry_Sector_Criteria_Weighting[],2,FALSE)+VLOOKUP($F43, Rating_Scores[],2,FALSE)*VLOOKUP($F$6, Industry_Sector_Criteria_Weighting[],2,FALSE)+VLOOKUP($G43, Rating_Scores[],2,FALSE)*VLOOKUP($G$6, Industry_Sector_Criteria_Weighting[],2,FALSE)+VLOOKUP($H43, Rating_Scores[],2,FALSE)*VLOOKUP($H$6, Industry_Sector_Criteria_Weighting[],2,FALSE)+VLOOKUP($I43, Rating_Scores[],2,FALSE)*VLOOKUP($I$6, Industry_Sector_Criteria_Weighting[],2,FALSE)+VLOOKUP($J43, Rating_Scores[],2,FALSE)*VLOOKUP($J$6, Industry_Sector_Criteria_Weighting[],2,FALSE)+VLOOKUP($K43, Rating_Scores[],2,FALSE)*VLOOKUP($K$6, Industry_Sector_Criteria_Weighting[],2,FALSE)+VLOOKUP($L43, Rating_Scores[],2,FALSE)*VLOOKUP($L$6, Industry_Sector_Criteria_Weighting[],2,FALSE)+VLOOKUP($M43, Rating_Scores[],2,FALSE)*VLOOKUP($M$6, Industry_Sector_Criteria_Weighting[],2,FALSE)+VLOOKUP($N43, Rating_Scores[],2,FALSE)*VLOOKUP($N$6, Industry_Sector_Criteria_Weighting[],2,FALSE)+VLOOKUP($O43, Rating_Scores[],2,FALSE)*VLOOKUP($O$6, Industry_Sector_Criteria_Weighting[],2,FALSE)+VLOOKUP($P43, Rating_Scores[],2,FALSE)*VLOOKUP($P$6, Industry_Sector_Criteria_Weighting[],2,FALSE)+VLOOKUP($Q43, Rating_Scores[],2,FALSE)*VLOOKUP($Q$6, Industry_Sector_Criteria_Weighting[],2,FALSE)+VLOOKUP($R43, Rating_Scores[],2,FALSE)*VLOOKUP($R$6, Industry_Sector_Criteria_Weighting[],2,FALSE)+VLOOKUP($S43, Rating_Scores[],2,FALSE)*VLOOKUP($S$6, Industry_Sector_Criteria_Weighting[],2,FALSE)+VLOOKUP($T43, Rating_Scores[],2,FALSE)*VLOOKUP($T$6, Industry_Sector_Criteria_Weighting[],2,FALSE)</f>
        <v>45.6</v>
      </c>
    </row>
    <row r="44" spans="2:21">
      <c r="B44" s="10" t="s">
        <v>293</v>
      </c>
      <c r="C44" s="10" t="s">
        <v>107</v>
      </c>
      <c r="D44" s="10" t="s">
        <v>195</v>
      </c>
      <c r="E44" s="10" t="s">
        <v>195</v>
      </c>
      <c r="F44" s="10" t="s">
        <v>195</v>
      </c>
      <c r="G44" s="10" t="s">
        <v>195</v>
      </c>
      <c r="H44" s="10" t="s">
        <v>195</v>
      </c>
      <c r="I44" s="10" t="s">
        <v>195</v>
      </c>
      <c r="J44" s="10" t="s">
        <v>195</v>
      </c>
      <c r="K44" s="10" t="s">
        <v>107</v>
      </c>
      <c r="L44" s="10" t="s">
        <v>195</v>
      </c>
      <c r="M44" s="10" t="s">
        <v>259</v>
      </c>
      <c r="N44" s="10" t="s">
        <v>107</v>
      </c>
      <c r="O44" s="10" t="s">
        <v>259</v>
      </c>
      <c r="P44" s="10" t="s">
        <v>259</v>
      </c>
      <c r="Q44" s="10" t="s">
        <v>259</v>
      </c>
      <c r="R44" s="10" t="s">
        <v>195</v>
      </c>
      <c r="S44" s="10" t="s">
        <v>260</v>
      </c>
      <c r="T44" s="10" t="s">
        <v>260</v>
      </c>
      <c r="U44" s="9">
        <f>VLOOKUP($C44, Rating_Scores[],2,FALSE)*VLOOKUP($C$6, Industry_Sector_Criteria_Weighting[],2,FALSE)+VLOOKUP($D44, Rating_Scores[],2,FALSE)*VLOOKUP($D$6, Industry_Sector_Criteria_Weighting[],2,FALSE)+VLOOKUP($E44, Rating_Scores[],2,FALSE)*VLOOKUP($E$6, Industry_Sector_Criteria_Weighting[],2,FALSE)+VLOOKUP($F44, Rating_Scores[],2,FALSE)*VLOOKUP($F$6, Industry_Sector_Criteria_Weighting[],2,FALSE)+VLOOKUP($G44, Rating_Scores[],2,FALSE)*VLOOKUP($G$6, Industry_Sector_Criteria_Weighting[],2,FALSE)+VLOOKUP($H44, Rating_Scores[],2,FALSE)*VLOOKUP($H$6, Industry_Sector_Criteria_Weighting[],2,FALSE)+VLOOKUP($I44, Rating_Scores[],2,FALSE)*VLOOKUP($I$6, Industry_Sector_Criteria_Weighting[],2,FALSE)+VLOOKUP($J44, Rating_Scores[],2,FALSE)*VLOOKUP($J$6, Industry_Sector_Criteria_Weighting[],2,FALSE)+VLOOKUP($K44, Rating_Scores[],2,FALSE)*VLOOKUP($K$6, Industry_Sector_Criteria_Weighting[],2,FALSE)+VLOOKUP($L44, Rating_Scores[],2,FALSE)*VLOOKUP($L$6, Industry_Sector_Criteria_Weighting[],2,FALSE)+VLOOKUP($M44, Rating_Scores[],2,FALSE)*VLOOKUP($M$6, Industry_Sector_Criteria_Weighting[],2,FALSE)+VLOOKUP($N44, Rating_Scores[],2,FALSE)*VLOOKUP($N$6, Industry_Sector_Criteria_Weighting[],2,FALSE)+VLOOKUP($O44, Rating_Scores[],2,FALSE)*VLOOKUP($O$6, Industry_Sector_Criteria_Weighting[],2,FALSE)+VLOOKUP($P44, Rating_Scores[],2,FALSE)*VLOOKUP($P$6, Industry_Sector_Criteria_Weighting[],2,FALSE)+VLOOKUP($Q44, Rating_Scores[],2,FALSE)*VLOOKUP($Q$6, Industry_Sector_Criteria_Weighting[],2,FALSE)+VLOOKUP($R44, Rating_Scores[],2,FALSE)*VLOOKUP($R$6, Industry_Sector_Criteria_Weighting[],2,FALSE)+VLOOKUP($S44, Rating_Scores[],2,FALSE)*VLOOKUP($S$6, Industry_Sector_Criteria_Weighting[],2,FALSE)+VLOOKUP($T44, Rating_Scores[],2,FALSE)*VLOOKUP($T$6, Industry_Sector_Criteria_Weighting[],2,FALSE)</f>
        <v>48.899999999999991</v>
      </c>
    </row>
    <row r="45" spans="2:21">
      <c r="B45" s="10" t="s">
        <v>294</v>
      </c>
      <c r="C45" s="10" t="s">
        <v>260</v>
      </c>
      <c r="D45" s="10" t="s">
        <v>261</v>
      </c>
      <c r="E45" s="10" t="s">
        <v>107</v>
      </c>
      <c r="F45" s="10" t="s">
        <v>260</v>
      </c>
      <c r="G45" s="10" t="s">
        <v>107</v>
      </c>
      <c r="H45" s="10" t="s">
        <v>195</v>
      </c>
      <c r="I45" s="10" t="s">
        <v>261</v>
      </c>
      <c r="J45" s="10" t="s">
        <v>195</v>
      </c>
      <c r="K45" s="10" t="s">
        <v>259</v>
      </c>
      <c r="L45" s="10" t="s">
        <v>259</v>
      </c>
      <c r="M45" s="10" t="s">
        <v>107</v>
      </c>
      <c r="N45" s="10" t="s">
        <v>107</v>
      </c>
      <c r="O45" s="10" t="s">
        <v>260</v>
      </c>
      <c r="P45" s="10" t="s">
        <v>195</v>
      </c>
      <c r="Q45" s="10" t="s">
        <v>107</v>
      </c>
      <c r="R45" s="10" t="s">
        <v>259</v>
      </c>
      <c r="S45" s="10" t="s">
        <v>259</v>
      </c>
      <c r="T45" s="10" t="s">
        <v>195</v>
      </c>
      <c r="U45" s="9">
        <f>VLOOKUP($C45, Rating_Scores[],2,FALSE)*VLOOKUP($C$6, Industry_Sector_Criteria_Weighting[],2,FALSE)+VLOOKUP($D45, Rating_Scores[],2,FALSE)*VLOOKUP($D$6, Industry_Sector_Criteria_Weighting[],2,FALSE)+VLOOKUP($E45, Rating_Scores[],2,FALSE)*VLOOKUP($E$6, Industry_Sector_Criteria_Weighting[],2,FALSE)+VLOOKUP($F45, Rating_Scores[],2,FALSE)*VLOOKUP($F$6, Industry_Sector_Criteria_Weighting[],2,FALSE)+VLOOKUP($G45, Rating_Scores[],2,FALSE)*VLOOKUP($G$6, Industry_Sector_Criteria_Weighting[],2,FALSE)+VLOOKUP($H45, Rating_Scores[],2,FALSE)*VLOOKUP($H$6, Industry_Sector_Criteria_Weighting[],2,FALSE)+VLOOKUP($I45, Rating_Scores[],2,FALSE)*VLOOKUP($I$6, Industry_Sector_Criteria_Weighting[],2,FALSE)+VLOOKUP($J45, Rating_Scores[],2,FALSE)*VLOOKUP($J$6, Industry_Sector_Criteria_Weighting[],2,FALSE)+VLOOKUP($K45, Rating_Scores[],2,FALSE)*VLOOKUP($K$6, Industry_Sector_Criteria_Weighting[],2,FALSE)+VLOOKUP($L45, Rating_Scores[],2,FALSE)*VLOOKUP($L$6, Industry_Sector_Criteria_Weighting[],2,FALSE)+VLOOKUP($M45, Rating_Scores[],2,FALSE)*VLOOKUP($M$6, Industry_Sector_Criteria_Weighting[],2,FALSE)+VLOOKUP($N45, Rating_Scores[],2,FALSE)*VLOOKUP($N$6, Industry_Sector_Criteria_Weighting[],2,FALSE)+VLOOKUP($O45, Rating_Scores[],2,FALSE)*VLOOKUP($O$6, Industry_Sector_Criteria_Weighting[],2,FALSE)+VLOOKUP($P45, Rating_Scores[],2,FALSE)*VLOOKUP($P$6, Industry_Sector_Criteria_Weighting[],2,FALSE)+VLOOKUP($Q45, Rating_Scores[],2,FALSE)*VLOOKUP($Q$6, Industry_Sector_Criteria_Weighting[],2,FALSE)+VLOOKUP($R45, Rating_Scores[],2,FALSE)*VLOOKUP($R$6, Industry_Sector_Criteria_Weighting[],2,FALSE)+VLOOKUP($S45, Rating_Scores[],2,FALSE)*VLOOKUP($S$6, Industry_Sector_Criteria_Weighting[],2,FALSE)+VLOOKUP($T45, Rating_Scores[],2,FALSE)*VLOOKUP($T$6, Industry_Sector_Criteria_Weighting[],2,FALSE)</f>
        <v>41.699999999999996</v>
      </c>
    </row>
    <row r="46" spans="2:21">
      <c r="B46" s="17" t="s">
        <v>295</v>
      </c>
      <c r="C46" s="17" t="s">
        <v>260</v>
      </c>
      <c r="D46" s="17" t="s">
        <v>260</v>
      </c>
      <c r="E46" s="17" t="s">
        <v>260</v>
      </c>
      <c r="F46" s="17" t="s">
        <v>195</v>
      </c>
      <c r="G46" s="17" t="s">
        <v>259</v>
      </c>
      <c r="H46" s="17" t="s">
        <v>259</v>
      </c>
      <c r="I46" s="17" t="s">
        <v>259</v>
      </c>
      <c r="J46" s="17" t="s">
        <v>260</v>
      </c>
      <c r="K46" s="17" t="s">
        <v>259</v>
      </c>
      <c r="L46" s="17" t="s">
        <v>107</v>
      </c>
      <c r="M46" s="17" t="s">
        <v>195</v>
      </c>
      <c r="N46" s="17" t="s">
        <v>260</v>
      </c>
      <c r="O46" s="17" t="s">
        <v>260</v>
      </c>
      <c r="P46" s="17" t="s">
        <v>260</v>
      </c>
      <c r="Q46" s="17" t="s">
        <v>260</v>
      </c>
      <c r="R46" s="17" t="s">
        <v>259</v>
      </c>
      <c r="S46" s="17" t="s">
        <v>260</v>
      </c>
      <c r="T46" s="17" t="s">
        <v>107</v>
      </c>
      <c r="U46" s="140">
        <f>VLOOKUP($C46, Rating_Scores[],2,FALSE)*VLOOKUP($C$6, Industry_Sector_Criteria_Weighting[],2,FALSE)+VLOOKUP($D46, Rating_Scores[],2,FALSE)*VLOOKUP($D$6, Industry_Sector_Criteria_Weighting[],2,FALSE)+VLOOKUP($E46, Rating_Scores[],2,FALSE)*VLOOKUP($E$6, Industry_Sector_Criteria_Weighting[],2,FALSE)+VLOOKUP($F46, Rating_Scores[],2,FALSE)*VLOOKUP($F$6, Industry_Sector_Criteria_Weighting[],2,FALSE)+VLOOKUP($G46, Rating_Scores[],2,FALSE)*VLOOKUP($G$6, Industry_Sector_Criteria_Weighting[],2,FALSE)+VLOOKUP($H46, Rating_Scores[],2,FALSE)*VLOOKUP($H$6, Industry_Sector_Criteria_Weighting[],2,FALSE)+VLOOKUP($I46, Rating_Scores[],2,FALSE)*VLOOKUP($I$6, Industry_Sector_Criteria_Weighting[],2,FALSE)+VLOOKUP($J46, Rating_Scores[],2,FALSE)*VLOOKUP($J$6, Industry_Sector_Criteria_Weighting[],2,FALSE)+VLOOKUP($K46, Rating_Scores[],2,FALSE)*VLOOKUP($K$6, Industry_Sector_Criteria_Weighting[],2,FALSE)+VLOOKUP($L46, Rating_Scores[],2,FALSE)*VLOOKUP($L$6, Industry_Sector_Criteria_Weighting[],2,FALSE)+VLOOKUP($M46, Rating_Scores[],2,FALSE)*VLOOKUP($M$6, Industry_Sector_Criteria_Weighting[],2,FALSE)+VLOOKUP($N46, Rating_Scores[],2,FALSE)*VLOOKUP($N$6, Industry_Sector_Criteria_Weighting[],2,FALSE)+VLOOKUP($O46, Rating_Scores[],2,FALSE)*VLOOKUP($O$6, Industry_Sector_Criteria_Weighting[],2,FALSE)+VLOOKUP($P46, Rating_Scores[],2,FALSE)*VLOOKUP($P$6, Industry_Sector_Criteria_Weighting[],2,FALSE)+VLOOKUP($Q46, Rating_Scores[],2,FALSE)*VLOOKUP($Q$6, Industry_Sector_Criteria_Weighting[],2,FALSE)+VLOOKUP($R46, Rating_Scores[],2,FALSE)*VLOOKUP($R$6, Industry_Sector_Criteria_Weighting[],2,FALSE)+VLOOKUP($S46, Rating_Scores[],2,FALSE)*VLOOKUP($S$6, Industry_Sector_Criteria_Weighting[],2,FALSE)+VLOOKUP($T46, Rating_Scores[],2,FALSE)*VLOOKUP($T$6, Industry_Sector_Criteria_Weighting[],2,FALSE)</f>
        <v>39.099999999999994</v>
      </c>
    </row>
  </sheetData>
  <sheetProtection algorithmName="SHA-512" hashValue="BDYIP0FPnNdgAPMy/jw9dlFVbd/zhL+CKYNWhHVD0huJcSouIMZjAJiCx9WtpNM7WWUcTj2RrRgDf8Cc383Uig==" saltValue="TFl8cQbkwPGiw5vE3aPx/Q==" spinCount="100000" sheet="1" selectLockedCells="1" sort="0" autoFilter="0" pivotTables="0"/>
  <mergeCells count="5">
    <mergeCell ref="C5:F5"/>
    <mergeCell ref="H5:K5"/>
    <mergeCell ref="L5:O5"/>
    <mergeCell ref="P5:S5"/>
    <mergeCell ref="C3:H3"/>
  </mergeCells>
  <dataValidations count="1">
    <dataValidation type="list" allowBlank="1" showInputMessage="1" showErrorMessage="1" sqref="C7:T46">
      <formula1>INDIRECT("Rating_Scores[Rating]")</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83"/>
  <sheetViews>
    <sheetView showGridLines="0" zoomScale="85" zoomScaleNormal="85" workbookViewId="0">
      <selection activeCell="C3" sqref="C3:R3"/>
    </sheetView>
  </sheetViews>
  <sheetFormatPr defaultColWidth="8.85546875" defaultRowHeight="15"/>
  <cols>
    <col min="2" max="2" width="3.42578125" customWidth="1"/>
    <col min="3" max="3" width="18.85546875" customWidth="1"/>
    <col min="4" max="7" width="10.5703125" customWidth="1"/>
    <col min="8" max="19" width="8.5703125" customWidth="1"/>
  </cols>
  <sheetData>
    <row r="1" spans="2:19" s="19" customFormat="1" ht="83.1" customHeight="1">
      <c r="H1" s="143" t="s">
        <v>296</v>
      </c>
    </row>
    <row r="2" spans="2:19" ht="15.75" thickBot="1"/>
    <row r="3" spans="2:19" ht="50.1" customHeight="1" thickBot="1">
      <c r="B3" s="20" t="s">
        <v>234</v>
      </c>
      <c r="C3" s="594"/>
      <c r="D3" s="595"/>
      <c r="E3" s="595"/>
      <c r="F3" s="595"/>
      <c r="G3" s="595"/>
      <c r="H3" s="595"/>
      <c r="I3" s="595"/>
      <c r="J3" s="595"/>
      <c r="K3" s="595"/>
      <c r="L3" s="595"/>
      <c r="M3" s="595"/>
      <c r="N3" s="595"/>
      <c r="O3" s="595"/>
      <c r="P3" s="595"/>
      <c r="Q3" s="595"/>
      <c r="R3" s="596"/>
    </row>
    <row r="4" spans="2:19">
      <c r="B4" s="20"/>
      <c r="C4" s="62"/>
      <c r="D4" s="62"/>
      <c r="E4" s="62"/>
      <c r="F4" s="62"/>
      <c r="G4" s="62"/>
      <c r="H4" s="62"/>
      <c r="I4" s="62"/>
      <c r="J4" s="62"/>
      <c r="K4" s="62"/>
      <c r="L4" s="62"/>
      <c r="M4" s="62"/>
      <c r="N4" s="62"/>
      <c r="O4" s="62"/>
      <c r="P4" s="62"/>
      <c r="R4" s="62"/>
    </row>
    <row r="5" spans="2:19" ht="21">
      <c r="D5" s="607" t="s">
        <v>297</v>
      </c>
      <c r="E5" s="607"/>
      <c r="F5" s="607"/>
      <c r="G5" s="607"/>
      <c r="H5" s="607"/>
      <c r="I5" s="607"/>
      <c r="J5" s="607"/>
      <c r="K5" s="607"/>
      <c r="L5" s="607"/>
      <c r="M5" s="607"/>
      <c r="N5" s="607"/>
      <c r="O5" s="607"/>
    </row>
    <row r="6" spans="2:19" ht="31.5" customHeight="1">
      <c r="D6" s="610" t="s">
        <v>298</v>
      </c>
      <c r="E6" s="611"/>
      <c r="F6" s="611"/>
      <c r="G6" s="611"/>
      <c r="H6" s="608" t="s">
        <v>299</v>
      </c>
      <c r="I6" s="608"/>
      <c r="J6" s="609" t="s">
        <v>28</v>
      </c>
      <c r="K6" s="609"/>
      <c r="L6" s="608" t="s">
        <v>300</v>
      </c>
      <c r="M6" s="608"/>
      <c r="N6" s="609" t="s">
        <v>301</v>
      </c>
      <c r="O6" s="609"/>
      <c r="P6" s="597" t="s">
        <v>455</v>
      </c>
      <c r="Q6" s="597"/>
      <c r="R6" s="609" t="s">
        <v>362</v>
      </c>
      <c r="S6" s="609"/>
    </row>
    <row r="7" spans="2:19" ht="15.75" thickBot="1">
      <c r="D7" s="144" t="s">
        <v>302</v>
      </c>
      <c r="E7" s="145" t="s">
        <v>303</v>
      </c>
      <c r="F7" s="146" t="s">
        <v>257</v>
      </c>
      <c r="G7" s="16" t="s">
        <v>304</v>
      </c>
      <c r="H7" s="147" t="s">
        <v>302</v>
      </c>
      <c r="I7" s="148" t="s">
        <v>303</v>
      </c>
      <c r="J7" s="147" t="s">
        <v>302</v>
      </c>
      <c r="K7" s="148" t="s">
        <v>303</v>
      </c>
      <c r="L7" s="148" t="s">
        <v>302</v>
      </c>
      <c r="M7" s="148" t="s">
        <v>303</v>
      </c>
      <c r="N7" s="148" t="s">
        <v>302</v>
      </c>
      <c r="O7" s="148" t="s">
        <v>303</v>
      </c>
      <c r="P7" s="147" t="s">
        <v>302</v>
      </c>
      <c r="Q7" s="148" t="s">
        <v>303</v>
      </c>
      <c r="R7" s="147" t="s">
        <v>302</v>
      </c>
      <c r="S7" s="148" t="s">
        <v>303</v>
      </c>
    </row>
    <row r="8" spans="2:19" ht="14.85" customHeight="1">
      <c r="B8" s="606" t="s">
        <v>305</v>
      </c>
      <c r="C8" s="599" t="str">
        <f>'Model Data'!B84</f>
        <v>Operational Cash/ Interest (ratio)</v>
      </c>
      <c r="D8" s="2">
        <f>IF('Credit Rating (Existing)'!$C$27="Generic", H8,
 IF('Credit Rating (Existing)'!$C$27="Manufacturing", J8,
  IF('Credit Rating (Existing)'!$C$27="Retail-Wholesale", L8,
   IF('Credit Rating (Existing)'!$C$27="Services", N8,
    IF('Credit Rating (Existing)'!$C$27="Import/ Assembly/ Distribution", P8,
     IF('Credit Rating (Existing)'!$C$27="Oil &amp; Gas", R8,
      IF('Credit Rating (Start-up)'!$D$25="Generic", H8,
       IF('Credit Rating (Start-up)'!$D$25="Manufacturing", J8,
        IF('Credit Rating (Start-up)'!$D$25="Retail-Wholesale", L8,
         IF('Credit Rating (Start-up)'!$D$25="Services", N8,
          IF('Credit Rating (Start-up)'!$D$25="Import/ Assembly/ Distribution", P8,
           IF('Credit Rating (Start-up)'!$D$25="Oil &amp; Gas", R8,
            "N/A"))))))))))))</f>
        <v>10</v>
      </c>
      <c r="E8" s="2" t="str">
        <f>IF('Credit Rating (Existing)'!$C$27="Generic", I8,
 IF('Credit Rating (Existing)'!$C$27="Manufacturing", K8,
  IF('Credit Rating (Existing)'!$C$27="Retail-Wholesale", M8,
   IF('Credit Rating (Existing)'!$C$27="Services", O8,
    IF('Credit Rating (Existing)'!$C$27="Import/ Assembly/ Distribution", Q8,
     IF('Credit Rating (Existing)'!$C$27="Oil &amp; Gas", S8,
      IF('Credit Rating (Start-up)'!$D$25="Generic", I8,
       IF('Credit Rating (Start-up)'!$D$25="Manufacturing", K8,
        IF('Credit Rating (Start-up)'!$D$25="Retail-Wholesale", M8,
         IF('Credit Rating (Start-up)'!$D$25="Services", O8,
          IF('Credit Rating (Start-up)'!$D$25="Import/ Assembly/ Distribution", Q8,
           IF('Credit Rating (Start-up)'!$D$25="Oil &amp; Gas", S8,
            "N/A"))))))))))))</f>
        <v>∞</v>
      </c>
      <c r="F8" s="149">
        <v>5</v>
      </c>
      <c r="G8" s="149">
        <v>5</v>
      </c>
      <c r="H8" s="150"/>
      <c r="I8" s="151"/>
      <c r="J8" s="152">
        <v>10</v>
      </c>
      <c r="K8" s="153" t="s">
        <v>306</v>
      </c>
      <c r="L8" s="152">
        <v>10</v>
      </c>
      <c r="M8" s="153" t="s">
        <v>306</v>
      </c>
      <c r="N8" s="152">
        <v>10</v>
      </c>
      <c r="O8" s="153" t="s">
        <v>306</v>
      </c>
      <c r="P8" s="152">
        <v>10</v>
      </c>
      <c r="Q8" s="153" t="s">
        <v>306</v>
      </c>
      <c r="R8" s="152">
        <v>10</v>
      </c>
      <c r="S8" s="153" t="s">
        <v>306</v>
      </c>
    </row>
    <row r="9" spans="2:19">
      <c r="B9" s="606"/>
      <c r="C9" s="600"/>
      <c r="D9" s="3">
        <f>IF('Credit Rating (Existing)'!$C$27="Generic", H9,
 IF('Credit Rating (Existing)'!$C$27="Manufacturing", J9,
  IF('Credit Rating (Existing)'!$C$27="Retail-Wholesale", L9,
   IF('Credit Rating (Existing)'!$C$27="Services", N9,
    IF('Credit Rating (Existing)'!$C$27="Import/ Assembly/ Distribution", P9,
     IF('Credit Rating (Existing)'!$C$27="Oil &amp; Gas", R9,
      IF('Credit Rating (Start-up)'!$D$25="Generic", H9,
       IF('Credit Rating (Start-up)'!$D$25="Manufacturing", J9,
        IF('Credit Rating (Start-up)'!$D$25="Retail-Wholesale", L9,
         IF('Credit Rating (Start-up)'!$D$25="Services", N9,
          IF('Credit Rating (Start-up)'!$D$25="Import/ Assembly/ Distribution", P9,
           IF('Credit Rating (Start-up)'!$D$25="Oil &amp; Gas", R9,
            "N/A"))))))))))))</f>
        <v>7.5</v>
      </c>
      <c r="E9" s="3">
        <f>IF('Credit Rating (Existing)'!$C$27="Generic", I9,
 IF('Credit Rating (Existing)'!$C$27="Manufacturing", K9,
  IF('Credit Rating (Existing)'!$C$27="Retail-Wholesale", M9,
   IF('Credit Rating (Existing)'!$C$27="Services", O9,
    IF('Credit Rating (Existing)'!$C$27="Import/ Assembly/ Distribution", Q9,
     IF('Credit Rating (Existing)'!$C$27="Oil &amp; Gas", S9,
      IF('Credit Rating (Start-up)'!$D$25="Generic", I9,
       IF('Credit Rating (Start-up)'!$D$25="Manufacturing", K9,
        IF('Credit Rating (Start-up)'!$D$25="Retail-Wholesale", M9,
         IF('Credit Rating (Start-up)'!$D$25="Services", O9,
          IF('Credit Rating (Start-up)'!$D$25="Import/ Assembly/ Distribution", Q9,
           IF('Credit Rating (Start-up)'!$D$25="Oil &amp; Gas", S9,
            "N/A"))))))))))))</f>
        <v>10</v>
      </c>
      <c r="F9" s="154">
        <v>4</v>
      </c>
      <c r="G9" s="154">
        <v>4</v>
      </c>
      <c r="H9" s="155"/>
      <c r="I9" s="156"/>
      <c r="J9" s="157">
        <v>7.5</v>
      </c>
      <c r="K9" s="158">
        <v>10</v>
      </c>
      <c r="L9" s="157">
        <v>7.5</v>
      </c>
      <c r="M9" s="158">
        <v>10</v>
      </c>
      <c r="N9" s="157">
        <v>7.5</v>
      </c>
      <c r="O9" s="158">
        <v>10</v>
      </c>
      <c r="P9" s="157">
        <v>7.5</v>
      </c>
      <c r="Q9" s="158">
        <v>10</v>
      </c>
      <c r="R9" s="157">
        <v>7.5</v>
      </c>
      <c r="S9" s="158">
        <v>10</v>
      </c>
    </row>
    <row r="10" spans="2:19">
      <c r="B10" s="606"/>
      <c r="C10" s="600"/>
      <c r="D10" s="3">
        <f>IF('Credit Rating (Existing)'!$C$27="Generic", H10,
 IF('Credit Rating (Existing)'!$C$27="Manufacturing", J10,
  IF('Credit Rating (Existing)'!$C$27="Retail-Wholesale", L10,
   IF('Credit Rating (Existing)'!$C$27="Services", N10,
    IF('Credit Rating (Existing)'!$C$27="Import/ Assembly/ Distribution", P10,
     IF('Credit Rating (Existing)'!$C$27="Oil &amp; Gas", R10,
      IF('Credit Rating (Start-up)'!$D$25="Generic", H10,
       IF('Credit Rating (Start-up)'!$D$25="Manufacturing", J10,
        IF('Credit Rating (Start-up)'!$D$25="Retail-Wholesale", L10,
         IF('Credit Rating (Start-up)'!$D$25="Services", N10,
          IF('Credit Rating (Start-up)'!$D$25="Import/ Assembly/ Distribution", P10,
           IF('Credit Rating (Start-up)'!$D$25="Oil &amp; Gas", R10,
            "N/A"))))))))))))</f>
        <v>5</v>
      </c>
      <c r="E10" s="3">
        <f>IF('Credit Rating (Existing)'!$C$27="Generic", I10,
 IF('Credit Rating (Existing)'!$C$27="Manufacturing", K10,
  IF('Credit Rating (Existing)'!$C$27="Retail-Wholesale", M10,
   IF('Credit Rating (Existing)'!$C$27="Services", O10,
    IF('Credit Rating (Existing)'!$C$27="Import/ Assembly/ Distribution", Q10,
     IF('Credit Rating (Existing)'!$C$27="Oil &amp; Gas", S10,
      IF('Credit Rating (Start-up)'!$D$25="Generic", I10,
       IF('Credit Rating (Start-up)'!$D$25="Manufacturing", K10,
        IF('Credit Rating (Start-up)'!$D$25="Retail-Wholesale", M10,
         IF('Credit Rating (Start-up)'!$D$25="Services", O10,
          IF('Credit Rating (Start-up)'!$D$25="Import/ Assembly/ Distribution", Q10,
           IF('Credit Rating (Start-up)'!$D$25="Oil &amp; Gas", S10,
            "N/A"))))))))))))</f>
        <v>7.5</v>
      </c>
      <c r="F10" s="154">
        <v>3</v>
      </c>
      <c r="G10" s="154">
        <v>3</v>
      </c>
      <c r="H10" s="155"/>
      <c r="I10" s="156"/>
      <c r="J10" s="157">
        <v>5</v>
      </c>
      <c r="K10" s="158">
        <v>7.5</v>
      </c>
      <c r="L10" s="157">
        <v>5</v>
      </c>
      <c r="M10" s="158">
        <v>7.5</v>
      </c>
      <c r="N10" s="157">
        <v>5</v>
      </c>
      <c r="O10" s="158">
        <v>7.5</v>
      </c>
      <c r="P10" s="157">
        <v>5</v>
      </c>
      <c r="Q10" s="158">
        <v>7.5</v>
      </c>
      <c r="R10" s="157">
        <v>5</v>
      </c>
      <c r="S10" s="158">
        <v>7.5</v>
      </c>
    </row>
    <row r="11" spans="2:19">
      <c r="B11" s="606"/>
      <c r="C11" s="600"/>
      <c r="D11" s="3">
        <f>IF('Credit Rating (Existing)'!$C$27="Generic", H11,
 IF('Credit Rating (Existing)'!$C$27="Manufacturing", J11,
  IF('Credit Rating (Existing)'!$C$27="Retail-Wholesale", L11,
   IF('Credit Rating (Existing)'!$C$27="Services", N11,
    IF('Credit Rating (Existing)'!$C$27="Import/ Assembly/ Distribution", P11,
     IF('Credit Rating (Existing)'!$C$27="Oil &amp; Gas", R11,
      IF('Credit Rating (Start-up)'!$D$25="Generic", H11,
       IF('Credit Rating (Start-up)'!$D$25="Manufacturing", J11,
        IF('Credit Rating (Start-up)'!$D$25="Retail-Wholesale", L11,
         IF('Credit Rating (Start-up)'!$D$25="Services", N11,
          IF('Credit Rating (Start-up)'!$D$25="Import/ Assembly/ Distribution", P11,
           IF('Credit Rating (Start-up)'!$D$25="Oil &amp; Gas", R11,
            "N/A"))))))))))))</f>
        <v>2.5</v>
      </c>
      <c r="E11" s="3">
        <f>IF('Credit Rating (Existing)'!$C$27="Generic", I11,
 IF('Credit Rating (Existing)'!$C$27="Manufacturing", K11,
  IF('Credit Rating (Existing)'!$C$27="Retail-Wholesale", M11,
   IF('Credit Rating (Existing)'!$C$27="Services", O11,
    IF('Credit Rating (Existing)'!$C$27="Import/ Assembly/ Distribution", Q11,
     IF('Credit Rating (Existing)'!$C$27="Oil &amp; Gas", S11,
      IF('Credit Rating (Start-up)'!$D$25="Generic", I11,
       IF('Credit Rating (Start-up)'!$D$25="Manufacturing", K11,
        IF('Credit Rating (Start-up)'!$D$25="Retail-Wholesale", M11,
         IF('Credit Rating (Start-up)'!$D$25="Services", O11,
          IF('Credit Rating (Start-up)'!$D$25="Import/ Assembly/ Distribution", Q11,
           IF('Credit Rating (Start-up)'!$D$25="Oil &amp; Gas", S11,
            "N/A"))))))))))))</f>
        <v>5</v>
      </c>
      <c r="F11" s="154">
        <v>2</v>
      </c>
      <c r="G11" s="154">
        <v>2</v>
      </c>
      <c r="H11" s="155"/>
      <c r="I11" s="156"/>
      <c r="J11" s="157">
        <v>2.5</v>
      </c>
      <c r="K11" s="158">
        <v>5</v>
      </c>
      <c r="L11" s="157">
        <v>2.5</v>
      </c>
      <c r="M11" s="158">
        <v>5</v>
      </c>
      <c r="N11" s="157">
        <v>2.5</v>
      </c>
      <c r="O11" s="158">
        <v>5</v>
      </c>
      <c r="P11" s="157">
        <v>2.5</v>
      </c>
      <c r="Q11" s="158">
        <v>5</v>
      </c>
      <c r="R11" s="157">
        <v>2.5</v>
      </c>
      <c r="S11" s="158">
        <v>5</v>
      </c>
    </row>
    <row r="12" spans="2:19" ht="15.75" thickBot="1">
      <c r="B12" s="606"/>
      <c r="C12" s="601"/>
      <c r="D12" s="5" t="str">
        <f>IF('Credit Rating (Existing)'!$C$27="Generic", H12,
 IF('Credit Rating (Existing)'!$C$27="Manufacturing", J12,
  IF('Credit Rating (Existing)'!$C$27="Retail-Wholesale", L12,
   IF('Credit Rating (Existing)'!$C$27="Services", N12,
    IF('Credit Rating (Existing)'!$C$27="Import/ Assembly/ Distribution", P12,
     IF('Credit Rating (Existing)'!$C$27="Oil &amp; Gas", R12,
      IF('Credit Rating (Start-up)'!$D$25="Generic", H12,
       IF('Credit Rating (Start-up)'!$D$25="Manufacturing", J12,
        IF('Credit Rating (Start-up)'!$D$25="Retail-Wholesale", L12,
         IF('Credit Rating (Start-up)'!$D$25="Services", N12,
          IF('Credit Rating (Start-up)'!$D$25="Import/ Assembly/ Distribution", P12,
           IF('Credit Rating (Start-up)'!$D$25="Oil &amp; Gas", R12,
            "N/A"))))))))))))</f>
        <v>(∞)</v>
      </c>
      <c r="E12" s="5">
        <f>IF('Credit Rating (Existing)'!$C$27="Generic", I12,
 IF('Credit Rating (Existing)'!$C$27="Manufacturing", K12,
  IF('Credit Rating (Existing)'!$C$27="Retail-Wholesale", M12,
   IF('Credit Rating (Existing)'!$C$27="Services", O12,
    IF('Credit Rating (Existing)'!$C$27="Import/ Assembly/ Distribution", Q12,
     IF('Credit Rating (Existing)'!$C$27="Oil &amp; Gas", S12,
      IF('Credit Rating (Start-up)'!$D$25="Generic", I12,
       IF('Credit Rating (Start-up)'!$D$25="Manufacturing", K12,
        IF('Credit Rating (Start-up)'!$D$25="Retail-Wholesale", M12,
         IF('Credit Rating (Start-up)'!$D$25="Services", O12,
          IF('Credit Rating (Start-up)'!$D$25="Import/ Assembly/ Distribution", Q12,
           IF('Credit Rating (Start-up)'!$D$25="Oil &amp; Gas", S12,
            "N/A"))))))))))))</f>
        <v>2.5</v>
      </c>
      <c r="F12" s="159">
        <v>1</v>
      </c>
      <c r="G12" s="159">
        <v>1</v>
      </c>
      <c r="H12" s="160"/>
      <c r="I12" s="161"/>
      <c r="J12" s="162" t="s">
        <v>307</v>
      </c>
      <c r="K12" s="163">
        <v>2.5</v>
      </c>
      <c r="L12" s="162" t="s">
        <v>307</v>
      </c>
      <c r="M12" s="163">
        <v>2.5</v>
      </c>
      <c r="N12" s="162" t="s">
        <v>307</v>
      </c>
      <c r="O12" s="163">
        <v>2.5</v>
      </c>
      <c r="P12" s="162" t="s">
        <v>307</v>
      </c>
      <c r="Q12" s="163">
        <v>2.5</v>
      </c>
      <c r="R12" s="162" t="s">
        <v>307</v>
      </c>
      <c r="S12" s="163">
        <v>2.5</v>
      </c>
    </row>
    <row r="13" spans="2:19" ht="14.85" customHeight="1">
      <c r="B13" s="606"/>
      <c r="C13" s="602" t="str">
        <f>'Model Data'!B85</f>
        <v>Operational Cash/ Turnover (percentage)</v>
      </c>
      <c r="D13" s="11">
        <f>IF('Credit Rating (Existing)'!$C$27="Generic", H13,
 IF('Credit Rating (Existing)'!$C$27="Manufacturing", J13,
  IF('Credit Rating (Existing)'!$C$27="Retail-Wholesale", L13,
   IF('Credit Rating (Existing)'!$C$27="Services", N13,
    IF('Credit Rating (Existing)'!$C$27="Import/ Assembly/ Distribution", P13,
     IF('Credit Rating (Existing)'!$C$27="Oil &amp; Gas", R13,
      IF('Credit Rating (Start-up)'!$D$25="Generic", H13,
       IF('Credit Rating (Start-up)'!$D$25="Manufacturing", J13,
        IF('Credit Rating (Start-up)'!$D$25="Retail-Wholesale", L13,
         IF('Credit Rating (Start-up)'!$D$25="Services", N13,
          IF('Credit Rating (Start-up)'!$D$25="Import/ Assembly/ Distribution", P13,
           IF('Credit Rating (Start-up)'!$D$25="Oil &amp; Gas", R13,
            "N/A"))))))))))))</f>
        <v>0.16</v>
      </c>
      <c r="E13" s="11" t="str">
        <f>IF('Credit Rating (Existing)'!$C$27="Generic", I13,
 IF('Credit Rating (Existing)'!$C$27="Manufacturing", K13,
  IF('Credit Rating (Existing)'!$C$27="Retail-Wholesale", M13,
   IF('Credit Rating (Existing)'!$C$27="Services", O13,
    IF('Credit Rating (Existing)'!$C$27="Import/ Assembly/ Distribution", Q13,
     IF('Credit Rating (Existing)'!$C$27="Oil &amp; Gas", S13,
      IF('Credit Rating (Start-up)'!$D$25="Generic", I13,
       IF('Credit Rating (Start-up)'!$D$25="Manufacturing", K13,
        IF('Credit Rating (Start-up)'!$D$25="Retail-Wholesale", M13,
         IF('Credit Rating (Start-up)'!$D$25="Services", O13,
          IF('Credit Rating (Start-up)'!$D$25="Import/ Assembly/ Distribution", Q13,
           IF('Credit Rating (Start-up)'!$D$25="Oil &amp; Gas", S13,
            "N/A"))))))))))))</f>
        <v>∞</v>
      </c>
      <c r="F13" s="164">
        <v>5</v>
      </c>
      <c r="G13" s="149">
        <v>2</v>
      </c>
      <c r="H13" s="165"/>
      <c r="I13" s="166"/>
      <c r="J13" s="167">
        <v>0.16</v>
      </c>
      <c r="K13" s="168" t="s">
        <v>306</v>
      </c>
      <c r="L13" s="167">
        <v>0.16</v>
      </c>
      <c r="M13" s="168" t="s">
        <v>306</v>
      </c>
      <c r="N13" s="167">
        <v>0.16</v>
      </c>
      <c r="O13" s="168" t="s">
        <v>306</v>
      </c>
      <c r="P13" s="167">
        <v>0.16</v>
      </c>
      <c r="Q13" s="168" t="s">
        <v>306</v>
      </c>
      <c r="R13" s="167">
        <v>0.16</v>
      </c>
      <c r="S13" s="168" t="s">
        <v>306</v>
      </c>
    </row>
    <row r="14" spans="2:19">
      <c r="B14" s="606"/>
      <c r="C14" s="603"/>
      <c r="D14" s="12">
        <f>IF('Credit Rating (Existing)'!$C$27="Generic", H14,
 IF('Credit Rating (Existing)'!$C$27="Manufacturing", J14,
  IF('Credit Rating (Existing)'!$C$27="Retail-Wholesale", L14,
   IF('Credit Rating (Existing)'!$C$27="Services", N14,
    IF('Credit Rating (Existing)'!$C$27="Import/ Assembly/ Distribution", P14,
     IF('Credit Rating (Existing)'!$C$27="Oil &amp; Gas", R14,
      IF('Credit Rating (Start-up)'!$D$25="Generic", H14,
       IF('Credit Rating (Start-up)'!$D$25="Manufacturing", J14,
        IF('Credit Rating (Start-up)'!$D$25="Retail-Wholesale", L14,
         IF('Credit Rating (Start-up)'!$D$25="Services", N14,
          IF('Credit Rating (Start-up)'!$D$25="Import/ Assembly/ Distribution", P14,
           IF('Credit Rating (Start-up)'!$D$25="Oil &amp; Gas", R14,
            "N/A"))))))))))))</f>
        <v>0.12</v>
      </c>
      <c r="E14" s="12">
        <f>IF('Credit Rating (Existing)'!$C$27="Generic", I14,
 IF('Credit Rating (Existing)'!$C$27="Manufacturing", K14,
  IF('Credit Rating (Existing)'!$C$27="Retail-Wholesale", M14,
   IF('Credit Rating (Existing)'!$C$27="Services", O14,
    IF('Credit Rating (Existing)'!$C$27="Import/ Assembly/ Distribution", Q14,
     IF('Credit Rating (Existing)'!$C$27="Oil &amp; Gas", S14,
      IF('Credit Rating (Start-up)'!$D$25="Generic", I14,
       IF('Credit Rating (Start-up)'!$D$25="Manufacturing", K14,
        IF('Credit Rating (Start-up)'!$D$25="Retail-Wholesale", M14,
         IF('Credit Rating (Start-up)'!$D$25="Services", O14,
          IF('Credit Rating (Start-up)'!$D$25="Import/ Assembly/ Distribution", Q14,
           IF('Credit Rating (Start-up)'!$D$25="Oil &amp; Gas", S14,
            "N/A"))))))))))))</f>
        <v>0.16</v>
      </c>
      <c r="F14" s="169">
        <v>4</v>
      </c>
      <c r="G14" s="154">
        <v>3</v>
      </c>
      <c r="H14" s="170"/>
      <c r="I14" s="171"/>
      <c r="J14" s="172">
        <v>0.12</v>
      </c>
      <c r="K14" s="173">
        <v>0.16</v>
      </c>
      <c r="L14" s="172">
        <v>0.12</v>
      </c>
      <c r="M14" s="173">
        <v>0.16</v>
      </c>
      <c r="N14" s="172">
        <v>0.12</v>
      </c>
      <c r="O14" s="173">
        <v>0.16</v>
      </c>
      <c r="P14" s="172">
        <v>0.12</v>
      </c>
      <c r="Q14" s="173">
        <v>0.16</v>
      </c>
      <c r="R14" s="172">
        <v>0.12</v>
      </c>
      <c r="S14" s="173">
        <v>0.16</v>
      </c>
    </row>
    <row r="15" spans="2:19">
      <c r="B15" s="606"/>
      <c r="C15" s="603"/>
      <c r="D15" s="12">
        <f>IF('Credit Rating (Existing)'!$C$27="Generic", H15,
 IF('Credit Rating (Existing)'!$C$27="Manufacturing", J15,
  IF('Credit Rating (Existing)'!$C$27="Retail-Wholesale", L15,
   IF('Credit Rating (Existing)'!$C$27="Services", N15,
    IF('Credit Rating (Existing)'!$C$27="Import/ Assembly/ Distribution", P15,
     IF('Credit Rating (Existing)'!$C$27="Oil &amp; Gas", R15,
      IF('Credit Rating (Start-up)'!$D$25="Generic", H15,
       IF('Credit Rating (Start-up)'!$D$25="Manufacturing", J15,
        IF('Credit Rating (Start-up)'!$D$25="Retail-Wholesale", L15,
         IF('Credit Rating (Start-up)'!$D$25="Services", N15,
          IF('Credit Rating (Start-up)'!$D$25="Import/ Assembly/ Distribution", P15,
           IF('Credit Rating (Start-up)'!$D$25="Oil &amp; Gas", R15,
            "N/A"))))))))))))</f>
        <v>0.08</v>
      </c>
      <c r="E15" s="12">
        <f>IF('Credit Rating (Existing)'!$C$27="Generic", I15,
 IF('Credit Rating (Existing)'!$C$27="Manufacturing", K15,
  IF('Credit Rating (Existing)'!$C$27="Retail-Wholesale", M15,
   IF('Credit Rating (Existing)'!$C$27="Services", O15,
    IF('Credit Rating (Existing)'!$C$27="Import/ Assembly/ Distribution", Q15,
     IF('Credit Rating (Existing)'!$C$27="Oil &amp; Gas", S15,
      IF('Credit Rating (Start-up)'!$D$25="Generic", I15,
       IF('Credit Rating (Start-up)'!$D$25="Manufacturing", K15,
        IF('Credit Rating (Start-up)'!$D$25="Retail-Wholesale", M15,
         IF('Credit Rating (Start-up)'!$D$25="Services", O15,
          IF('Credit Rating (Start-up)'!$D$25="Import/ Assembly/ Distribution", Q15,
           IF('Credit Rating (Start-up)'!$D$25="Oil &amp; Gas", S15,
            "N/A"))))))))))))</f>
        <v>0.12</v>
      </c>
      <c r="F15" s="169">
        <v>3</v>
      </c>
      <c r="G15" s="154">
        <v>5</v>
      </c>
      <c r="H15" s="170"/>
      <c r="I15" s="171"/>
      <c r="J15" s="172">
        <v>0.08</v>
      </c>
      <c r="K15" s="173">
        <v>0.12</v>
      </c>
      <c r="L15" s="172">
        <v>0.08</v>
      </c>
      <c r="M15" s="173">
        <v>0.12</v>
      </c>
      <c r="N15" s="172">
        <v>0.08</v>
      </c>
      <c r="O15" s="173">
        <v>0.12</v>
      </c>
      <c r="P15" s="172">
        <v>0.08</v>
      </c>
      <c r="Q15" s="173">
        <v>0.12</v>
      </c>
      <c r="R15" s="172">
        <v>0.08</v>
      </c>
      <c r="S15" s="173">
        <v>0.12</v>
      </c>
    </row>
    <row r="16" spans="2:19">
      <c r="B16" s="606"/>
      <c r="C16" s="603"/>
      <c r="D16" s="12">
        <f>IF('Credit Rating (Existing)'!$C$27="Generic", H16,
 IF('Credit Rating (Existing)'!$C$27="Manufacturing", J16,
  IF('Credit Rating (Existing)'!$C$27="Retail-Wholesale", L16,
   IF('Credit Rating (Existing)'!$C$27="Services", N16,
    IF('Credit Rating (Existing)'!$C$27="Import/ Assembly/ Distribution", P16,
     IF('Credit Rating (Existing)'!$C$27="Oil &amp; Gas", R16,
      IF('Credit Rating (Start-up)'!$D$25="Generic", H16,
       IF('Credit Rating (Start-up)'!$D$25="Manufacturing", J16,
        IF('Credit Rating (Start-up)'!$D$25="Retail-Wholesale", L16,
         IF('Credit Rating (Start-up)'!$D$25="Services", N16,
          IF('Credit Rating (Start-up)'!$D$25="Import/ Assembly/ Distribution", P16,
           IF('Credit Rating (Start-up)'!$D$25="Oil &amp; Gas", R16,
            "N/A"))))))))))))</f>
        <v>0.04</v>
      </c>
      <c r="E16" s="12">
        <f>IF('Credit Rating (Existing)'!$C$27="Generic", I16,
 IF('Credit Rating (Existing)'!$C$27="Manufacturing", K16,
  IF('Credit Rating (Existing)'!$C$27="Retail-Wholesale", M16,
   IF('Credit Rating (Existing)'!$C$27="Services", O16,
    IF('Credit Rating (Existing)'!$C$27="Import/ Assembly/ Distribution", Q16,
     IF('Credit Rating (Existing)'!$C$27="Oil &amp; Gas", S16,
      IF('Credit Rating (Start-up)'!$D$25="Generic", I16,
       IF('Credit Rating (Start-up)'!$D$25="Manufacturing", K16,
        IF('Credit Rating (Start-up)'!$D$25="Retail-Wholesale", M16,
         IF('Credit Rating (Start-up)'!$D$25="Services", O16,
          IF('Credit Rating (Start-up)'!$D$25="Import/ Assembly/ Distribution", Q16,
           IF('Credit Rating (Start-up)'!$D$25="Oil &amp; Gas", S16,
            "N/A"))))))))))))</f>
        <v>0.08</v>
      </c>
      <c r="F16" s="169">
        <v>2</v>
      </c>
      <c r="G16" s="154">
        <v>4</v>
      </c>
      <c r="H16" s="170"/>
      <c r="I16" s="171"/>
      <c r="J16" s="172">
        <v>0.04</v>
      </c>
      <c r="K16" s="173">
        <v>0.08</v>
      </c>
      <c r="L16" s="172">
        <v>0.04</v>
      </c>
      <c r="M16" s="173">
        <v>0.08</v>
      </c>
      <c r="N16" s="172">
        <v>0.04</v>
      </c>
      <c r="O16" s="173">
        <v>0.08</v>
      </c>
      <c r="P16" s="172">
        <v>0.04</v>
      </c>
      <c r="Q16" s="173">
        <v>0.08</v>
      </c>
      <c r="R16" s="172">
        <v>0.04</v>
      </c>
      <c r="S16" s="173">
        <v>0.08</v>
      </c>
    </row>
    <row r="17" spans="2:19" ht="15.75" thickBot="1">
      <c r="B17" s="606"/>
      <c r="C17" s="604"/>
      <c r="D17" s="13" t="str">
        <f>IF('Credit Rating (Existing)'!$C$27="Generic", H17,
 IF('Credit Rating (Existing)'!$C$27="Manufacturing", J17,
  IF('Credit Rating (Existing)'!$C$27="Retail-Wholesale", L17,
   IF('Credit Rating (Existing)'!$C$27="Services", N17,
    IF('Credit Rating (Existing)'!$C$27="Import/ Assembly/ Distribution", P17,
     IF('Credit Rating (Existing)'!$C$27="Oil &amp; Gas", R17,
      IF('Credit Rating (Start-up)'!$D$25="Generic", H17,
       IF('Credit Rating (Start-up)'!$D$25="Manufacturing", J17,
        IF('Credit Rating (Start-up)'!$D$25="Retail-Wholesale", L17,
         IF('Credit Rating (Start-up)'!$D$25="Services", N17,
          IF('Credit Rating (Start-up)'!$D$25="Import/ Assembly/ Distribution", P17,
           IF('Credit Rating (Start-up)'!$D$25="Oil &amp; Gas", R17,
            "N/A"))))))))))))</f>
        <v>(∞)</v>
      </c>
      <c r="E17" s="13">
        <f>IF('Credit Rating (Existing)'!$C$27="Generic", I17,
 IF('Credit Rating (Existing)'!$C$27="Manufacturing", K17,
  IF('Credit Rating (Existing)'!$C$27="Retail-Wholesale", M17,
   IF('Credit Rating (Existing)'!$C$27="Services", O17,
    IF('Credit Rating (Existing)'!$C$27="Import/ Assembly/ Distribution", Q17,
     IF('Credit Rating (Existing)'!$C$27="Oil &amp; Gas", S17,
      IF('Credit Rating (Start-up)'!$D$25="Generic", I17,
       IF('Credit Rating (Start-up)'!$D$25="Manufacturing", K17,
        IF('Credit Rating (Start-up)'!$D$25="Retail-Wholesale", M17,
         IF('Credit Rating (Start-up)'!$D$25="Services", O17,
          IF('Credit Rating (Start-up)'!$D$25="Import/ Assembly/ Distribution", Q17,
           IF('Credit Rating (Start-up)'!$D$25="Oil &amp; Gas", S17,
            "N/A"))))))))))))</f>
        <v>0.04</v>
      </c>
      <c r="F17" s="174">
        <v>1</v>
      </c>
      <c r="G17" s="159">
        <v>1</v>
      </c>
      <c r="H17" s="160"/>
      <c r="I17" s="175"/>
      <c r="J17" s="176" t="s">
        <v>307</v>
      </c>
      <c r="K17" s="177">
        <v>0.04</v>
      </c>
      <c r="L17" s="176" t="s">
        <v>307</v>
      </c>
      <c r="M17" s="177">
        <v>0.04</v>
      </c>
      <c r="N17" s="176" t="s">
        <v>307</v>
      </c>
      <c r="O17" s="177">
        <v>0.04</v>
      </c>
      <c r="P17" s="176" t="s">
        <v>307</v>
      </c>
      <c r="Q17" s="177">
        <v>0.04</v>
      </c>
      <c r="R17" s="176" t="s">
        <v>307</v>
      </c>
      <c r="S17" s="177">
        <v>0.04</v>
      </c>
    </row>
    <row r="18" spans="2:19" ht="14.85" customHeight="1">
      <c r="B18" s="606"/>
      <c r="C18" s="599" t="str">
        <f>'Model Data'!B86</f>
        <v>Debt Repayment Period (days)</v>
      </c>
      <c r="D18" s="14">
        <f>IF('Credit Rating (Existing)'!$C$27="Generic", H18,
 IF('Credit Rating (Existing)'!$C$27="Manufacturing", J18,
  IF('Credit Rating (Existing)'!$C$27="Retail-Wholesale", L18,
   IF('Credit Rating (Existing)'!$C$27="Services", N18,
    IF('Credit Rating (Existing)'!$C$27="Import/ Assembly/ Distribution", P18,
     IF('Credit Rating (Existing)'!$C$27="Oil &amp; Gas", R18,
      IF('Credit Rating (Start-up)'!$D$25="Generic", H18,
       IF('Credit Rating (Start-up)'!$D$25="Manufacturing", J18,
        IF('Credit Rating (Start-up)'!$D$25="Retail-Wholesale", L18,
         IF('Credit Rating (Start-up)'!$D$25="Services", N18,
          IF('Credit Rating (Start-up)'!$D$25="Import/ Assembly/ Distribution", P18,
           IF('Credit Rating (Start-up)'!$D$25="Oil &amp; Gas", R18,
            "N/A"))))))))))))</f>
        <v>1000</v>
      </c>
      <c r="E18" s="14" t="str">
        <f>IF('Credit Rating (Existing)'!$C$27="Generic", I18,
 IF('Credit Rating (Existing)'!$C$27="Manufacturing", K18,
  IF('Credit Rating (Existing)'!$C$27="Retail-Wholesale", M18,
   IF('Credit Rating (Existing)'!$C$27="Services", O18,
    IF('Credit Rating (Existing)'!$C$27="Import/ Assembly/ Distribution", Q18,
     IF('Credit Rating (Existing)'!$C$27="Oil &amp; Gas", S18,
      IF('Credit Rating (Start-up)'!$D$25="Generic", I18,
       IF('Credit Rating (Start-up)'!$D$25="Manufacturing", K18,
        IF('Credit Rating (Start-up)'!$D$25="Retail-Wholesale", M18,
         IF('Credit Rating (Start-up)'!$D$25="Services", O18,
          IF('Credit Rating (Start-up)'!$D$25="Import/ Assembly/ Distribution", Q18,
           IF('Credit Rating (Start-up)'!$D$25="Oil &amp; Gas", S18,
            "N/A"))))))))))))</f>
        <v>∞</v>
      </c>
      <c r="F18" s="164">
        <v>1</v>
      </c>
      <c r="G18" s="149">
        <v>1</v>
      </c>
      <c r="H18" s="178"/>
      <c r="I18" s="166"/>
      <c r="J18" s="179">
        <v>1500</v>
      </c>
      <c r="K18" s="180" t="s">
        <v>306</v>
      </c>
      <c r="L18" s="181">
        <v>600</v>
      </c>
      <c r="M18" s="182" t="s">
        <v>306</v>
      </c>
      <c r="N18" s="181">
        <v>600</v>
      </c>
      <c r="O18" s="183" t="s">
        <v>306</v>
      </c>
      <c r="P18" s="184">
        <v>1000</v>
      </c>
      <c r="Q18" s="185" t="s">
        <v>306</v>
      </c>
      <c r="R18" s="184">
        <v>1000</v>
      </c>
      <c r="S18" s="339" t="s">
        <v>306</v>
      </c>
    </row>
    <row r="19" spans="2:19">
      <c r="B19" s="606"/>
      <c r="C19" s="600"/>
      <c r="D19" s="6">
        <f>IF('Credit Rating (Existing)'!$C$27="Generic", H19,
 IF('Credit Rating (Existing)'!$C$27="Manufacturing", J19,
  IF('Credit Rating (Existing)'!$C$27="Retail-Wholesale", L19,
   IF('Credit Rating (Existing)'!$C$27="Services", N19,
    IF('Credit Rating (Existing)'!$C$27="Import/ Assembly/ Distribution", P19,
     IF('Credit Rating (Existing)'!$C$27="Oil &amp; Gas", R19,
      IF('Credit Rating (Start-up)'!$D$25="Generic", H19,
       IF('Credit Rating (Start-up)'!$D$25="Manufacturing", J19,
        IF('Credit Rating (Start-up)'!$D$25="Retail-Wholesale", L19,
         IF('Credit Rating (Start-up)'!$D$25="Services", N19,
          IF('Credit Rating (Start-up)'!$D$25="Import/ Assembly/ Distribution", P19,
           IF('Credit Rating (Start-up)'!$D$25="Oil &amp; Gas", R19,
            "N/A"))))))))))))</f>
        <v>750</v>
      </c>
      <c r="E19" s="6">
        <f>IF('Credit Rating (Existing)'!$C$27="Generic", I19,
 IF('Credit Rating (Existing)'!$C$27="Manufacturing", K19,
  IF('Credit Rating (Existing)'!$C$27="Retail-Wholesale", M19,
   IF('Credit Rating (Existing)'!$C$27="Services", O19,
    IF('Credit Rating (Existing)'!$C$27="Import/ Assembly/ Distribution", Q19,
     IF('Credit Rating (Existing)'!$C$27="Oil &amp; Gas", S19,
      IF('Credit Rating (Start-up)'!$D$25="Generic", I19,
       IF('Credit Rating (Start-up)'!$D$25="Manufacturing", K19,
        IF('Credit Rating (Start-up)'!$D$25="Retail-Wholesale", M19,
         IF('Credit Rating (Start-up)'!$D$25="Services", O19,
          IF('Credit Rating (Start-up)'!$D$25="Import/ Assembly/ Distribution", Q19,
           IF('Credit Rating (Start-up)'!$D$25="Oil &amp; Gas", S19,
            "N/A"))))))))))))</f>
        <v>1000</v>
      </c>
      <c r="F19" s="169">
        <v>2</v>
      </c>
      <c r="G19" s="154">
        <v>2</v>
      </c>
      <c r="H19" s="186"/>
      <c r="I19" s="187"/>
      <c r="J19" s="188">
        <v>900</v>
      </c>
      <c r="K19" s="189">
        <v>1200</v>
      </c>
      <c r="L19" s="190">
        <v>450</v>
      </c>
      <c r="M19" s="10">
        <v>600</v>
      </c>
      <c r="N19" s="190">
        <v>450</v>
      </c>
      <c r="O19" s="191">
        <v>600</v>
      </c>
      <c r="P19" s="192">
        <v>750</v>
      </c>
      <c r="Q19" s="193">
        <v>1000</v>
      </c>
      <c r="R19" s="192">
        <v>750</v>
      </c>
      <c r="S19" s="340">
        <v>1000</v>
      </c>
    </row>
    <row r="20" spans="2:19">
      <c r="B20" s="606"/>
      <c r="C20" s="600"/>
      <c r="D20" s="6">
        <f>IF('Credit Rating (Existing)'!$C$27="Generic", H20,
 IF('Credit Rating (Existing)'!$C$27="Manufacturing", J20,
  IF('Credit Rating (Existing)'!$C$27="Retail-Wholesale", L20,
   IF('Credit Rating (Existing)'!$C$27="Services", N20,
    IF('Credit Rating (Existing)'!$C$27="Import/ Assembly/ Distribution", P20,
     IF('Credit Rating (Existing)'!$C$27="Oil &amp; Gas", R20,
      IF('Credit Rating (Start-up)'!$D$25="Generic", H20,
       IF('Credit Rating (Start-up)'!$D$25="Manufacturing", J20,
        IF('Credit Rating (Start-up)'!$D$25="Retail-Wholesale", L20,
         IF('Credit Rating (Start-up)'!$D$25="Services", N20,
          IF('Credit Rating (Start-up)'!$D$25="Import/ Assembly/ Distribution", P20,
           IF('Credit Rating (Start-up)'!$D$25="Oil &amp; Gas", R20,
            "N/A"))))))))))))</f>
        <v>500</v>
      </c>
      <c r="E20" s="6">
        <f>IF('Credit Rating (Existing)'!$C$27="Generic", I20,
 IF('Credit Rating (Existing)'!$C$27="Manufacturing", K20,
  IF('Credit Rating (Existing)'!$C$27="Retail-Wholesale", M20,
   IF('Credit Rating (Existing)'!$C$27="Services", O20,
    IF('Credit Rating (Existing)'!$C$27="Import/ Assembly/ Distribution", Q20,
     IF('Credit Rating (Existing)'!$C$27="Oil &amp; Gas", S20,
      IF('Credit Rating (Start-up)'!$D$25="Generic", I20,
       IF('Credit Rating (Start-up)'!$D$25="Manufacturing", K20,
        IF('Credit Rating (Start-up)'!$D$25="Retail-Wholesale", M20,
         IF('Credit Rating (Start-up)'!$D$25="Services", O20,
          IF('Credit Rating (Start-up)'!$D$25="Import/ Assembly/ Distribution", Q20,
           IF('Credit Rating (Start-up)'!$D$25="Oil &amp; Gas", S20,
            "N/A"))))))))))))</f>
        <v>750</v>
      </c>
      <c r="F20" s="169">
        <v>3</v>
      </c>
      <c r="G20" s="154">
        <v>3</v>
      </c>
      <c r="H20" s="186"/>
      <c r="I20" s="187"/>
      <c r="J20" s="188">
        <v>600</v>
      </c>
      <c r="K20" s="189">
        <v>900</v>
      </c>
      <c r="L20" s="190">
        <v>300</v>
      </c>
      <c r="M20" s="10">
        <v>450</v>
      </c>
      <c r="N20" s="190">
        <v>300</v>
      </c>
      <c r="O20" s="191">
        <v>450</v>
      </c>
      <c r="P20" s="192">
        <v>500</v>
      </c>
      <c r="Q20" s="193">
        <v>750</v>
      </c>
      <c r="R20" s="192">
        <v>500</v>
      </c>
      <c r="S20" s="340">
        <v>750</v>
      </c>
    </row>
    <row r="21" spans="2:19">
      <c r="B21" s="606"/>
      <c r="C21" s="600"/>
      <c r="D21" s="6">
        <f>IF('Credit Rating (Existing)'!$C$27="Generic", H21,
 IF('Credit Rating (Existing)'!$C$27="Manufacturing", J21,
  IF('Credit Rating (Existing)'!$C$27="Retail-Wholesale", L21,
   IF('Credit Rating (Existing)'!$C$27="Services", N21,
    IF('Credit Rating (Existing)'!$C$27="Import/ Assembly/ Distribution", P21,
     IF('Credit Rating (Existing)'!$C$27="Oil &amp; Gas", R21,
      IF('Credit Rating (Start-up)'!$D$25="Generic", H21,
       IF('Credit Rating (Start-up)'!$D$25="Manufacturing", J21,
        IF('Credit Rating (Start-up)'!$D$25="Retail-Wholesale", L21,
         IF('Credit Rating (Start-up)'!$D$25="Services", N21,
          IF('Credit Rating (Start-up)'!$D$25="Import/ Assembly/ Distribution", P21,
           IF('Credit Rating (Start-up)'!$D$25="Oil &amp; Gas", R21,
            "N/A"))))))))))))</f>
        <v>250</v>
      </c>
      <c r="E21" s="6">
        <f>IF('Credit Rating (Existing)'!$C$27="Generic", I21,
 IF('Credit Rating (Existing)'!$C$27="Manufacturing", K21,
  IF('Credit Rating (Existing)'!$C$27="Retail-Wholesale", M21,
   IF('Credit Rating (Existing)'!$C$27="Services", O21,
    IF('Credit Rating (Existing)'!$C$27="Import/ Assembly/ Distribution", Q21,
     IF('Credit Rating (Existing)'!$C$27="Oil &amp; Gas", S21,
      IF('Credit Rating (Start-up)'!$D$25="Generic", I21,
       IF('Credit Rating (Start-up)'!$D$25="Manufacturing", K21,
        IF('Credit Rating (Start-up)'!$D$25="Retail-Wholesale", M21,
         IF('Credit Rating (Start-up)'!$D$25="Services", O21,
          IF('Credit Rating (Start-up)'!$D$25="Import/ Assembly/ Distribution", Q21,
           IF('Credit Rating (Start-up)'!$D$25="Oil &amp; Gas", S21,
            "N/A"))))))))))))</f>
        <v>500</v>
      </c>
      <c r="F21" s="169">
        <v>4</v>
      </c>
      <c r="G21" s="154">
        <v>4</v>
      </c>
      <c r="H21" s="186"/>
      <c r="I21" s="187"/>
      <c r="J21" s="188">
        <v>300</v>
      </c>
      <c r="K21" s="189">
        <v>600</v>
      </c>
      <c r="L21" s="190">
        <v>150</v>
      </c>
      <c r="M21" s="10">
        <v>300</v>
      </c>
      <c r="N21" s="190">
        <v>150</v>
      </c>
      <c r="O21" s="191">
        <v>300</v>
      </c>
      <c r="P21" s="192">
        <v>250</v>
      </c>
      <c r="Q21" s="193">
        <v>500</v>
      </c>
      <c r="R21" s="192">
        <v>250</v>
      </c>
      <c r="S21" s="340">
        <v>500</v>
      </c>
    </row>
    <row r="22" spans="2:19" ht="15.75" thickBot="1">
      <c r="B22" s="606"/>
      <c r="C22" s="601"/>
      <c r="D22" s="4">
        <f>IF('Credit Rating (Existing)'!$C$27="Generic", H22,
 IF('Credit Rating (Existing)'!$C$27="Manufacturing", J22,
  IF('Credit Rating (Existing)'!$C$27="Retail-Wholesale", L22,
   IF('Credit Rating (Existing)'!$C$27="Services", N22,
    IF('Credit Rating (Existing)'!$C$27="Import/ Assembly/ Distribution", P22,
     IF('Credit Rating (Existing)'!$C$27="Oil &amp; Gas", R22,
      IF('Credit Rating (Start-up)'!$D$25="Generic", H22,
       IF('Credit Rating (Start-up)'!$D$25="Manufacturing", J22,
        IF('Credit Rating (Start-up)'!$D$25="Retail-Wholesale", L22,
         IF('Credit Rating (Start-up)'!$D$25="Services", N22,
          IF('Credit Rating (Start-up)'!$D$25="Import/ Assembly/ Distribution", P22,
           IF('Credit Rating (Start-up)'!$D$25="Oil &amp; Gas", R22,
            "N/A"))))))))))))</f>
        <v>0</v>
      </c>
      <c r="E22" s="4">
        <f>IF('Credit Rating (Existing)'!$C$27="Generic", I22,
 IF('Credit Rating (Existing)'!$C$27="Manufacturing", K22,
  IF('Credit Rating (Existing)'!$C$27="Retail-Wholesale", M22,
   IF('Credit Rating (Existing)'!$C$27="Services", O22,
    IF('Credit Rating (Existing)'!$C$27="Import/ Assembly/ Distribution", Q22,
     IF('Credit Rating (Existing)'!$C$27="Oil &amp; Gas", S22,
      IF('Credit Rating (Start-up)'!$D$25="Generic", I22,
       IF('Credit Rating (Start-up)'!$D$25="Manufacturing", K22,
        IF('Credit Rating (Start-up)'!$D$25="Retail-Wholesale", M22,
         IF('Credit Rating (Start-up)'!$D$25="Services", O22,
          IF('Credit Rating (Start-up)'!$D$25="Import/ Assembly/ Distribution", Q22,
           IF('Credit Rating (Start-up)'!$D$25="Oil &amp; Gas", S22,
            "N/A"))))))))))))</f>
        <v>250</v>
      </c>
      <c r="F22" s="174">
        <v>5</v>
      </c>
      <c r="G22" s="159">
        <v>5</v>
      </c>
      <c r="H22" s="160"/>
      <c r="I22" s="194"/>
      <c r="J22" s="195">
        <v>0</v>
      </c>
      <c r="K22" s="196">
        <v>300</v>
      </c>
      <c r="L22" s="197">
        <v>0</v>
      </c>
      <c r="M22" s="198">
        <v>150</v>
      </c>
      <c r="N22" s="197">
        <v>0</v>
      </c>
      <c r="O22" s="199">
        <v>150</v>
      </c>
      <c r="P22" s="200">
        <v>0</v>
      </c>
      <c r="Q22" s="201">
        <v>250</v>
      </c>
      <c r="R22" s="200">
        <v>0</v>
      </c>
      <c r="S22" s="341">
        <v>250</v>
      </c>
    </row>
    <row r="23" spans="2:19" ht="14.85" customHeight="1">
      <c r="B23" s="605" t="s">
        <v>89</v>
      </c>
      <c r="C23" s="602" t="str">
        <f>'Model Data'!B87</f>
        <v>Gross Margin (percentage)</v>
      </c>
      <c r="D23" s="11">
        <f>IF('Credit Rating (Existing)'!$C$27="Generic", H23,
 IF('Credit Rating (Existing)'!$C$27="Manufacturing", J23,
  IF('Credit Rating (Existing)'!$C$27="Retail-Wholesale", L23,
   IF('Credit Rating (Existing)'!$C$27="Services", N23,
    IF('Credit Rating (Existing)'!$C$27="Import/ Assembly/ Distribution", P23,
     IF('Credit Rating (Existing)'!$C$27="Oil &amp; Gas", R23,
      IF('Credit Rating (Start-up)'!$D$25="Generic", H23,
       IF('Credit Rating (Start-up)'!$D$25="Manufacturing", J23,
        IF('Credit Rating (Start-up)'!$D$25="Retail-Wholesale", L23,
         IF('Credit Rating (Start-up)'!$D$25="Services", N23,
          IF('Credit Rating (Start-up)'!$D$25="Import/ Assembly/ Distribution", P23,
           IF('Credit Rating (Start-up)'!$D$25="Oil &amp; Gas", R23,
            "N/A"))))))))))))</f>
        <v>0.125</v>
      </c>
      <c r="E23" s="11" t="str">
        <f>IF('Credit Rating (Existing)'!$C$27="Generic", I23,
 IF('Credit Rating (Existing)'!$C$27="Manufacturing", K23,
  IF('Credit Rating (Existing)'!$C$27="Retail-Wholesale", M23,
   IF('Credit Rating (Existing)'!$C$27="Services", O23,
    IF('Credit Rating (Existing)'!$C$27="Import/ Assembly/ Distribution", Q23,
     IF('Credit Rating (Existing)'!$C$27="Oil &amp; Gas", S23,
      IF('Credit Rating (Start-up)'!$D$25="Generic", I23,
       IF('Credit Rating (Start-up)'!$D$25="Manufacturing", K23,
        IF('Credit Rating (Start-up)'!$D$25="Retail-Wholesale", M23,
         IF('Credit Rating (Start-up)'!$D$25="Services", O23,
          IF('Credit Rating (Start-up)'!$D$25="Import/ Assembly/ Distribution", Q23,
           IF('Credit Rating (Start-up)'!$D$25="Oil &amp; Gas", S23,
            "N/A"))))))))))))</f>
        <v>∞</v>
      </c>
      <c r="F23" s="164">
        <v>5</v>
      </c>
      <c r="G23" s="149">
        <v>2</v>
      </c>
      <c r="H23" s="165"/>
      <c r="I23" s="151"/>
      <c r="J23" s="202">
        <v>0.35</v>
      </c>
      <c r="K23" s="203" t="s">
        <v>306</v>
      </c>
      <c r="L23" s="202">
        <v>0.35</v>
      </c>
      <c r="M23" s="203" t="s">
        <v>306</v>
      </c>
      <c r="N23" s="204">
        <v>0.95</v>
      </c>
      <c r="O23" s="205" t="s">
        <v>306</v>
      </c>
      <c r="P23" s="202">
        <v>0.35</v>
      </c>
      <c r="Q23" s="203" t="s">
        <v>306</v>
      </c>
      <c r="R23" s="165">
        <v>0.125</v>
      </c>
      <c r="S23" s="332" t="s">
        <v>306</v>
      </c>
    </row>
    <row r="24" spans="2:19">
      <c r="B24" s="605"/>
      <c r="C24" s="603"/>
      <c r="D24" s="12">
        <f>IF('Credit Rating (Existing)'!$C$27="Generic", H24,
 IF('Credit Rating (Existing)'!$C$27="Manufacturing", J24,
  IF('Credit Rating (Existing)'!$C$27="Retail-Wholesale", L24,
   IF('Credit Rating (Existing)'!$C$27="Services", N24,
    IF('Credit Rating (Existing)'!$C$27="Import/ Assembly/ Distribution", P24,
     IF('Credit Rating (Existing)'!$C$27="Oil &amp; Gas", R24,
      IF('Credit Rating (Start-up)'!$D$25="Generic", H24,
       IF('Credit Rating (Start-up)'!$D$25="Manufacturing", J24,
        IF('Credit Rating (Start-up)'!$D$25="Retail-Wholesale", L24,
         IF('Credit Rating (Start-up)'!$D$25="Services", N24,
          IF('Credit Rating (Start-up)'!$D$25="Import/ Assembly/ Distribution", P24,
           IF('Credit Rating (Start-up)'!$D$25="Oil &amp; Gas", R24,
            "N/A"))))))))))))</f>
        <v>7.4999999999999997E-2</v>
      </c>
      <c r="E24" s="12">
        <f>IF('Credit Rating (Existing)'!$C$27="Generic", I24,
 IF('Credit Rating (Existing)'!$C$27="Manufacturing", K24,
  IF('Credit Rating (Existing)'!$C$27="Retail-Wholesale", M24,
   IF('Credit Rating (Existing)'!$C$27="Services", O24,
    IF('Credit Rating (Existing)'!$C$27="Import/ Assembly/ Distribution", Q24,
     IF('Credit Rating (Existing)'!$C$27="Oil &amp; Gas", S24,
      IF('Credit Rating (Start-up)'!$D$25="Generic", I24,
       IF('Credit Rating (Start-up)'!$D$25="Manufacturing", K24,
        IF('Credit Rating (Start-up)'!$D$25="Retail-Wholesale", M24,
         IF('Credit Rating (Start-up)'!$D$25="Services", O24,
          IF('Credit Rating (Start-up)'!$D$25="Import/ Assembly/ Distribution", Q24,
           IF('Credit Rating (Start-up)'!$D$25="Oil &amp; Gas", S24,
            "N/A"))))))))))))</f>
        <v>0.125</v>
      </c>
      <c r="F24" s="169">
        <v>4</v>
      </c>
      <c r="G24" s="154">
        <v>3</v>
      </c>
      <c r="H24" s="170"/>
      <c r="I24" s="206"/>
      <c r="J24" s="207">
        <v>0.25</v>
      </c>
      <c r="K24" s="208">
        <v>0.35</v>
      </c>
      <c r="L24" s="207">
        <v>0.25</v>
      </c>
      <c r="M24" s="208">
        <v>0.35</v>
      </c>
      <c r="N24" s="209">
        <v>0.75</v>
      </c>
      <c r="O24" s="210">
        <v>0.95</v>
      </c>
      <c r="P24" s="207">
        <v>0.25</v>
      </c>
      <c r="Q24" s="208">
        <v>0.35</v>
      </c>
      <c r="R24" s="170">
        <v>7.4999999999999997E-2</v>
      </c>
      <c r="S24" s="333">
        <v>0.125</v>
      </c>
    </row>
    <row r="25" spans="2:19">
      <c r="B25" s="605"/>
      <c r="C25" s="603"/>
      <c r="D25" s="12">
        <f>IF('Credit Rating (Existing)'!$C$27="Generic", H25,
 IF('Credit Rating (Existing)'!$C$27="Manufacturing", J25,
  IF('Credit Rating (Existing)'!$C$27="Retail-Wholesale", L25,
   IF('Credit Rating (Existing)'!$C$27="Services", N25,
    IF('Credit Rating (Existing)'!$C$27="Import/ Assembly/ Distribution", P25,
     IF('Credit Rating (Existing)'!$C$27="Oil &amp; Gas", R25,
      IF('Credit Rating (Start-up)'!$D$25="Generic", H25,
       IF('Credit Rating (Start-up)'!$D$25="Manufacturing", J25,
        IF('Credit Rating (Start-up)'!$D$25="Retail-Wholesale", L25,
         IF('Credit Rating (Start-up)'!$D$25="Services", N25,
          IF('Credit Rating (Start-up)'!$D$25="Import/ Assembly/ Distribution", P25,
           IF('Credit Rating (Start-up)'!$D$25="Oil &amp; Gas", R25,
            "N/A"))))))))))))</f>
        <v>0.05</v>
      </c>
      <c r="E25" s="12">
        <f>IF('Credit Rating (Existing)'!$C$27="Generic", I25,
 IF('Credit Rating (Existing)'!$C$27="Manufacturing", K25,
  IF('Credit Rating (Existing)'!$C$27="Retail-Wholesale", M25,
   IF('Credit Rating (Existing)'!$C$27="Services", O25,
    IF('Credit Rating (Existing)'!$C$27="Import/ Assembly/ Distribution", Q25,
     IF('Credit Rating (Existing)'!$C$27="Oil &amp; Gas", S25,
      IF('Credit Rating (Start-up)'!$D$25="Generic", I25,
       IF('Credit Rating (Start-up)'!$D$25="Manufacturing", K25,
        IF('Credit Rating (Start-up)'!$D$25="Retail-Wholesale", M25,
         IF('Credit Rating (Start-up)'!$D$25="Services", O25,
          IF('Credit Rating (Start-up)'!$D$25="Import/ Assembly/ Distribution", Q25,
           IF('Credit Rating (Start-up)'!$D$25="Oil &amp; Gas", S25,
            "N/A"))))))))))))</f>
        <v>7.4999999999999997E-2</v>
      </c>
      <c r="F25" s="169">
        <v>3</v>
      </c>
      <c r="G25" s="154">
        <v>5</v>
      </c>
      <c r="H25" s="170"/>
      <c r="I25" s="206"/>
      <c r="J25" s="207">
        <v>0.15</v>
      </c>
      <c r="K25" s="208">
        <v>0.25</v>
      </c>
      <c r="L25" s="207">
        <v>0.15</v>
      </c>
      <c r="M25" s="208">
        <v>0.25</v>
      </c>
      <c r="N25" s="209">
        <v>0.55000000000000004</v>
      </c>
      <c r="O25" s="210">
        <v>0.75</v>
      </c>
      <c r="P25" s="207">
        <v>0.15</v>
      </c>
      <c r="Q25" s="208">
        <v>0.25</v>
      </c>
      <c r="R25" s="170">
        <v>0.05</v>
      </c>
      <c r="S25" s="333">
        <v>7.4999999999999997E-2</v>
      </c>
    </row>
    <row r="26" spans="2:19">
      <c r="B26" s="605"/>
      <c r="C26" s="603"/>
      <c r="D26" s="12">
        <f>IF('Credit Rating (Existing)'!$C$27="Generic", H26,
 IF('Credit Rating (Existing)'!$C$27="Manufacturing", J26,
  IF('Credit Rating (Existing)'!$C$27="Retail-Wholesale", L26,
   IF('Credit Rating (Existing)'!$C$27="Services", N26,
    IF('Credit Rating (Existing)'!$C$27="Import/ Assembly/ Distribution", P26,
     IF('Credit Rating (Existing)'!$C$27="Oil &amp; Gas", R26,
      IF('Credit Rating (Start-up)'!$D$25="Generic", H26,
       IF('Credit Rating (Start-up)'!$D$25="Manufacturing", J26,
        IF('Credit Rating (Start-up)'!$D$25="Retail-Wholesale", L26,
         IF('Credit Rating (Start-up)'!$D$25="Services", N26,
          IF('Credit Rating (Start-up)'!$D$25="Import/ Assembly/ Distribution", P26,
           IF('Credit Rating (Start-up)'!$D$25="Oil &amp; Gas", R26,
            "N/A"))))))))))))</f>
        <v>2.5000000000000001E-2</v>
      </c>
      <c r="E26" s="12">
        <f>IF('Credit Rating (Existing)'!$C$27="Generic", I26,
 IF('Credit Rating (Existing)'!$C$27="Manufacturing", K26,
  IF('Credit Rating (Existing)'!$C$27="Retail-Wholesale", M26,
   IF('Credit Rating (Existing)'!$C$27="Services", O26,
    IF('Credit Rating (Existing)'!$C$27="Import/ Assembly/ Distribution", Q26,
     IF('Credit Rating (Existing)'!$C$27="Oil &amp; Gas", S26,
      IF('Credit Rating (Start-up)'!$D$25="Generic", I26,
       IF('Credit Rating (Start-up)'!$D$25="Manufacturing", K26,
        IF('Credit Rating (Start-up)'!$D$25="Retail-Wholesale", M26,
         IF('Credit Rating (Start-up)'!$D$25="Services", O26,
          IF('Credit Rating (Start-up)'!$D$25="Import/ Assembly/ Distribution", Q26,
           IF('Credit Rating (Start-up)'!$D$25="Oil &amp; Gas", S26,
            "N/A"))))))))))))</f>
        <v>0.05</v>
      </c>
      <c r="F26" s="169">
        <v>2</v>
      </c>
      <c r="G26" s="154">
        <v>4</v>
      </c>
      <c r="H26" s="170"/>
      <c r="I26" s="206"/>
      <c r="J26" s="207">
        <v>0.05</v>
      </c>
      <c r="K26" s="208">
        <v>0.15</v>
      </c>
      <c r="L26" s="207">
        <v>0.05</v>
      </c>
      <c r="M26" s="208">
        <v>0.15</v>
      </c>
      <c r="N26" s="209">
        <v>0.35</v>
      </c>
      <c r="O26" s="210">
        <v>0.55000000000000004</v>
      </c>
      <c r="P26" s="207">
        <v>0.05</v>
      </c>
      <c r="Q26" s="208">
        <v>0.15</v>
      </c>
      <c r="R26" s="170">
        <v>2.5000000000000001E-2</v>
      </c>
      <c r="S26" s="333">
        <v>0.05</v>
      </c>
    </row>
    <row r="27" spans="2:19" ht="15.75" thickBot="1">
      <c r="B27" s="605"/>
      <c r="C27" s="604"/>
      <c r="D27" s="13" t="str">
        <f>IF('Credit Rating (Existing)'!$C$27="Generic", H27,
 IF('Credit Rating (Existing)'!$C$27="Manufacturing", J27,
  IF('Credit Rating (Existing)'!$C$27="Retail-Wholesale", L27,
   IF('Credit Rating (Existing)'!$C$27="Services", N27,
    IF('Credit Rating (Existing)'!$C$27="Import/ Assembly/ Distribution", P27,
     IF('Credit Rating (Existing)'!$C$27="Oil &amp; Gas", R27,
      IF('Credit Rating (Start-up)'!$D$25="Generic", H27,
       IF('Credit Rating (Start-up)'!$D$25="Manufacturing", J27,
        IF('Credit Rating (Start-up)'!$D$25="Retail-Wholesale", L27,
         IF('Credit Rating (Start-up)'!$D$25="Services", N27,
          IF('Credit Rating (Start-up)'!$D$25="Import/ Assembly/ Distribution", P27,
           IF('Credit Rating (Start-up)'!$D$25="Oil &amp; Gas", R27,
            "N/A"))))))))))))</f>
        <v>(∞)</v>
      </c>
      <c r="E27" s="13">
        <f>IF('Credit Rating (Existing)'!$C$27="Generic", I27,
 IF('Credit Rating (Existing)'!$C$27="Manufacturing", K27,
  IF('Credit Rating (Existing)'!$C$27="Retail-Wholesale", M27,
   IF('Credit Rating (Existing)'!$C$27="Services", O27,
    IF('Credit Rating (Existing)'!$C$27="Import/ Assembly/ Distribution", Q27,
     IF('Credit Rating (Existing)'!$C$27="Oil &amp; Gas", S27,
      IF('Credit Rating (Start-up)'!$D$25="Generic", I27,
       IF('Credit Rating (Start-up)'!$D$25="Manufacturing", K27,
        IF('Credit Rating (Start-up)'!$D$25="Retail-Wholesale", M27,
         IF('Credit Rating (Start-up)'!$D$25="Services", O27,
          IF('Credit Rating (Start-up)'!$D$25="Import/ Assembly/ Distribution", Q27,
           IF('Credit Rating (Start-up)'!$D$25="Oil &amp; Gas", S27,
            "N/A"))))))))))))</f>
        <v>2.5000000000000001E-2</v>
      </c>
      <c r="F27" s="174">
        <v>1</v>
      </c>
      <c r="G27" s="159">
        <v>1</v>
      </c>
      <c r="H27" s="160"/>
      <c r="I27" s="211"/>
      <c r="J27" s="212" t="s">
        <v>307</v>
      </c>
      <c r="K27" s="213">
        <v>0.05</v>
      </c>
      <c r="L27" s="212" t="s">
        <v>307</v>
      </c>
      <c r="M27" s="213">
        <v>0.05</v>
      </c>
      <c r="N27" s="214" t="s">
        <v>307</v>
      </c>
      <c r="O27" s="215">
        <v>0.35</v>
      </c>
      <c r="P27" s="212" t="s">
        <v>307</v>
      </c>
      <c r="Q27" s="213">
        <v>0.05</v>
      </c>
      <c r="R27" s="160" t="s">
        <v>307</v>
      </c>
      <c r="S27" s="334">
        <v>2.5000000000000001E-2</v>
      </c>
    </row>
    <row r="28" spans="2:19" ht="14.85" customHeight="1">
      <c r="B28" s="605"/>
      <c r="C28" s="599" t="str">
        <f>'Model Data'!B88</f>
        <v>PBT/ Total Assets (percentage)</v>
      </c>
      <c r="D28" s="11">
        <f>IF('Credit Rating (Existing)'!$C$27="Generic", H28,
 IF('Credit Rating (Existing)'!$C$27="Manufacturing", J28,
  IF('Credit Rating (Existing)'!$C$27="Retail-Wholesale", L28,
   IF('Credit Rating (Existing)'!$C$27="Services", N28,
    IF('Credit Rating (Existing)'!$C$27="Import/ Assembly/ Distribution", P28,
     IF('Credit Rating (Existing)'!$C$27="Oil &amp; Gas", R28,
      IF('Credit Rating (Start-up)'!$D$25="Generic", H28,
       IF('Credit Rating (Start-up)'!$D$25="Manufacturing", J28,
        IF('Credit Rating (Start-up)'!$D$25="Retail-Wholesale", L28,
         IF('Credit Rating (Start-up)'!$D$25="Services", N28,
          IF('Credit Rating (Start-up)'!$D$25="Import/ Assembly/ Distribution", P28,
           IF('Credit Rating (Start-up)'!$D$25="Oil &amp; Gas", R28,
            "N/A"))))))))))))</f>
        <v>0.04</v>
      </c>
      <c r="E28" s="11" t="str">
        <f>IF('Credit Rating (Existing)'!$C$27="Generic", I28,
 IF('Credit Rating (Existing)'!$C$27="Manufacturing", K28,
  IF('Credit Rating (Existing)'!$C$27="Retail-Wholesale", M28,
   IF('Credit Rating (Existing)'!$C$27="Services", O28,
    IF('Credit Rating (Existing)'!$C$27="Import/ Assembly/ Distribution", Q28,
     IF('Credit Rating (Existing)'!$C$27="Oil &amp; Gas", S28,
      IF('Credit Rating (Start-up)'!$D$25="Generic", I28,
       IF('Credit Rating (Start-up)'!$D$25="Manufacturing", K28,
        IF('Credit Rating (Start-up)'!$D$25="Retail-Wholesale", M28,
         IF('Credit Rating (Start-up)'!$D$25="Services", O28,
          IF('Credit Rating (Start-up)'!$D$25="Import/ Assembly/ Distribution", Q28,
           IF('Credit Rating (Start-up)'!$D$25="Oil &amp; Gas", S28,
            "N/A"))))))))))))</f>
        <v>∞</v>
      </c>
      <c r="F28" s="164">
        <v>5</v>
      </c>
      <c r="G28" s="149">
        <v>2</v>
      </c>
      <c r="H28" s="165"/>
      <c r="I28" s="166"/>
      <c r="J28" s="216">
        <v>0.04</v>
      </c>
      <c r="K28" s="183" t="s">
        <v>306</v>
      </c>
      <c r="L28" s="217">
        <v>0.4</v>
      </c>
      <c r="M28" s="180" t="s">
        <v>306</v>
      </c>
      <c r="N28" s="217">
        <v>0.4</v>
      </c>
      <c r="O28" s="218" t="s">
        <v>306</v>
      </c>
      <c r="P28" s="216">
        <v>0.04</v>
      </c>
      <c r="Q28" s="182" t="s">
        <v>306</v>
      </c>
      <c r="R28" s="216">
        <v>0.04</v>
      </c>
      <c r="S28" s="183" t="s">
        <v>306</v>
      </c>
    </row>
    <row r="29" spans="2:19">
      <c r="B29" s="605"/>
      <c r="C29" s="600"/>
      <c r="D29" s="12">
        <f>IF('Credit Rating (Existing)'!$C$27="Generic", H29,
 IF('Credit Rating (Existing)'!$C$27="Manufacturing", J29,
  IF('Credit Rating (Existing)'!$C$27="Retail-Wholesale", L29,
   IF('Credit Rating (Existing)'!$C$27="Services", N29,
    IF('Credit Rating (Existing)'!$C$27="Import/ Assembly/ Distribution", P29,
     IF('Credit Rating (Existing)'!$C$27="Oil &amp; Gas", R29,
      IF('Credit Rating (Start-up)'!$D$25="Generic", H29,
       IF('Credit Rating (Start-up)'!$D$25="Manufacturing", J29,
        IF('Credit Rating (Start-up)'!$D$25="Retail-Wholesale", L29,
         IF('Credit Rating (Start-up)'!$D$25="Services", N29,
          IF('Credit Rating (Start-up)'!$D$25="Import/ Assembly/ Distribution", P29,
           IF('Credit Rating (Start-up)'!$D$25="Oil &amp; Gas", R29,
            "N/A"))))))))))))</f>
        <v>0.03</v>
      </c>
      <c r="E29" s="12">
        <f>IF('Credit Rating (Existing)'!$C$27="Generic", I29,
 IF('Credit Rating (Existing)'!$C$27="Manufacturing", K29,
  IF('Credit Rating (Existing)'!$C$27="Retail-Wholesale", M29,
   IF('Credit Rating (Existing)'!$C$27="Services", O29,
    IF('Credit Rating (Existing)'!$C$27="Import/ Assembly/ Distribution", Q29,
     IF('Credit Rating (Existing)'!$C$27="Oil &amp; Gas", S29,
      IF('Credit Rating (Start-up)'!$D$25="Generic", I29,
       IF('Credit Rating (Start-up)'!$D$25="Manufacturing", K29,
        IF('Credit Rating (Start-up)'!$D$25="Retail-Wholesale", M29,
         IF('Credit Rating (Start-up)'!$D$25="Services", O29,
          IF('Credit Rating (Start-up)'!$D$25="Import/ Assembly/ Distribution", Q29,
           IF('Credit Rating (Start-up)'!$D$25="Oil &amp; Gas", S29,
            "N/A"))))))))))))</f>
        <v>0.04</v>
      </c>
      <c r="F29" s="169">
        <v>4</v>
      </c>
      <c r="G29" s="154">
        <v>3</v>
      </c>
      <c r="H29" s="170"/>
      <c r="I29" s="171"/>
      <c r="J29" s="219">
        <v>0.03</v>
      </c>
      <c r="K29" s="220">
        <v>0.04</v>
      </c>
      <c r="L29" s="221">
        <v>0.3</v>
      </c>
      <c r="M29" s="222">
        <v>0.4</v>
      </c>
      <c r="N29" s="221">
        <v>0.3</v>
      </c>
      <c r="O29" s="223">
        <v>0.4</v>
      </c>
      <c r="P29" s="219">
        <v>0.03</v>
      </c>
      <c r="Q29" s="224">
        <v>0.04</v>
      </c>
      <c r="R29" s="219">
        <v>0.03</v>
      </c>
      <c r="S29" s="220">
        <v>0.04</v>
      </c>
    </row>
    <row r="30" spans="2:19">
      <c r="B30" s="605"/>
      <c r="C30" s="600"/>
      <c r="D30" s="12">
        <f>IF('Credit Rating (Existing)'!$C$27="Generic", H30,
 IF('Credit Rating (Existing)'!$C$27="Manufacturing", J30,
  IF('Credit Rating (Existing)'!$C$27="Retail-Wholesale", L30,
   IF('Credit Rating (Existing)'!$C$27="Services", N30,
    IF('Credit Rating (Existing)'!$C$27="Import/ Assembly/ Distribution", P30,
     IF('Credit Rating (Existing)'!$C$27="Oil &amp; Gas", R30,
      IF('Credit Rating (Start-up)'!$D$25="Generic", H30,
       IF('Credit Rating (Start-up)'!$D$25="Manufacturing", J30,
        IF('Credit Rating (Start-up)'!$D$25="Retail-Wholesale", L30,
         IF('Credit Rating (Start-up)'!$D$25="Services", N30,
          IF('Credit Rating (Start-up)'!$D$25="Import/ Assembly/ Distribution", P30,
           IF('Credit Rating (Start-up)'!$D$25="Oil &amp; Gas", R30,
            "N/A"))))))))))))</f>
        <v>0.02</v>
      </c>
      <c r="E30" s="12">
        <f>IF('Credit Rating (Existing)'!$C$27="Generic", I30,
 IF('Credit Rating (Existing)'!$C$27="Manufacturing", K30,
  IF('Credit Rating (Existing)'!$C$27="Retail-Wholesale", M30,
   IF('Credit Rating (Existing)'!$C$27="Services", O30,
    IF('Credit Rating (Existing)'!$C$27="Import/ Assembly/ Distribution", Q30,
     IF('Credit Rating (Existing)'!$C$27="Oil &amp; Gas", S30,
      IF('Credit Rating (Start-up)'!$D$25="Generic", I30,
       IF('Credit Rating (Start-up)'!$D$25="Manufacturing", K30,
        IF('Credit Rating (Start-up)'!$D$25="Retail-Wholesale", M30,
         IF('Credit Rating (Start-up)'!$D$25="Services", O30,
          IF('Credit Rating (Start-up)'!$D$25="Import/ Assembly/ Distribution", Q30,
           IF('Credit Rating (Start-up)'!$D$25="Oil &amp; Gas", S30,
            "N/A"))))))))))))</f>
        <v>0.03</v>
      </c>
      <c r="F30" s="169">
        <v>3</v>
      </c>
      <c r="G30" s="154">
        <v>5</v>
      </c>
      <c r="H30" s="170"/>
      <c r="I30" s="171"/>
      <c r="J30" s="219">
        <v>0.02</v>
      </c>
      <c r="K30" s="220">
        <v>0.03</v>
      </c>
      <c r="L30" s="221">
        <v>0.2</v>
      </c>
      <c r="M30" s="222">
        <v>0.3</v>
      </c>
      <c r="N30" s="221">
        <v>0.2</v>
      </c>
      <c r="O30" s="223">
        <v>0.3</v>
      </c>
      <c r="P30" s="219">
        <v>0.02</v>
      </c>
      <c r="Q30" s="224">
        <v>0.03</v>
      </c>
      <c r="R30" s="219">
        <v>0.02</v>
      </c>
      <c r="S30" s="220">
        <v>0.03</v>
      </c>
    </row>
    <row r="31" spans="2:19">
      <c r="B31" s="605"/>
      <c r="C31" s="600"/>
      <c r="D31" s="12">
        <f>IF('Credit Rating (Existing)'!$C$27="Generic", H31,
 IF('Credit Rating (Existing)'!$C$27="Manufacturing", J31,
  IF('Credit Rating (Existing)'!$C$27="Retail-Wholesale", L31,
   IF('Credit Rating (Existing)'!$C$27="Services", N31,
    IF('Credit Rating (Existing)'!$C$27="Import/ Assembly/ Distribution", P31,
     IF('Credit Rating (Existing)'!$C$27="Oil &amp; Gas", R31,
      IF('Credit Rating (Start-up)'!$D$25="Generic", H31,
       IF('Credit Rating (Start-up)'!$D$25="Manufacturing", J31,
        IF('Credit Rating (Start-up)'!$D$25="Retail-Wholesale", L31,
         IF('Credit Rating (Start-up)'!$D$25="Services", N31,
          IF('Credit Rating (Start-up)'!$D$25="Import/ Assembly/ Distribution", P31,
           IF('Credit Rating (Start-up)'!$D$25="Oil &amp; Gas", R31,
            "N/A"))))))))))))</f>
        <v>0.01</v>
      </c>
      <c r="E31" s="12">
        <f>IF('Credit Rating (Existing)'!$C$27="Generic", I31,
 IF('Credit Rating (Existing)'!$C$27="Manufacturing", K31,
  IF('Credit Rating (Existing)'!$C$27="Retail-Wholesale", M31,
   IF('Credit Rating (Existing)'!$C$27="Services", O31,
    IF('Credit Rating (Existing)'!$C$27="Import/ Assembly/ Distribution", Q31,
     IF('Credit Rating (Existing)'!$C$27="Oil &amp; Gas", S31,
      IF('Credit Rating (Start-up)'!$D$25="Generic", I31,
       IF('Credit Rating (Start-up)'!$D$25="Manufacturing", K31,
        IF('Credit Rating (Start-up)'!$D$25="Retail-Wholesale", M31,
         IF('Credit Rating (Start-up)'!$D$25="Services", O31,
          IF('Credit Rating (Start-up)'!$D$25="Import/ Assembly/ Distribution", Q31,
           IF('Credit Rating (Start-up)'!$D$25="Oil &amp; Gas", S31,
            "N/A"))))))))))))</f>
        <v>0.02</v>
      </c>
      <c r="F31" s="169">
        <v>2</v>
      </c>
      <c r="G31" s="154">
        <v>4</v>
      </c>
      <c r="H31" s="170"/>
      <c r="I31" s="171"/>
      <c r="J31" s="219">
        <v>0.01</v>
      </c>
      <c r="K31" s="220">
        <v>0.02</v>
      </c>
      <c r="L31" s="221">
        <v>0.1</v>
      </c>
      <c r="M31" s="222">
        <v>0.2</v>
      </c>
      <c r="N31" s="221">
        <v>0.1</v>
      </c>
      <c r="O31" s="223">
        <v>0.2</v>
      </c>
      <c r="P31" s="219">
        <v>0.01</v>
      </c>
      <c r="Q31" s="224">
        <v>0.02</v>
      </c>
      <c r="R31" s="219">
        <v>0.01</v>
      </c>
      <c r="S31" s="220">
        <v>0.02</v>
      </c>
    </row>
    <row r="32" spans="2:19" ht="15.75" thickBot="1">
      <c r="B32" s="605"/>
      <c r="C32" s="601"/>
      <c r="D32" s="13" t="str">
        <f>IF('Credit Rating (Existing)'!$C$27="Generic", H32,
 IF('Credit Rating (Existing)'!$C$27="Manufacturing", J32,
  IF('Credit Rating (Existing)'!$C$27="Retail-Wholesale", L32,
   IF('Credit Rating (Existing)'!$C$27="Services", N32,
    IF('Credit Rating (Existing)'!$C$27="Import/ Assembly/ Distribution", P32,
     IF('Credit Rating (Existing)'!$C$27="Oil &amp; Gas", R32,
      IF('Credit Rating (Start-up)'!$D$25="Generic", H32,
       IF('Credit Rating (Start-up)'!$D$25="Manufacturing", J32,
        IF('Credit Rating (Start-up)'!$D$25="Retail-Wholesale", L32,
         IF('Credit Rating (Start-up)'!$D$25="Services", N32,
          IF('Credit Rating (Start-up)'!$D$25="Import/ Assembly/ Distribution", P32,
           IF('Credit Rating (Start-up)'!$D$25="Oil &amp; Gas", R32,
            "N/A"))))))))))))</f>
        <v>(∞)</v>
      </c>
      <c r="E32" s="13">
        <f>IF('Credit Rating (Existing)'!$C$27="Generic", I32,
 IF('Credit Rating (Existing)'!$C$27="Manufacturing", K32,
  IF('Credit Rating (Existing)'!$C$27="Retail-Wholesale", M32,
   IF('Credit Rating (Existing)'!$C$27="Services", O32,
    IF('Credit Rating (Existing)'!$C$27="Import/ Assembly/ Distribution", Q32,
     IF('Credit Rating (Existing)'!$C$27="Oil &amp; Gas", S32,
      IF('Credit Rating (Start-up)'!$D$25="Generic", I32,
       IF('Credit Rating (Start-up)'!$D$25="Manufacturing", K32,
        IF('Credit Rating (Start-up)'!$D$25="Retail-Wholesale", M32,
         IF('Credit Rating (Start-up)'!$D$25="Services", O32,
          IF('Credit Rating (Start-up)'!$D$25="Import/ Assembly/ Distribution", Q32,
           IF('Credit Rating (Start-up)'!$D$25="Oil &amp; Gas", S32,
            "N/A"))))))))))))</f>
        <v>0.01</v>
      </c>
      <c r="F32" s="174">
        <v>1</v>
      </c>
      <c r="G32" s="159">
        <v>1</v>
      </c>
      <c r="H32" s="160"/>
      <c r="I32" s="175"/>
      <c r="J32" s="197" t="s">
        <v>307</v>
      </c>
      <c r="K32" s="225">
        <v>0.01</v>
      </c>
      <c r="L32" s="195">
        <v>0</v>
      </c>
      <c r="M32" s="226">
        <v>0.1</v>
      </c>
      <c r="N32" s="195">
        <v>0</v>
      </c>
      <c r="O32" s="227">
        <v>0.1</v>
      </c>
      <c r="P32" s="197" t="s">
        <v>307</v>
      </c>
      <c r="Q32" s="228">
        <v>0.01</v>
      </c>
      <c r="R32" s="197" t="s">
        <v>307</v>
      </c>
      <c r="S32" s="225">
        <v>0.01</v>
      </c>
    </row>
    <row r="33" spans="2:19" ht="14.85" customHeight="1">
      <c r="B33" s="605"/>
      <c r="C33" s="602" t="str">
        <f>'Model Data'!B89</f>
        <v>Sales Growth (percentage)</v>
      </c>
      <c r="D33" s="11">
        <f>IF('Credit Rating (Existing)'!$C$27="Generic", H33,
 IF('Credit Rating (Existing)'!$C$27="Manufacturing", J33,
  IF('Credit Rating (Existing)'!$C$27="Retail-Wholesale", L33,
   IF('Credit Rating (Existing)'!$C$27="Services", N33,
    IF('Credit Rating (Existing)'!$C$27="Import/ Assembly/ Distribution", P33,
     IF('Credit Rating (Existing)'!$C$27="Oil &amp; Gas", R33,
      IF('Credit Rating (Start-up)'!$D$25="Generic", H33,
       IF('Credit Rating (Start-up)'!$D$25="Manufacturing", J33,
        IF('Credit Rating (Start-up)'!$D$25="Retail-Wholesale", L33,
         IF('Credit Rating (Start-up)'!$D$25="Services", N33,
          IF('Credit Rating (Start-up)'!$D$25="Import/ Assembly/ Distribution", P33,
           IF('Credit Rating (Start-up)'!$D$25="Oil &amp; Gas", R33,
            "N/A"))))))))))))</f>
        <v>0.25</v>
      </c>
      <c r="E33" s="11" t="str">
        <f>IF('Credit Rating (Existing)'!$C$27="Generic", I33,
 IF('Credit Rating (Existing)'!$C$27="Manufacturing", K33,
  IF('Credit Rating (Existing)'!$C$27="Retail-Wholesale", M33,
   IF('Credit Rating (Existing)'!$C$27="Services", O33,
    IF('Credit Rating (Existing)'!$C$27="Import/ Assembly/ Distribution", Q33,
     IF('Credit Rating (Existing)'!$C$27="Oil &amp; Gas", S33,
      IF('Credit Rating (Start-up)'!$D$25="Generic", I33,
       IF('Credit Rating (Start-up)'!$D$25="Manufacturing", K33,
        IF('Credit Rating (Start-up)'!$D$25="Retail-Wholesale", M33,
         IF('Credit Rating (Start-up)'!$D$25="Services", O33,
          IF('Credit Rating (Start-up)'!$D$25="Import/ Assembly/ Distribution", Q33,
           IF('Credit Rating (Start-up)'!$D$25="Oil &amp; Gas", S33,
            "N/A"))))))))))))</f>
        <v>∞</v>
      </c>
      <c r="F33" s="164">
        <v>5</v>
      </c>
      <c r="G33" s="149">
        <v>2</v>
      </c>
      <c r="H33" s="165"/>
      <c r="I33" s="166"/>
      <c r="J33" s="229">
        <v>0.25</v>
      </c>
      <c r="K33" s="230" t="s">
        <v>306</v>
      </c>
      <c r="L33" s="229">
        <v>0.25</v>
      </c>
      <c r="M33" s="230" t="s">
        <v>306</v>
      </c>
      <c r="N33" s="229">
        <v>0.25</v>
      </c>
      <c r="O33" s="230" t="s">
        <v>306</v>
      </c>
      <c r="P33" s="229">
        <v>0.25</v>
      </c>
      <c r="Q33" s="230" t="s">
        <v>306</v>
      </c>
      <c r="R33" s="229">
        <v>0.25</v>
      </c>
      <c r="S33" s="329" t="s">
        <v>306</v>
      </c>
    </row>
    <row r="34" spans="2:19">
      <c r="B34" s="605"/>
      <c r="C34" s="603"/>
      <c r="D34" s="12">
        <f>IF('Credit Rating (Existing)'!$C$27="Generic", H34,
 IF('Credit Rating (Existing)'!$C$27="Manufacturing", J34,
  IF('Credit Rating (Existing)'!$C$27="Retail-Wholesale", L34,
   IF('Credit Rating (Existing)'!$C$27="Services", N34,
    IF('Credit Rating (Existing)'!$C$27="Import/ Assembly/ Distribution", P34,
     IF('Credit Rating (Existing)'!$C$27="Oil &amp; Gas", R34,
      IF('Credit Rating (Start-up)'!$D$25="Generic", H34,
       IF('Credit Rating (Start-up)'!$D$25="Manufacturing", J34,
        IF('Credit Rating (Start-up)'!$D$25="Retail-Wholesale", L34,
         IF('Credit Rating (Start-up)'!$D$25="Services", N34,
          IF('Credit Rating (Start-up)'!$D$25="Import/ Assembly/ Distribution", P34,
           IF('Credit Rating (Start-up)'!$D$25="Oil &amp; Gas", R34,
            "N/A"))))))))))))</f>
        <v>0.2</v>
      </c>
      <c r="E34" s="12">
        <f>IF('Credit Rating (Existing)'!$C$27="Generic", I34,
 IF('Credit Rating (Existing)'!$C$27="Manufacturing", K34,
  IF('Credit Rating (Existing)'!$C$27="Retail-Wholesale", M34,
   IF('Credit Rating (Existing)'!$C$27="Services", O34,
    IF('Credit Rating (Existing)'!$C$27="Import/ Assembly/ Distribution", Q34,
     IF('Credit Rating (Existing)'!$C$27="Oil &amp; Gas", S34,
      IF('Credit Rating (Start-up)'!$D$25="Generic", I34,
       IF('Credit Rating (Start-up)'!$D$25="Manufacturing", K34,
        IF('Credit Rating (Start-up)'!$D$25="Retail-Wholesale", M34,
         IF('Credit Rating (Start-up)'!$D$25="Services", O34,
          IF('Credit Rating (Start-up)'!$D$25="Import/ Assembly/ Distribution", Q34,
           IF('Credit Rating (Start-up)'!$D$25="Oil &amp; Gas", S34,
            "N/A"))))))))))))</f>
        <v>0.25</v>
      </c>
      <c r="F34" s="169">
        <v>4</v>
      </c>
      <c r="G34" s="154">
        <v>3</v>
      </c>
      <c r="H34" s="170"/>
      <c r="I34" s="171"/>
      <c r="J34" s="231">
        <v>0.2</v>
      </c>
      <c r="K34" s="232">
        <v>0.25</v>
      </c>
      <c r="L34" s="231">
        <v>0.2</v>
      </c>
      <c r="M34" s="232">
        <v>0.25</v>
      </c>
      <c r="N34" s="231">
        <v>0.2</v>
      </c>
      <c r="O34" s="232">
        <v>0.25</v>
      </c>
      <c r="P34" s="231">
        <v>0.2</v>
      </c>
      <c r="Q34" s="232">
        <v>0.25</v>
      </c>
      <c r="R34" s="231">
        <v>0.2</v>
      </c>
      <c r="S34" s="330">
        <v>0.25</v>
      </c>
    </row>
    <row r="35" spans="2:19">
      <c r="B35" s="605"/>
      <c r="C35" s="603"/>
      <c r="D35" s="12">
        <f>IF('Credit Rating (Existing)'!$C$27="Generic", H35,
 IF('Credit Rating (Existing)'!$C$27="Manufacturing", J35,
  IF('Credit Rating (Existing)'!$C$27="Retail-Wholesale", L35,
   IF('Credit Rating (Existing)'!$C$27="Services", N35,
    IF('Credit Rating (Existing)'!$C$27="Import/ Assembly/ Distribution", P35,
     IF('Credit Rating (Existing)'!$C$27="Oil &amp; Gas", R35,
      IF('Credit Rating (Start-up)'!$D$25="Generic", H35,
       IF('Credit Rating (Start-up)'!$D$25="Manufacturing", J35,
        IF('Credit Rating (Start-up)'!$D$25="Retail-Wholesale", L35,
         IF('Credit Rating (Start-up)'!$D$25="Services", N35,
          IF('Credit Rating (Start-up)'!$D$25="Import/ Assembly/ Distribution", P35,
           IF('Credit Rating (Start-up)'!$D$25="Oil &amp; Gas", R35,
            "N/A"))))))))))))</f>
        <v>0.1</v>
      </c>
      <c r="E35" s="12">
        <f>IF('Credit Rating (Existing)'!$C$27="Generic", I35,
 IF('Credit Rating (Existing)'!$C$27="Manufacturing", K35,
  IF('Credit Rating (Existing)'!$C$27="Retail-Wholesale", M35,
   IF('Credit Rating (Existing)'!$C$27="Services", O35,
    IF('Credit Rating (Existing)'!$C$27="Import/ Assembly/ Distribution", Q35,
     IF('Credit Rating (Existing)'!$C$27="Oil &amp; Gas", S35,
      IF('Credit Rating (Start-up)'!$D$25="Generic", I35,
       IF('Credit Rating (Start-up)'!$D$25="Manufacturing", K35,
        IF('Credit Rating (Start-up)'!$D$25="Retail-Wholesale", M35,
         IF('Credit Rating (Start-up)'!$D$25="Services", O35,
          IF('Credit Rating (Start-up)'!$D$25="Import/ Assembly/ Distribution", Q35,
           IF('Credit Rating (Start-up)'!$D$25="Oil &amp; Gas", S35,
            "N/A"))))))))))))</f>
        <v>0.2</v>
      </c>
      <c r="F35" s="169">
        <v>3</v>
      </c>
      <c r="G35" s="154">
        <v>5</v>
      </c>
      <c r="H35" s="170"/>
      <c r="I35" s="171"/>
      <c r="J35" s="231">
        <v>0.1</v>
      </c>
      <c r="K35" s="232">
        <v>0.2</v>
      </c>
      <c r="L35" s="231">
        <v>0.1</v>
      </c>
      <c r="M35" s="232">
        <v>0.2</v>
      </c>
      <c r="N35" s="231">
        <v>0.1</v>
      </c>
      <c r="O35" s="232">
        <v>0.2</v>
      </c>
      <c r="P35" s="231">
        <v>0.1</v>
      </c>
      <c r="Q35" s="232">
        <v>0.2</v>
      </c>
      <c r="R35" s="231">
        <v>0.1</v>
      </c>
      <c r="S35" s="330">
        <v>0.2</v>
      </c>
    </row>
    <row r="36" spans="2:19">
      <c r="B36" s="605"/>
      <c r="C36" s="603"/>
      <c r="D36" s="12">
        <f>IF('Credit Rating (Existing)'!$C$27="Generic", H36,
 IF('Credit Rating (Existing)'!$C$27="Manufacturing", J36,
  IF('Credit Rating (Existing)'!$C$27="Retail-Wholesale", L36,
   IF('Credit Rating (Existing)'!$C$27="Services", N36,
    IF('Credit Rating (Existing)'!$C$27="Import/ Assembly/ Distribution", P36,
     IF('Credit Rating (Existing)'!$C$27="Oil &amp; Gas", R36,
      IF('Credit Rating (Start-up)'!$D$25="Generic", H36,
       IF('Credit Rating (Start-up)'!$D$25="Manufacturing", J36,
        IF('Credit Rating (Start-up)'!$D$25="Retail-Wholesale", L36,
         IF('Credit Rating (Start-up)'!$D$25="Services", N36,
          IF('Credit Rating (Start-up)'!$D$25="Import/ Assembly/ Distribution", P36,
           IF('Credit Rating (Start-up)'!$D$25="Oil &amp; Gas", R36,
            "N/A"))))))))))))</f>
        <v>0</v>
      </c>
      <c r="E36" s="12">
        <f>IF('Credit Rating (Existing)'!$C$27="Generic", I36,
 IF('Credit Rating (Existing)'!$C$27="Manufacturing", K36,
  IF('Credit Rating (Existing)'!$C$27="Retail-Wholesale", M36,
   IF('Credit Rating (Existing)'!$C$27="Services", O36,
    IF('Credit Rating (Existing)'!$C$27="Import/ Assembly/ Distribution", Q36,
     IF('Credit Rating (Existing)'!$C$27="Oil &amp; Gas", S36,
      IF('Credit Rating (Start-up)'!$D$25="Generic", I36,
       IF('Credit Rating (Start-up)'!$D$25="Manufacturing", K36,
        IF('Credit Rating (Start-up)'!$D$25="Retail-Wholesale", M36,
         IF('Credit Rating (Start-up)'!$D$25="Services", O36,
          IF('Credit Rating (Start-up)'!$D$25="Import/ Assembly/ Distribution", Q36,
           IF('Credit Rating (Start-up)'!$D$25="Oil &amp; Gas", S36,
            "N/A"))))))))))))</f>
        <v>0.1</v>
      </c>
      <c r="F36" s="169">
        <v>2</v>
      </c>
      <c r="G36" s="154">
        <v>4</v>
      </c>
      <c r="H36" s="170"/>
      <c r="I36" s="171"/>
      <c r="J36" s="231">
        <v>0</v>
      </c>
      <c r="K36" s="232">
        <v>0.1</v>
      </c>
      <c r="L36" s="231">
        <v>0</v>
      </c>
      <c r="M36" s="232">
        <v>0.1</v>
      </c>
      <c r="N36" s="231">
        <v>0</v>
      </c>
      <c r="O36" s="232">
        <v>0.1</v>
      </c>
      <c r="P36" s="231">
        <v>0</v>
      </c>
      <c r="Q36" s="232">
        <v>0.1</v>
      </c>
      <c r="R36" s="231">
        <v>0</v>
      </c>
      <c r="S36" s="330">
        <v>0.1</v>
      </c>
    </row>
    <row r="37" spans="2:19" ht="15.75" thickBot="1">
      <c r="B37" s="605"/>
      <c r="C37" s="604"/>
      <c r="D37" s="13" t="str">
        <f>IF('Credit Rating (Existing)'!$C$27="Generic", H37,
 IF('Credit Rating (Existing)'!$C$27="Manufacturing", J37,
  IF('Credit Rating (Existing)'!$C$27="Retail-Wholesale", L37,
   IF('Credit Rating (Existing)'!$C$27="Services", N37,
    IF('Credit Rating (Existing)'!$C$27="Import/ Assembly/ Distribution", P37,
     IF('Credit Rating (Existing)'!$C$27="Oil &amp; Gas", R37,
      IF('Credit Rating (Start-up)'!$D$25="Generic", H37,
       IF('Credit Rating (Start-up)'!$D$25="Manufacturing", J37,
        IF('Credit Rating (Start-up)'!$D$25="Retail-Wholesale", L37,
         IF('Credit Rating (Start-up)'!$D$25="Services", N37,
          IF('Credit Rating (Start-up)'!$D$25="Import/ Assembly/ Distribution", P37,
           IF('Credit Rating (Start-up)'!$D$25="Oil &amp; Gas", R37,
            "N/A"))))))))))))</f>
        <v>(∞)</v>
      </c>
      <c r="E37" s="13">
        <f>IF('Credit Rating (Existing)'!$C$27="Generic", I37,
 IF('Credit Rating (Existing)'!$C$27="Manufacturing", K37,
  IF('Credit Rating (Existing)'!$C$27="Retail-Wholesale", M37,
   IF('Credit Rating (Existing)'!$C$27="Services", O37,
    IF('Credit Rating (Existing)'!$C$27="Import/ Assembly/ Distribution", Q37,
     IF('Credit Rating (Existing)'!$C$27="Oil &amp; Gas", S37,
      IF('Credit Rating (Start-up)'!$D$25="Generic", I37,
       IF('Credit Rating (Start-up)'!$D$25="Manufacturing", K37,
        IF('Credit Rating (Start-up)'!$D$25="Retail-Wholesale", M37,
         IF('Credit Rating (Start-up)'!$D$25="Services", O37,
          IF('Credit Rating (Start-up)'!$D$25="Import/ Assembly/ Distribution", Q37,
           IF('Credit Rating (Start-up)'!$D$25="Oil &amp; Gas", S37,
            "N/A"))))))))))))</f>
        <v>0</v>
      </c>
      <c r="F37" s="174">
        <v>1</v>
      </c>
      <c r="G37" s="159">
        <v>1</v>
      </c>
      <c r="H37" s="160"/>
      <c r="I37" s="175"/>
      <c r="J37" s="233" t="s">
        <v>307</v>
      </c>
      <c r="K37" s="234">
        <v>0</v>
      </c>
      <c r="L37" s="233" t="s">
        <v>307</v>
      </c>
      <c r="M37" s="234">
        <v>0</v>
      </c>
      <c r="N37" s="233" t="s">
        <v>307</v>
      </c>
      <c r="O37" s="234">
        <v>0</v>
      </c>
      <c r="P37" s="233" t="s">
        <v>307</v>
      </c>
      <c r="Q37" s="234">
        <v>0</v>
      </c>
      <c r="R37" s="233" t="s">
        <v>307</v>
      </c>
      <c r="S37" s="331">
        <v>0</v>
      </c>
    </row>
    <row r="38" spans="2:19" ht="14.85" customHeight="1">
      <c r="B38" s="606" t="s">
        <v>93</v>
      </c>
      <c r="C38" s="599" t="str">
        <f>'Model Data'!B90</f>
        <v>Total Debt/ Capital (ratio)</v>
      </c>
      <c r="D38" s="2">
        <f>IF('Credit Rating (Existing)'!$C$27="Generic", H38,
 IF('Credit Rating (Existing)'!$C$27="Manufacturing", J38,
  IF('Credit Rating (Existing)'!$C$27="Retail-Wholesale", L38,
   IF('Credit Rating (Existing)'!$C$27="Services", N38,
    IF('Credit Rating (Existing)'!$C$27="Import/ Assembly/ Distribution", P38,
     IF('Credit Rating (Existing)'!$C$27="Oil &amp; Gas", R38,
      IF('Credit Rating (Start-up)'!$D$25="Generic", H38,
       IF('Credit Rating (Start-up)'!$D$25="Manufacturing", J38,
        IF('Credit Rating (Start-up)'!$D$25="Retail-Wholesale", L38,
         IF('Credit Rating (Start-up)'!$D$25="Services", N38,
          IF('Credit Rating (Start-up)'!$D$25="Import/ Assembly/ Distribution", P38,
           IF('Credit Rating (Start-up)'!$D$25="Oil &amp; Gas", R38,
            "N/A"))))))))))))</f>
        <v>4</v>
      </c>
      <c r="E38" s="2" t="str">
        <f>IF('Credit Rating (Existing)'!$C$27="Generic", I38,
 IF('Credit Rating (Existing)'!$C$27="Manufacturing", K38,
  IF('Credit Rating (Existing)'!$C$27="Retail-Wholesale", M38,
   IF('Credit Rating (Existing)'!$C$27="Services", O38,
    IF('Credit Rating (Existing)'!$C$27="Import/ Assembly/ Distribution", Q38,
     IF('Credit Rating (Existing)'!$C$27="Oil &amp; Gas", S38,
      IF('Credit Rating (Start-up)'!$D$25="Generic", I38,
       IF('Credit Rating (Start-up)'!$D$25="Manufacturing", K38,
        IF('Credit Rating (Start-up)'!$D$25="Retail-Wholesale", M38,
         IF('Credit Rating (Start-up)'!$D$25="Services", O38,
          IF('Credit Rating (Start-up)'!$D$25="Import/ Assembly/ Distribution", Q38,
           IF('Credit Rating (Start-up)'!$D$25="Oil &amp; Gas", S38,
            "N/A"))))))))))))</f>
        <v>∞</v>
      </c>
      <c r="F38" s="164">
        <v>1</v>
      </c>
      <c r="G38" s="149">
        <v>1</v>
      </c>
      <c r="H38" s="235"/>
      <c r="I38" s="166"/>
      <c r="J38" s="236">
        <v>4</v>
      </c>
      <c r="K38" s="180" t="s">
        <v>306</v>
      </c>
      <c r="L38" s="237">
        <v>2</v>
      </c>
      <c r="M38" s="238" t="s">
        <v>306</v>
      </c>
      <c r="N38" s="237">
        <v>2</v>
      </c>
      <c r="O38" s="239" t="s">
        <v>306</v>
      </c>
      <c r="P38" s="240">
        <v>3</v>
      </c>
      <c r="Q38" s="182" t="s">
        <v>306</v>
      </c>
      <c r="R38" s="236">
        <v>4</v>
      </c>
      <c r="S38" s="218" t="s">
        <v>306</v>
      </c>
    </row>
    <row r="39" spans="2:19">
      <c r="B39" s="606"/>
      <c r="C39" s="600"/>
      <c r="D39" s="3">
        <f>IF('Credit Rating (Existing)'!$C$27="Generic", H39,
 IF('Credit Rating (Existing)'!$C$27="Manufacturing", J39,
  IF('Credit Rating (Existing)'!$C$27="Retail-Wholesale", L39,
   IF('Credit Rating (Existing)'!$C$27="Services", N39,
    IF('Credit Rating (Existing)'!$C$27="Import/ Assembly/ Distribution", P39,
     IF('Credit Rating (Existing)'!$C$27="Oil &amp; Gas", R39,
      IF('Credit Rating (Start-up)'!$D$25="Generic", H39,
       IF('Credit Rating (Start-up)'!$D$25="Manufacturing", J39,
        IF('Credit Rating (Start-up)'!$D$25="Retail-Wholesale", L39,
         IF('Credit Rating (Start-up)'!$D$25="Services", N39,
          IF('Credit Rating (Start-up)'!$D$25="Import/ Assembly/ Distribution", P39,
           IF('Credit Rating (Start-up)'!$D$25="Oil &amp; Gas", R39,
            "N/A"))))))))))))</f>
        <v>3</v>
      </c>
      <c r="E39" s="3">
        <f>IF('Credit Rating (Existing)'!$C$27="Generic", I39,
 IF('Credit Rating (Existing)'!$C$27="Manufacturing", K39,
  IF('Credit Rating (Existing)'!$C$27="Retail-Wholesale", M39,
   IF('Credit Rating (Existing)'!$C$27="Services", O39,
    IF('Credit Rating (Existing)'!$C$27="Import/ Assembly/ Distribution", Q39,
     IF('Credit Rating (Existing)'!$C$27="Oil &amp; Gas", S39,
      IF('Credit Rating (Start-up)'!$D$25="Generic", I39,
       IF('Credit Rating (Start-up)'!$D$25="Manufacturing", K39,
        IF('Credit Rating (Start-up)'!$D$25="Retail-Wholesale", M39,
         IF('Credit Rating (Start-up)'!$D$25="Services", O39,
          IF('Credit Rating (Start-up)'!$D$25="Import/ Assembly/ Distribution", Q39,
           IF('Credit Rating (Start-up)'!$D$25="Oil &amp; Gas", S39,
            "N/A"))))))))))))</f>
        <v>4</v>
      </c>
      <c r="F39" s="169">
        <v>2</v>
      </c>
      <c r="G39" s="154">
        <v>2</v>
      </c>
      <c r="H39" s="155"/>
      <c r="I39" s="241"/>
      <c r="J39" s="242">
        <v>3</v>
      </c>
      <c r="K39" s="243">
        <v>4</v>
      </c>
      <c r="L39" s="244">
        <v>1.5</v>
      </c>
      <c r="M39" s="245">
        <v>2</v>
      </c>
      <c r="N39" s="244">
        <v>1.5</v>
      </c>
      <c r="O39" s="246">
        <v>2</v>
      </c>
      <c r="P39" s="247">
        <v>2</v>
      </c>
      <c r="Q39" s="248">
        <v>3</v>
      </c>
      <c r="R39" s="242">
        <v>3</v>
      </c>
      <c r="S39" s="335">
        <v>4</v>
      </c>
    </row>
    <row r="40" spans="2:19">
      <c r="B40" s="606"/>
      <c r="C40" s="600"/>
      <c r="D40" s="3">
        <f>IF('Credit Rating (Existing)'!$C$27="Generic", H40,
 IF('Credit Rating (Existing)'!$C$27="Manufacturing", J40,
  IF('Credit Rating (Existing)'!$C$27="Retail-Wholesale", L40,
   IF('Credit Rating (Existing)'!$C$27="Services", N40,
    IF('Credit Rating (Existing)'!$C$27="Import/ Assembly/ Distribution", P40,
     IF('Credit Rating (Existing)'!$C$27="Oil &amp; Gas", R40,
      IF('Credit Rating (Start-up)'!$D$25="Generic", H40,
       IF('Credit Rating (Start-up)'!$D$25="Manufacturing", J40,
        IF('Credit Rating (Start-up)'!$D$25="Retail-Wholesale", L40,
         IF('Credit Rating (Start-up)'!$D$25="Services", N40,
          IF('Credit Rating (Start-up)'!$D$25="Import/ Assembly/ Distribution", P40,
           IF('Credit Rating (Start-up)'!$D$25="Oil &amp; Gas", R40,
            "N/A"))))))))))))</f>
        <v>2</v>
      </c>
      <c r="E40" s="3">
        <f>IF('Credit Rating (Existing)'!$C$27="Generic", I40,
 IF('Credit Rating (Existing)'!$C$27="Manufacturing", K40,
  IF('Credit Rating (Existing)'!$C$27="Retail-Wholesale", M40,
   IF('Credit Rating (Existing)'!$C$27="Services", O40,
    IF('Credit Rating (Existing)'!$C$27="Import/ Assembly/ Distribution", Q40,
     IF('Credit Rating (Existing)'!$C$27="Oil &amp; Gas", S40,
      IF('Credit Rating (Start-up)'!$D$25="Generic", I40,
       IF('Credit Rating (Start-up)'!$D$25="Manufacturing", K40,
        IF('Credit Rating (Start-up)'!$D$25="Retail-Wholesale", M40,
         IF('Credit Rating (Start-up)'!$D$25="Services", O40,
          IF('Credit Rating (Start-up)'!$D$25="Import/ Assembly/ Distribution", Q40,
           IF('Credit Rating (Start-up)'!$D$25="Oil &amp; Gas", S40,
            "N/A"))))))))))))</f>
        <v>3</v>
      </c>
      <c r="F40" s="169">
        <v>3</v>
      </c>
      <c r="G40" s="154">
        <v>3</v>
      </c>
      <c r="H40" s="155"/>
      <c r="I40" s="241"/>
      <c r="J40" s="242">
        <v>2</v>
      </c>
      <c r="K40" s="243">
        <v>3</v>
      </c>
      <c r="L40" s="244">
        <v>1</v>
      </c>
      <c r="M40" s="245">
        <v>1.5</v>
      </c>
      <c r="N40" s="244">
        <v>1</v>
      </c>
      <c r="O40" s="246">
        <v>1.5</v>
      </c>
      <c r="P40" s="247">
        <v>1.5</v>
      </c>
      <c r="Q40" s="248">
        <v>2</v>
      </c>
      <c r="R40" s="242">
        <v>2</v>
      </c>
      <c r="S40" s="335">
        <v>3</v>
      </c>
    </row>
    <row r="41" spans="2:19">
      <c r="B41" s="606"/>
      <c r="C41" s="600"/>
      <c r="D41" s="3">
        <f>IF('Credit Rating (Existing)'!$C$27="Generic", H41,
 IF('Credit Rating (Existing)'!$C$27="Manufacturing", J41,
  IF('Credit Rating (Existing)'!$C$27="Retail-Wholesale", L41,
   IF('Credit Rating (Existing)'!$C$27="Services", N41,
    IF('Credit Rating (Existing)'!$C$27="Import/ Assembly/ Distribution", P41,
     IF('Credit Rating (Existing)'!$C$27="Oil &amp; Gas", R41,
      IF('Credit Rating (Start-up)'!$D$25="Generic", H41,
       IF('Credit Rating (Start-up)'!$D$25="Manufacturing", J41,
        IF('Credit Rating (Start-up)'!$D$25="Retail-Wholesale", L41,
         IF('Credit Rating (Start-up)'!$D$25="Services", N41,
          IF('Credit Rating (Start-up)'!$D$25="Import/ Assembly/ Distribution", P41,
           IF('Credit Rating (Start-up)'!$D$25="Oil &amp; Gas", R41,
            "N/A"))))))))))))</f>
        <v>1</v>
      </c>
      <c r="E41" s="3">
        <f>IF('Credit Rating (Existing)'!$C$27="Generic", I41,
 IF('Credit Rating (Existing)'!$C$27="Manufacturing", K41,
  IF('Credit Rating (Existing)'!$C$27="Retail-Wholesale", M41,
   IF('Credit Rating (Existing)'!$C$27="Services", O41,
    IF('Credit Rating (Existing)'!$C$27="Import/ Assembly/ Distribution", Q41,
     IF('Credit Rating (Existing)'!$C$27="Oil &amp; Gas", S41,
      IF('Credit Rating (Start-up)'!$D$25="Generic", I41,
       IF('Credit Rating (Start-up)'!$D$25="Manufacturing", K41,
        IF('Credit Rating (Start-up)'!$D$25="Retail-Wholesale", M41,
         IF('Credit Rating (Start-up)'!$D$25="Services", O41,
          IF('Credit Rating (Start-up)'!$D$25="Import/ Assembly/ Distribution", Q41,
           IF('Credit Rating (Start-up)'!$D$25="Oil &amp; Gas", S41,
            "N/A"))))))))))))</f>
        <v>2</v>
      </c>
      <c r="F41" s="169">
        <v>4</v>
      </c>
      <c r="G41" s="154">
        <v>4</v>
      </c>
      <c r="H41" s="155"/>
      <c r="I41" s="241"/>
      <c r="J41" s="242">
        <v>1</v>
      </c>
      <c r="K41" s="243">
        <v>2</v>
      </c>
      <c r="L41" s="244">
        <v>0.5</v>
      </c>
      <c r="M41" s="245">
        <v>1</v>
      </c>
      <c r="N41" s="244">
        <v>0.5</v>
      </c>
      <c r="O41" s="246">
        <v>1</v>
      </c>
      <c r="P41" s="247">
        <v>0.8</v>
      </c>
      <c r="Q41" s="248">
        <v>1.5</v>
      </c>
      <c r="R41" s="242">
        <v>1</v>
      </c>
      <c r="S41" s="335">
        <v>2</v>
      </c>
    </row>
    <row r="42" spans="2:19" ht="15.75" thickBot="1">
      <c r="B42" s="606"/>
      <c r="C42" s="601"/>
      <c r="D42" s="5">
        <f>IF('Credit Rating (Existing)'!$C$27="Generic", H42,
 IF('Credit Rating (Existing)'!$C$27="Manufacturing", J42,
  IF('Credit Rating (Existing)'!$C$27="Retail-Wholesale", L42,
   IF('Credit Rating (Existing)'!$C$27="Services", N42,
    IF('Credit Rating (Existing)'!$C$27="Import/ Assembly/ Distribution", P42,
     IF('Credit Rating (Existing)'!$C$27="Oil &amp; Gas", R42,
      IF('Credit Rating (Start-up)'!$D$25="Generic", H42,
       IF('Credit Rating (Start-up)'!$D$25="Manufacturing", J42,
        IF('Credit Rating (Start-up)'!$D$25="Retail-Wholesale", L42,
         IF('Credit Rating (Start-up)'!$D$25="Services", N42,
          IF('Credit Rating (Start-up)'!$D$25="Import/ Assembly/ Distribution", P42,
           IF('Credit Rating (Start-up)'!$D$25="Oil &amp; Gas", R42,
            "N/A"))))))))))))</f>
        <v>0</v>
      </c>
      <c r="E42" s="5">
        <f>IF('Credit Rating (Existing)'!$C$27="Generic", I42,
 IF('Credit Rating (Existing)'!$C$27="Manufacturing", K42,
  IF('Credit Rating (Existing)'!$C$27="Retail-Wholesale", M42,
   IF('Credit Rating (Existing)'!$C$27="Services", O42,
    IF('Credit Rating (Existing)'!$C$27="Import/ Assembly/ Distribution", Q42,
     IF('Credit Rating (Existing)'!$C$27="Oil &amp; Gas", S42,
      IF('Credit Rating (Start-up)'!$D$25="Generic", I42,
       IF('Credit Rating (Start-up)'!$D$25="Manufacturing", K42,
        IF('Credit Rating (Start-up)'!$D$25="Retail-Wholesale", M42,
         IF('Credit Rating (Start-up)'!$D$25="Services", O42,
          IF('Credit Rating (Start-up)'!$D$25="Import/ Assembly/ Distribution", Q42,
           IF('Credit Rating (Start-up)'!$D$25="Oil &amp; Gas", S42,
            "N/A"))))))))))))</f>
        <v>1</v>
      </c>
      <c r="F42" s="174">
        <v>5</v>
      </c>
      <c r="G42" s="159">
        <v>5</v>
      </c>
      <c r="H42" s="249"/>
      <c r="I42" s="250"/>
      <c r="J42" s="251">
        <v>0</v>
      </c>
      <c r="K42" s="252">
        <v>1</v>
      </c>
      <c r="L42" s="253">
        <v>0</v>
      </c>
      <c r="M42" s="254">
        <v>0.5</v>
      </c>
      <c r="N42" s="253">
        <v>0</v>
      </c>
      <c r="O42" s="255">
        <v>0.5</v>
      </c>
      <c r="P42" s="256">
        <v>0</v>
      </c>
      <c r="Q42" s="257">
        <v>0.8</v>
      </c>
      <c r="R42" s="251">
        <v>0</v>
      </c>
      <c r="S42" s="336">
        <v>1</v>
      </c>
    </row>
    <row r="43" spans="2:19" ht="14.85" customHeight="1">
      <c r="B43" s="606"/>
      <c r="C43" s="602" t="str">
        <f>'Model Data'!B91</f>
        <v>Total Debt/ Total Assets (ratio)</v>
      </c>
      <c r="D43" s="2">
        <f>IF('Credit Rating (Existing)'!$C$27="Generic", H43,
 IF('Credit Rating (Existing)'!$C$27="Manufacturing", J43,
  IF('Credit Rating (Existing)'!$C$27="Retail-Wholesale", L43,
   IF('Credit Rating (Existing)'!$C$27="Services", N43,
    IF('Credit Rating (Existing)'!$C$27="Import/ Assembly/ Distribution", P43,
     IF('Credit Rating (Existing)'!$C$27="Oil &amp; Gas", R43,
      IF('Credit Rating (Start-up)'!$D$25="Generic", H43,
       IF('Credit Rating (Start-up)'!$D$25="Manufacturing", J43,
        IF('Credit Rating (Start-up)'!$D$25="Retail-Wholesale", L43,
         IF('Credit Rating (Start-up)'!$D$25="Services", N43,
          IF('Credit Rating (Start-up)'!$D$25="Import/ Assembly/ Distribution", P43,
           IF('Credit Rating (Start-up)'!$D$25="Oil &amp; Gas", R43,
            "N/A"))))))))))))</f>
        <v>0.8</v>
      </c>
      <c r="E43" s="2">
        <f>IF('Credit Rating (Existing)'!$C$27="Generic", I43,
 IF('Credit Rating (Existing)'!$C$27="Manufacturing", K43,
  IF('Credit Rating (Existing)'!$C$27="Retail-Wholesale", M43,
   IF('Credit Rating (Existing)'!$C$27="Services", O43,
    IF('Credit Rating (Existing)'!$C$27="Import/ Assembly/ Distribution", Q43,
     IF('Credit Rating (Existing)'!$C$27="Oil &amp; Gas", S43,
      IF('Credit Rating (Start-up)'!$D$25="Generic", I43,
       IF('Credit Rating (Start-up)'!$D$25="Manufacturing", K43,
        IF('Credit Rating (Start-up)'!$D$25="Retail-Wholesale", M43,
         IF('Credit Rating (Start-up)'!$D$25="Services", O43,
          IF('Credit Rating (Start-up)'!$D$25="Import/ Assembly/ Distribution", Q43,
           IF('Credit Rating (Start-up)'!$D$25="Oil &amp; Gas", S43,
            "N/A"))))))))))))</f>
        <v>1</v>
      </c>
      <c r="F43" s="164">
        <v>1</v>
      </c>
      <c r="G43" s="149">
        <v>1</v>
      </c>
      <c r="H43" s="235"/>
      <c r="I43" s="258"/>
      <c r="J43" s="259">
        <v>0.8</v>
      </c>
      <c r="K43" s="230">
        <v>1</v>
      </c>
      <c r="L43" s="240">
        <v>0.4</v>
      </c>
      <c r="M43" s="182">
        <v>1</v>
      </c>
      <c r="N43" s="240">
        <v>0.4</v>
      </c>
      <c r="O43" s="183">
        <v>1</v>
      </c>
      <c r="P43" s="236">
        <v>0.6</v>
      </c>
      <c r="Q43" s="180">
        <v>1</v>
      </c>
      <c r="R43" s="259">
        <v>0.8</v>
      </c>
      <c r="S43" s="329">
        <v>1</v>
      </c>
    </row>
    <row r="44" spans="2:19">
      <c r="B44" s="606"/>
      <c r="C44" s="603"/>
      <c r="D44" s="3">
        <f>IF('Credit Rating (Existing)'!$C$27="Generic", H44,
 IF('Credit Rating (Existing)'!$C$27="Manufacturing", J44,
  IF('Credit Rating (Existing)'!$C$27="Retail-Wholesale", L44,
   IF('Credit Rating (Existing)'!$C$27="Services", N44,
    IF('Credit Rating (Existing)'!$C$27="Import/ Assembly/ Distribution", P44,
     IF('Credit Rating (Existing)'!$C$27="Oil &amp; Gas", R44,
      IF('Credit Rating (Start-up)'!$D$25="Generic", H44,
       IF('Credit Rating (Start-up)'!$D$25="Manufacturing", J44,
        IF('Credit Rating (Start-up)'!$D$25="Retail-Wholesale", L44,
         IF('Credit Rating (Start-up)'!$D$25="Services", N44,
          IF('Credit Rating (Start-up)'!$D$25="Import/ Assembly/ Distribution", P44,
           IF('Credit Rating (Start-up)'!$D$25="Oil &amp; Gas", R44,
            "N/A"))))))))))))</f>
        <v>0.6</v>
      </c>
      <c r="E44" s="3">
        <f>IF('Credit Rating (Existing)'!$C$27="Generic", I44,
 IF('Credit Rating (Existing)'!$C$27="Manufacturing", K44,
  IF('Credit Rating (Existing)'!$C$27="Retail-Wholesale", M44,
   IF('Credit Rating (Existing)'!$C$27="Services", O44,
    IF('Credit Rating (Existing)'!$C$27="Import/ Assembly/ Distribution", Q44,
     IF('Credit Rating (Existing)'!$C$27="Oil &amp; Gas", S44,
      IF('Credit Rating (Start-up)'!$D$25="Generic", I44,
       IF('Credit Rating (Start-up)'!$D$25="Manufacturing", K44,
        IF('Credit Rating (Start-up)'!$D$25="Retail-Wholesale", M44,
         IF('Credit Rating (Start-up)'!$D$25="Services", O44,
          IF('Credit Rating (Start-up)'!$D$25="Import/ Assembly/ Distribution", Q44,
           IF('Credit Rating (Start-up)'!$D$25="Oil &amp; Gas", S44,
            "N/A"))))))))))))</f>
        <v>0.8</v>
      </c>
      <c r="F44" s="169">
        <v>2</v>
      </c>
      <c r="G44" s="154">
        <v>2</v>
      </c>
      <c r="H44" s="155"/>
      <c r="I44" s="241"/>
      <c r="J44" s="260">
        <v>0.6</v>
      </c>
      <c r="K44" s="261">
        <v>0.8</v>
      </c>
      <c r="L44" s="247">
        <v>0.3</v>
      </c>
      <c r="M44" s="248">
        <v>0.4</v>
      </c>
      <c r="N44" s="247">
        <v>0.3</v>
      </c>
      <c r="O44" s="262">
        <v>0.4</v>
      </c>
      <c r="P44" s="242">
        <v>0.3</v>
      </c>
      <c r="Q44" s="243">
        <v>0.8</v>
      </c>
      <c r="R44" s="260">
        <v>0.6</v>
      </c>
      <c r="S44" s="342">
        <v>0.8</v>
      </c>
    </row>
    <row r="45" spans="2:19">
      <c r="B45" s="606"/>
      <c r="C45" s="603"/>
      <c r="D45" s="3">
        <f>IF('Credit Rating (Existing)'!$C$27="Generic", H45,
 IF('Credit Rating (Existing)'!$C$27="Manufacturing", J45,
  IF('Credit Rating (Existing)'!$C$27="Retail-Wholesale", L45,
   IF('Credit Rating (Existing)'!$C$27="Services", N45,
    IF('Credit Rating (Existing)'!$C$27="Import/ Assembly/ Distribution", P45,
     IF('Credit Rating (Existing)'!$C$27="Oil &amp; Gas", R45,
      IF('Credit Rating (Start-up)'!$D$25="Generic", H45,
       IF('Credit Rating (Start-up)'!$D$25="Manufacturing", J45,
        IF('Credit Rating (Start-up)'!$D$25="Retail-Wholesale", L45,
         IF('Credit Rating (Start-up)'!$D$25="Services", N45,
          IF('Credit Rating (Start-up)'!$D$25="Import/ Assembly/ Distribution", P45,
           IF('Credit Rating (Start-up)'!$D$25="Oil &amp; Gas", R45,
            "N/A"))))))))))))</f>
        <v>0.4</v>
      </c>
      <c r="E45" s="3">
        <f>IF('Credit Rating (Existing)'!$C$27="Generic", I45,
 IF('Credit Rating (Existing)'!$C$27="Manufacturing", K45,
  IF('Credit Rating (Existing)'!$C$27="Retail-Wholesale", M45,
   IF('Credit Rating (Existing)'!$C$27="Services", O45,
    IF('Credit Rating (Existing)'!$C$27="Import/ Assembly/ Distribution", Q45,
     IF('Credit Rating (Existing)'!$C$27="Oil &amp; Gas", S45,
      IF('Credit Rating (Start-up)'!$D$25="Generic", I45,
       IF('Credit Rating (Start-up)'!$D$25="Manufacturing", K45,
        IF('Credit Rating (Start-up)'!$D$25="Retail-Wholesale", M45,
         IF('Credit Rating (Start-up)'!$D$25="Services", O45,
          IF('Credit Rating (Start-up)'!$D$25="Import/ Assembly/ Distribution", Q45,
           IF('Credit Rating (Start-up)'!$D$25="Oil &amp; Gas", S45,
            "N/A"))))))))))))</f>
        <v>0.6</v>
      </c>
      <c r="F45" s="169">
        <v>3</v>
      </c>
      <c r="G45" s="154">
        <v>3</v>
      </c>
      <c r="H45" s="155"/>
      <c r="I45" s="241"/>
      <c r="J45" s="260">
        <v>0.4</v>
      </c>
      <c r="K45" s="261">
        <v>0.6</v>
      </c>
      <c r="L45" s="247">
        <v>0.2</v>
      </c>
      <c r="M45" s="248">
        <v>0.3</v>
      </c>
      <c r="N45" s="247">
        <v>0.2</v>
      </c>
      <c r="O45" s="262">
        <v>0.3</v>
      </c>
      <c r="P45" s="242">
        <v>0.2</v>
      </c>
      <c r="Q45" s="243">
        <v>0.3</v>
      </c>
      <c r="R45" s="260">
        <v>0.4</v>
      </c>
      <c r="S45" s="342">
        <v>0.6</v>
      </c>
    </row>
    <row r="46" spans="2:19">
      <c r="B46" s="606"/>
      <c r="C46" s="603"/>
      <c r="D46" s="3">
        <f>IF('Credit Rating (Existing)'!$C$27="Generic", H46,
 IF('Credit Rating (Existing)'!$C$27="Manufacturing", J46,
  IF('Credit Rating (Existing)'!$C$27="Retail-Wholesale", L46,
   IF('Credit Rating (Existing)'!$C$27="Services", N46,
    IF('Credit Rating (Existing)'!$C$27="Import/ Assembly/ Distribution", P46,
     IF('Credit Rating (Existing)'!$C$27="Oil &amp; Gas", R46,
      IF('Credit Rating (Start-up)'!$D$25="Generic", H46,
       IF('Credit Rating (Start-up)'!$D$25="Manufacturing", J46,
        IF('Credit Rating (Start-up)'!$D$25="Retail-Wholesale", L46,
         IF('Credit Rating (Start-up)'!$D$25="Services", N46,
          IF('Credit Rating (Start-up)'!$D$25="Import/ Assembly/ Distribution", P46,
           IF('Credit Rating (Start-up)'!$D$25="Oil &amp; Gas", R46,
            "N/A"))))))))))))</f>
        <v>0.2</v>
      </c>
      <c r="E46" s="3">
        <f>IF('Credit Rating (Existing)'!$C$27="Generic", I46,
 IF('Credit Rating (Existing)'!$C$27="Manufacturing", K46,
  IF('Credit Rating (Existing)'!$C$27="Retail-Wholesale", M46,
   IF('Credit Rating (Existing)'!$C$27="Services", O46,
    IF('Credit Rating (Existing)'!$C$27="Import/ Assembly/ Distribution", Q46,
     IF('Credit Rating (Existing)'!$C$27="Oil &amp; Gas", S46,
      IF('Credit Rating (Start-up)'!$D$25="Generic", I46,
       IF('Credit Rating (Start-up)'!$D$25="Manufacturing", K46,
        IF('Credit Rating (Start-up)'!$D$25="Retail-Wholesale", M46,
         IF('Credit Rating (Start-up)'!$D$25="Services", O46,
          IF('Credit Rating (Start-up)'!$D$25="Import/ Assembly/ Distribution", Q46,
           IF('Credit Rating (Start-up)'!$D$25="Oil &amp; Gas", S46,
            "N/A"))))))))))))</f>
        <v>0.4</v>
      </c>
      <c r="F46" s="169">
        <v>4</v>
      </c>
      <c r="G46" s="154">
        <v>4</v>
      </c>
      <c r="H46" s="155"/>
      <c r="I46" s="241"/>
      <c r="J46" s="260">
        <v>0.2</v>
      </c>
      <c r="K46" s="261">
        <v>0.4</v>
      </c>
      <c r="L46" s="247">
        <v>0.1</v>
      </c>
      <c r="M46" s="248">
        <v>0.2</v>
      </c>
      <c r="N46" s="247">
        <v>0.1</v>
      </c>
      <c r="O46" s="262">
        <v>0.2</v>
      </c>
      <c r="P46" s="242">
        <v>0.1</v>
      </c>
      <c r="Q46" s="243">
        <v>0.2</v>
      </c>
      <c r="R46" s="260">
        <v>0.2</v>
      </c>
      <c r="S46" s="342">
        <v>0.4</v>
      </c>
    </row>
    <row r="47" spans="2:19" ht="15.75" thickBot="1">
      <c r="B47" s="606"/>
      <c r="C47" s="604"/>
      <c r="D47" s="5">
        <f>IF('Credit Rating (Existing)'!$C$27="Generic", H47,
 IF('Credit Rating (Existing)'!$C$27="Manufacturing", J47,
  IF('Credit Rating (Existing)'!$C$27="Retail-Wholesale", L47,
   IF('Credit Rating (Existing)'!$C$27="Services", N47,
    IF('Credit Rating (Existing)'!$C$27="Import/ Assembly/ Distribution", P47,
     IF('Credit Rating (Existing)'!$C$27="Oil &amp; Gas", R47,
      IF('Credit Rating (Start-up)'!$D$25="Generic", H47,
       IF('Credit Rating (Start-up)'!$D$25="Manufacturing", J47,
        IF('Credit Rating (Start-up)'!$D$25="Retail-Wholesale", L47,
         IF('Credit Rating (Start-up)'!$D$25="Services", N47,
          IF('Credit Rating (Start-up)'!$D$25="Import/ Assembly/ Distribution", P47,
           IF('Credit Rating (Start-up)'!$D$25="Oil &amp; Gas", R47,
            "N/A"))))))))))))</f>
        <v>0</v>
      </c>
      <c r="E47" s="5">
        <f>IF('Credit Rating (Existing)'!$C$27="Generic", I47,
 IF('Credit Rating (Existing)'!$C$27="Manufacturing", K47,
  IF('Credit Rating (Existing)'!$C$27="Retail-Wholesale", M47,
   IF('Credit Rating (Existing)'!$C$27="Services", O47,
    IF('Credit Rating (Existing)'!$C$27="Import/ Assembly/ Distribution", Q47,
     IF('Credit Rating (Existing)'!$C$27="Oil &amp; Gas", S47,
      IF('Credit Rating (Start-up)'!$D$25="Generic", I47,
       IF('Credit Rating (Start-up)'!$D$25="Manufacturing", K47,
        IF('Credit Rating (Start-up)'!$D$25="Retail-Wholesale", M47,
         IF('Credit Rating (Start-up)'!$D$25="Services", O47,
          IF('Credit Rating (Start-up)'!$D$25="Import/ Assembly/ Distribution", Q47,
           IF('Credit Rating (Start-up)'!$D$25="Oil &amp; Gas", S47,
            "N/A"))))))))))))</f>
        <v>0.2</v>
      </c>
      <c r="F47" s="174">
        <v>5</v>
      </c>
      <c r="G47" s="159">
        <v>5</v>
      </c>
      <c r="H47" s="249"/>
      <c r="I47" s="250"/>
      <c r="J47" s="263">
        <v>0</v>
      </c>
      <c r="K47" s="264">
        <v>0.2</v>
      </c>
      <c r="L47" s="256">
        <v>0</v>
      </c>
      <c r="M47" s="257">
        <v>0.1</v>
      </c>
      <c r="N47" s="256">
        <v>0</v>
      </c>
      <c r="O47" s="265">
        <v>0.1</v>
      </c>
      <c r="P47" s="251">
        <v>0</v>
      </c>
      <c r="Q47" s="252">
        <v>0.1</v>
      </c>
      <c r="R47" s="263">
        <v>0</v>
      </c>
      <c r="S47" s="343">
        <v>0.2</v>
      </c>
    </row>
    <row r="48" spans="2:19" ht="14.85" customHeight="1">
      <c r="B48" s="606"/>
      <c r="C48" s="602" t="str">
        <f>'Model Data'!B92</f>
        <v>Return on Equity (percentage)</v>
      </c>
      <c r="D48" s="11">
        <f>IF('Credit Rating (Existing)'!$C$27="Generic", H48,
 IF('Credit Rating (Existing)'!$C$27="Manufacturing", J48,
  IF('Credit Rating (Existing)'!$C$27="Retail-Wholesale", L48,
   IF('Credit Rating (Existing)'!$C$27="Services", N48,
    IF('Credit Rating (Existing)'!$C$27="Import/ Assembly/ Distribution", P48,
     IF('Credit Rating (Existing)'!$C$27="Oil &amp; Gas", R48,
      IF('Credit Rating (Start-up)'!$D$25="Generic", H48,
       IF('Credit Rating (Start-up)'!$D$25="Manufacturing", J48,
        IF('Credit Rating (Start-up)'!$D$25="Retail-Wholesale", L48,
         IF('Credit Rating (Start-up)'!$D$25="Services", N48,
          IF('Credit Rating (Start-up)'!$D$25="Import/ Assembly/ Distribution", P48,
           IF('Credit Rating (Start-up)'!$D$25="Oil &amp; Gas", R48,
            "N/A"))))))))))))</f>
        <v>0.15</v>
      </c>
      <c r="E48" s="2" t="str">
        <f>IF('Credit Rating (Existing)'!$C$27="Generic", I48,
 IF('Credit Rating (Existing)'!$C$27="Manufacturing", K48,
  IF('Credit Rating (Existing)'!$C$27="Retail-Wholesale", M48,
   IF('Credit Rating (Existing)'!$C$27="Services", O48,
    IF('Credit Rating (Existing)'!$C$27="Import/ Assembly/ Distribution", Q48,
     IF('Credit Rating (Existing)'!$C$27="Oil &amp; Gas", S48,
      IF('Credit Rating (Start-up)'!$D$25="Generic", I48,
       IF('Credit Rating (Start-up)'!$D$25="Manufacturing", K48,
        IF('Credit Rating (Start-up)'!$D$25="Retail-Wholesale", M48,
         IF('Credit Rating (Start-up)'!$D$25="Services", O48,
          IF('Credit Rating (Start-up)'!$D$25="Import/ Assembly/ Distribution", Q48,
           IF('Credit Rating (Start-up)'!$D$25="Oil &amp; Gas", S48,
            "N/A"))))))))))))</f>
        <v>∞</v>
      </c>
      <c r="F48" s="164">
        <v>5</v>
      </c>
      <c r="G48" s="149">
        <v>2</v>
      </c>
      <c r="H48" s="235"/>
      <c r="I48" s="258"/>
      <c r="J48" s="231">
        <v>0.15</v>
      </c>
      <c r="K48" s="230" t="s">
        <v>306</v>
      </c>
      <c r="L48" s="231">
        <v>0.15</v>
      </c>
      <c r="M48" s="230" t="s">
        <v>306</v>
      </c>
      <c r="N48" s="231">
        <v>0.15</v>
      </c>
      <c r="O48" s="230" t="s">
        <v>306</v>
      </c>
      <c r="P48" s="231">
        <v>0.15</v>
      </c>
      <c r="Q48" s="230" t="s">
        <v>306</v>
      </c>
      <c r="R48" s="231">
        <v>0.15</v>
      </c>
      <c r="S48" s="329" t="s">
        <v>306</v>
      </c>
    </row>
    <row r="49" spans="2:19">
      <c r="B49" s="606"/>
      <c r="C49" s="603"/>
      <c r="D49" s="12">
        <f>IF('Credit Rating (Existing)'!$C$27="Generic", H49,
 IF('Credit Rating (Existing)'!$C$27="Manufacturing", J49,
  IF('Credit Rating (Existing)'!$C$27="Retail-Wholesale", L49,
   IF('Credit Rating (Existing)'!$C$27="Services", N49,
    IF('Credit Rating (Existing)'!$C$27="Import/ Assembly/ Distribution", P49,
     IF('Credit Rating (Existing)'!$C$27="Oil &amp; Gas", R49,
      IF('Credit Rating (Start-up)'!$D$25="Generic", H49,
       IF('Credit Rating (Start-up)'!$D$25="Manufacturing", J49,
        IF('Credit Rating (Start-up)'!$D$25="Retail-Wholesale", L49,
         IF('Credit Rating (Start-up)'!$D$25="Services", N49,
          IF('Credit Rating (Start-up)'!$D$25="Import/ Assembly/ Distribution", P49,
           IF('Credit Rating (Start-up)'!$D$25="Oil &amp; Gas", R49,
            "N/A"))))))))))))</f>
        <v>0.1</v>
      </c>
      <c r="E49" s="12">
        <f>IF('Credit Rating (Existing)'!$C$27="Generic", I49,
 IF('Credit Rating (Existing)'!$C$27="Manufacturing", K49,
  IF('Credit Rating (Existing)'!$C$27="Retail-Wholesale", M49,
   IF('Credit Rating (Existing)'!$C$27="Services", O49,
    IF('Credit Rating (Existing)'!$C$27="Import/ Assembly/ Distribution", Q49,
     IF('Credit Rating (Existing)'!$C$27="Oil &amp; Gas", S49,
      IF('Credit Rating (Start-up)'!$D$25="Generic", I49,
       IF('Credit Rating (Start-up)'!$D$25="Manufacturing", K49,
        IF('Credit Rating (Start-up)'!$D$25="Retail-Wholesale", M49,
         IF('Credit Rating (Start-up)'!$D$25="Services", O49,
          IF('Credit Rating (Start-up)'!$D$25="Import/ Assembly/ Distribution", Q49,
           IF('Credit Rating (Start-up)'!$D$25="Oil &amp; Gas", S49,
            "N/A"))))))))))))</f>
        <v>0.15</v>
      </c>
      <c r="F49" s="169">
        <v>4</v>
      </c>
      <c r="G49" s="154">
        <v>3</v>
      </c>
      <c r="H49" s="155"/>
      <c r="I49" s="241"/>
      <c r="J49" s="231">
        <v>0.1</v>
      </c>
      <c r="K49" s="232">
        <v>0.15</v>
      </c>
      <c r="L49" s="231">
        <v>0.1</v>
      </c>
      <c r="M49" s="232">
        <v>0.15</v>
      </c>
      <c r="N49" s="231">
        <v>0.1</v>
      </c>
      <c r="O49" s="232">
        <v>0.15</v>
      </c>
      <c r="P49" s="231">
        <v>0.1</v>
      </c>
      <c r="Q49" s="232">
        <v>0.15</v>
      </c>
      <c r="R49" s="231">
        <v>0.1</v>
      </c>
      <c r="S49" s="330">
        <v>0.15</v>
      </c>
    </row>
    <row r="50" spans="2:19">
      <c r="B50" s="606"/>
      <c r="C50" s="603"/>
      <c r="D50" s="12">
        <f>IF('Credit Rating (Existing)'!$C$27="Generic", H50,
 IF('Credit Rating (Existing)'!$C$27="Manufacturing", J50,
  IF('Credit Rating (Existing)'!$C$27="Retail-Wholesale", L50,
   IF('Credit Rating (Existing)'!$C$27="Services", N50,
    IF('Credit Rating (Existing)'!$C$27="Import/ Assembly/ Distribution", P50,
     IF('Credit Rating (Existing)'!$C$27="Oil &amp; Gas", R50,
      IF('Credit Rating (Start-up)'!$D$25="Generic", H50,
       IF('Credit Rating (Start-up)'!$D$25="Manufacturing", J50,
        IF('Credit Rating (Start-up)'!$D$25="Retail-Wholesale", L50,
         IF('Credit Rating (Start-up)'!$D$25="Services", N50,
          IF('Credit Rating (Start-up)'!$D$25="Import/ Assembly/ Distribution", P50,
           IF('Credit Rating (Start-up)'!$D$25="Oil &amp; Gas", R50,
            "N/A"))))))))))))</f>
        <v>0.05</v>
      </c>
      <c r="E50" s="12">
        <f>IF('Credit Rating (Existing)'!$C$27="Generic", I50,
 IF('Credit Rating (Existing)'!$C$27="Manufacturing", K50,
  IF('Credit Rating (Existing)'!$C$27="Retail-Wholesale", M50,
   IF('Credit Rating (Existing)'!$C$27="Services", O50,
    IF('Credit Rating (Existing)'!$C$27="Import/ Assembly/ Distribution", Q50,
     IF('Credit Rating (Existing)'!$C$27="Oil &amp; Gas", S50,
      IF('Credit Rating (Start-up)'!$D$25="Generic", I50,
       IF('Credit Rating (Start-up)'!$D$25="Manufacturing", K50,
        IF('Credit Rating (Start-up)'!$D$25="Retail-Wholesale", M50,
         IF('Credit Rating (Start-up)'!$D$25="Services", O50,
          IF('Credit Rating (Start-up)'!$D$25="Import/ Assembly/ Distribution", Q50,
           IF('Credit Rating (Start-up)'!$D$25="Oil &amp; Gas", S50,
            "N/A"))))))))))))</f>
        <v>0.1</v>
      </c>
      <c r="F50" s="169">
        <v>3</v>
      </c>
      <c r="G50" s="154">
        <v>5</v>
      </c>
      <c r="H50" s="155"/>
      <c r="I50" s="241"/>
      <c r="J50" s="231">
        <v>0.05</v>
      </c>
      <c r="K50" s="232">
        <v>0.1</v>
      </c>
      <c r="L50" s="231">
        <v>0.05</v>
      </c>
      <c r="M50" s="232">
        <v>0.1</v>
      </c>
      <c r="N50" s="231">
        <v>0.05</v>
      </c>
      <c r="O50" s="232">
        <v>0.1</v>
      </c>
      <c r="P50" s="231">
        <v>0.05</v>
      </c>
      <c r="Q50" s="232">
        <v>0.1</v>
      </c>
      <c r="R50" s="231">
        <v>0.05</v>
      </c>
      <c r="S50" s="330">
        <v>0.1</v>
      </c>
    </row>
    <row r="51" spans="2:19">
      <c r="B51" s="606"/>
      <c r="C51" s="603"/>
      <c r="D51" s="12">
        <f>IF('Credit Rating (Existing)'!$C$27="Generic", H51,
 IF('Credit Rating (Existing)'!$C$27="Manufacturing", J51,
  IF('Credit Rating (Existing)'!$C$27="Retail-Wholesale", L51,
   IF('Credit Rating (Existing)'!$C$27="Services", N51,
    IF('Credit Rating (Existing)'!$C$27="Import/ Assembly/ Distribution", P51,
     IF('Credit Rating (Existing)'!$C$27="Oil &amp; Gas", R51,
      IF('Credit Rating (Start-up)'!$D$25="Generic", H51,
       IF('Credit Rating (Start-up)'!$D$25="Manufacturing", J51,
        IF('Credit Rating (Start-up)'!$D$25="Retail-Wholesale", L51,
         IF('Credit Rating (Start-up)'!$D$25="Services", N51,
          IF('Credit Rating (Start-up)'!$D$25="Import/ Assembly/ Distribution", P51,
           IF('Credit Rating (Start-up)'!$D$25="Oil &amp; Gas", R51,
            "N/A"))))))))))))</f>
        <v>0</v>
      </c>
      <c r="E51" s="12">
        <f>IF('Credit Rating (Existing)'!$C$27="Generic", I51,
 IF('Credit Rating (Existing)'!$C$27="Manufacturing", K51,
  IF('Credit Rating (Existing)'!$C$27="Retail-Wholesale", M51,
   IF('Credit Rating (Existing)'!$C$27="Services", O51,
    IF('Credit Rating (Existing)'!$C$27="Import/ Assembly/ Distribution", Q51,
     IF('Credit Rating (Existing)'!$C$27="Oil &amp; Gas", S51,
      IF('Credit Rating (Start-up)'!$D$25="Generic", I51,
       IF('Credit Rating (Start-up)'!$D$25="Manufacturing", K51,
        IF('Credit Rating (Start-up)'!$D$25="Retail-Wholesale", M51,
         IF('Credit Rating (Start-up)'!$D$25="Services", O51,
          IF('Credit Rating (Start-up)'!$D$25="Import/ Assembly/ Distribution", Q51,
           IF('Credit Rating (Start-up)'!$D$25="Oil &amp; Gas", S51,
            "N/A"))))))))))))</f>
        <v>0.05</v>
      </c>
      <c r="F51" s="169">
        <v>2</v>
      </c>
      <c r="G51" s="154">
        <v>4</v>
      </c>
      <c r="H51" s="155"/>
      <c r="I51" s="241"/>
      <c r="J51" s="231">
        <v>0</v>
      </c>
      <c r="K51" s="232">
        <v>0.05</v>
      </c>
      <c r="L51" s="231">
        <v>0</v>
      </c>
      <c r="M51" s="232">
        <v>0.05</v>
      </c>
      <c r="N51" s="231">
        <v>0</v>
      </c>
      <c r="O51" s="232">
        <v>0.05</v>
      </c>
      <c r="P51" s="231">
        <v>0</v>
      </c>
      <c r="Q51" s="232">
        <v>0.05</v>
      </c>
      <c r="R51" s="231">
        <v>0</v>
      </c>
      <c r="S51" s="330">
        <v>0.05</v>
      </c>
    </row>
    <row r="52" spans="2:19" ht="15.75" thickBot="1">
      <c r="B52" s="606"/>
      <c r="C52" s="604"/>
      <c r="D52" s="5" t="str">
        <f>IF('Credit Rating (Existing)'!$C$27="Generic", H52,
 IF('Credit Rating (Existing)'!$C$27="Manufacturing", J52,
  IF('Credit Rating (Existing)'!$C$27="Retail-Wholesale", L52,
   IF('Credit Rating (Existing)'!$C$27="Services", N52,
    IF('Credit Rating (Existing)'!$C$27="Import/ Assembly/ Distribution", P52,
     IF('Credit Rating (Existing)'!$C$27="Oil &amp; Gas", R52,
      IF('Credit Rating (Start-up)'!$D$25="Generic", H52,
       IF('Credit Rating (Start-up)'!$D$25="Manufacturing", J52,
        IF('Credit Rating (Start-up)'!$D$25="Retail-Wholesale", L52,
         IF('Credit Rating (Start-up)'!$D$25="Services", N52,
          IF('Credit Rating (Start-up)'!$D$25="Import/ Assembly/ Distribution", P52,
           IF('Credit Rating (Start-up)'!$D$25="Oil &amp; Gas", R52,
            "N/A"))))))))))))</f>
        <v>(∞)</v>
      </c>
      <c r="E52" s="13">
        <f>IF('Credit Rating (Existing)'!$C$27="Generic", I52,
 IF('Credit Rating (Existing)'!$C$27="Manufacturing", K52,
  IF('Credit Rating (Existing)'!$C$27="Retail-Wholesale", M52,
   IF('Credit Rating (Existing)'!$C$27="Services", O52,
    IF('Credit Rating (Existing)'!$C$27="Import/ Assembly/ Distribution", Q52,
     IF('Credit Rating (Existing)'!$C$27="Oil &amp; Gas", S52,
      IF('Credit Rating (Start-up)'!$D$25="Generic", I52,
       IF('Credit Rating (Start-up)'!$D$25="Manufacturing", K52,
        IF('Credit Rating (Start-up)'!$D$25="Retail-Wholesale", M52,
         IF('Credit Rating (Start-up)'!$D$25="Services", O52,
          IF('Credit Rating (Start-up)'!$D$25="Import/ Assembly/ Distribution", Q52,
           IF('Credit Rating (Start-up)'!$D$25="Oil &amp; Gas", S52,
            "N/A"))))))))))))</f>
        <v>0</v>
      </c>
      <c r="F52" s="174">
        <v>1</v>
      </c>
      <c r="G52" s="159">
        <v>1</v>
      </c>
      <c r="H52" s="249"/>
      <c r="I52" s="250"/>
      <c r="J52" s="263" t="s">
        <v>307</v>
      </c>
      <c r="K52" s="232">
        <v>0</v>
      </c>
      <c r="L52" s="263" t="s">
        <v>307</v>
      </c>
      <c r="M52" s="232">
        <v>0</v>
      </c>
      <c r="N52" s="263" t="s">
        <v>307</v>
      </c>
      <c r="O52" s="232">
        <v>0</v>
      </c>
      <c r="P52" s="263" t="s">
        <v>307</v>
      </c>
      <c r="Q52" s="232">
        <v>0</v>
      </c>
      <c r="R52" s="263" t="s">
        <v>307</v>
      </c>
      <c r="S52" s="330">
        <v>0</v>
      </c>
    </row>
    <row r="53" spans="2:19" ht="14.85" customHeight="1">
      <c r="B53" s="605" t="s">
        <v>97</v>
      </c>
      <c r="C53" s="599" t="str">
        <f>'Model Data'!B93</f>
        <v>Quick Ratio (ratio)</v>
      </c>
      <c r="D53" s="2">
        <f>IF('Credit Rating (Existing)'!$C$27="Generic", H53,
 IF('Credit Rating (Existing)'!$C$27="Manufacturing", J53,
  IF('Credit Rating (Existing)'!$C$27="Retail-Wholesale", L53,
   IF('Credit Rating (Existing)'!$C$27="Services", N53,
    IF('Credit Rating (Existing)'!$C$27="Import/ Assembly/ Distribution", P53,
     IF('Credit Rating (Existing)'!$C$27="Oil &amp; Gas", R53,
      IF('Credit Rating (Start-up)'!$D$25="Generic", H53,
       IF('Credit Rating (Start-up)'!$D$25="Manufacturing", J53,
        IF('Credit Rating (Start-up)'!$D$25="Retail-Wholesale", L53,
         IF('Credit Rating (Start-up)'!$D$25="Services", N53,
          IF('Credit Rating (Start-up)'!$D$25="Import/ Assembly/ Distribution", P53,
           IF('Credit Rating (Start-up)'!$D$25="Oil &amp; Gas", R53,
            "N/A"))))))))))))</f>
        <v>1.2</v>
      </c>
      <c r="E53" s="2" t="str">
        <f>IF('Credit Rating (Existing)'!$C$27="Generic", I53,
 IF('Credit Rating (Existing)'!$C$27="Manufacturing", K53,
  IF('Credit Rating (Existing)'!$C$27="Retail-Wholesale", M53,
   IF('Credit Rating (Existing)'!$C$27="Services", O53,
    IF('Credit Rating (Existing)'!$C$27="Import/ Assembly/ Distribution", Q53,
     IF('Credit Rating (Existing)'!$C$27="Oil &amp; Gas", S53,
      IF('Credit Rating (Start-up)'!$D$25="Generic", I53,
       IF('Credit Rating (Start-up)'!$D$25="Manufacturing", K53,
        IF('Credit Rating (Start-up)'!$D$25="Retail-Wholesale", M53,
         IF('Credit Rating (Start-up)'!$D$25="Services", O53,
          IF('Credit Rating (Start-up)'!$D$25="Import/ Assembly/ Distribution", Q53,
           IF('Credit Rating (Start-up)'!$D$25="Oil &amp; Gas", S53,
            "N/A"))))))))))))</f>
        <v>∞</v>
      </c>
      <c r="F53" s="164">
        <v>5</v>
      </c>
      <c r="G53" s="149">
        <v>5</v>
      </c>
      <c r="H53" s="235"/>
      <c r="I53" s="166"/>
      <c r="J53" s="237">
        <v>1.2</v>
      </c>
      <c r="K53" s="238" t="s">
        <v>306</v>
      </c>
      <c r="L53" s="237">
        <v>1.2</v>
      </c>
      <c r="M53" s="238" t="s">
        <v>306</v>
      </c>
      <c r="N53" s="237">
        <v>1.2</v>
      </c>
      <c r="O53" s="239" t="s">
        <v>306</v>
      </c>
      <c r="P53" s="237">
        <v>1.2</v>
      </c>
      <c r="Q53" s="238" t="s">
        <v>306</v>
      </c>
      <c r="R53" s="237">
        <v>1.2</v>
      </c>
      <c r="S53" s="239" t="s">
        <v>306</v>
      </c>
    </row>
    <row r="54" spans="2:19">
      <c r="B54" s="605"/>
      <c r="C54" s="600"/>
      <c r="D54" s="3">
        <f>IF('Credit Rating (Existing)'!$C$27="Generic", H54,
 IF('Credit Rating (Existing)'!$C$27="Manufacturing", J54,
  IF('Credit Rating (Existing)'!$C$27="Retail-Wholesale", L54,
   IF('Credit Rating (Existing)'!$C$27="Services", N54,
    IF('Credit Rating (Existing)'!$C$27="Import/ Assembly/ Distribution", P54,
     IF('Credit Rating (Existing)'!$C$27="Oil &amp; Gas", R54,
      IF('Credit Rating (Start-up)'!$D$25="Generic", H54,
       IF('Credit Rating (Start-up)'!$D$25="Manufacturing", J54,
        IF('Credit Rating (Start-up)'!$D$25="Retail-Wholesale", L54,
         IF('Credit Rating (Start-up)'!$D$25="Services", N54,
          IF('Credit Rating (Start-up)'!$D$25="Import/ Assembly/ Distribution", P54,
           IF('Credit Rating (Start-up)'!$D$25="Oil &amp; Gas", R54,
            "N/A"))))))))))))</f>
        <v>0.9</v>
      </c>
      <c r="E54" s="3">
        <f>IF('Credit Rating (Existing)'!$C$27="Generic", I54,
 IF('Credit Rating (Existing)'!$C$27="Manufacturing", K54,
  IF('Credit Rating (Existing)'!$C$27="Retail-Wholesale", M54,
   IF('Credit Rating (Existing)'!$C$27="Services", O54,
    IF('Credit Rating (Existing)'!$C$27="Import/ Assembly/ Distribution", Q54,
     IF('Credit Rating (Existing)'!$C$27="Oil &amp; Gas", S54,
      IF('Credit Rating (Start-up)'!$D$25="Generic", I54,
       IF('Credit Rating (Start-up)'!$D$25="Manufacturing", K54,
        IF('Credit Rating (Start-up)'!$D$25="Retail-Wholesale", M54,
         IF('Credit Rating (Start-up)'!$D$25="Services", O54,
          IF('Credit Rating (Start-up)'!$D$25="Import/ Assembly/ Distribution", Q54,
           IF('Credit Rating (Start-up)'!$D$25="Oil &amp; Gas", S54,
            "N/A"))))))))))))</f>
        <v>1.2</v>
      </c>
      <c r="F54" s="169">
        <v>4</v>
      </c>
      <c r="G54" s="154">
        <v>4</v>
      </c>
      <c r="H54" s="155"/>
      <c r="I54" s="241"/>
      <c r="J54" s="244">
        <v>0.9</v>
      </c>
      <c r="K54" s="245">
        <v>1.2</v>
      </c>
      <c r="L54" s="244">
        <v>0.9</v>
      </c>
      <c r="M54" s="245">
        <v>1.2</v>
      </c>
      <c r="N54" s="244">
        <v>0.9</v>
      </c>
      <c r="O54" s="246">
        <v>1.2</v>
      </c>
      <c r="P54" s="244">
        <v>0.9</v>
      </c>
      <c r="Q54" s="245">
        <v>1.2</v>
      </c>
      <c r="R54" s="244">
        <v>0.9</v>
      </c>
      <c r="S54" s="246">
        <v>1.2</v>
      </c>
    </row>
    <row r="55" spans="2:19">
      <c r="B55" s="605"/>
      <c r="C55" s="600"/>
      <c r="D55" s="3">
        <f>IF('Credit Rating (Existing)'!$C$27="Generic", H55,
 IF('Credit Rating (Existing)'!$C$27="Manufacturing", J55,
  IF('Credit Rating (Existing)'!$C$27="Retail-Wholesale", L55,
   IF('Credit Rating (Existing)'!$C$27="Services", N55,
    IF('Credit Rating (Existing)'!$C$27="Import/ Assembly/ Distribution", P55,
     IF('Credit Rating (Existing)'!$C$27="Oil &amp; Gas", R55,
      IF('Credit Rating (Start-up)'!$D$25="Generic", H55,
       IF('Credit Rating (Start-up)'!$D$25="Manufacturing", J55,
        IF('Credit Rating (Start-up)'!$D$25="Retail-Wholesale", L55,
         IF('Credit Rating (Start-up)'!$D$25="Services", N55,
          IF('Credit Rating (Start-up)'!$D$25="Import/ Assembly/ Distribution", P55,
           IF('Credit Rating (Start-up)'!$D$25="Oil &amp; Gas", R55,
            "N/A"))))))))))))</f>
        <v>0.6</v>
      </c>
      <c r="E55" s="3">
        <f>IF('Credit Rating (Existing)'!$C$27="Generic", I55,
 IF('Credit Rating (Existing)'!$C$27="Manufacturing", K55,
  IF('Credit Rating (Existing)'!$C$27="Retail-Wholesale", M55,
   IF('Credit Rating (Existing)'!$C$27="Services", O55,
    IF('Credit Rating (Existing)'!$C$27="Import/ Assembly/ Distribution", Q55,
     IF('Credit Rating (Existing)'!$C$27="Oil &amp; Gas", S55,
      IF('Credit Rating (Start-up)'!$D$25="Generic", I55,
       IF('Credit Rating (Start-up)'!$D$25="Manufacturing", K55,
        IF('Credit Rating (Start-up)'!$D$25="Retail-Wholesale", M55,
         IF('Credit Rating (Start-up)'!$D$25="Services", O55,
          IF('Credit Rating (Start-up)'!$D$25="Import/ Assembly/ Distribution", Q55,
           IF('Credit Rating (Start-up)'!$D$25="Oil &amp; Gas", S55,
            "N/A"))))))))))))</f>
        <v>0.9</v>
      </c>
      <c r="F55" s="169">
        <v>3</v>
      </c>
      <c r="G55" s="154">
        <v>3</v>
      </c>
      <c r="H55" s="155"/>
      <c r="I55" s="241"/>
      <c r="J55" s="244">
        <v>0.6</v>
      </c>
      <c r="K55" s="245">
        <v>0.9</v>
      </c>
      <c r="L55" s="244">
        <v>0.6</v>
      </c>
      <c r="M55" s="245">
        <v>0.9</v>
      </c>
      <c r="N55" s="244">
        <v>0.6</v>
      </c>
      <c r="O55" s="246">
        <v>0.9</v>
      </c>
      <c r="P55" s="244">
        <v>0.6</v>
      </c>
      <c r="Q55" s="245">
        <v>0.9</v>
      </c>
      <c r="R55" s="244">
        <v>0.6</v>
      </c>
      <c r="S55" s="246">
        <v>0.9</v>
      </c>
    </row>
    <row r="56" spans="2:19">
      <c r="B56" s="605"/>
      <c r="C56" s="600"/>
      <c r="D56" s="3">
        <f>IF('Credit Rating (Existing)'!$C$27="Generic", H56,
 IF('Credit Rating (Existing)'!$C$27="Manufacturing", J56,
  IF('Credit Rating (Existing)'!$C$27="Retail-Wholesale", L56,
   IF('Credit Rating (Existing)'!$C$27="Services", N56,
    IF('Credit Rating (Existing)'!$C$27="Import/ Assembly/ Distribution", P56,
     IF('Credit Rating (Existing)'!$C$27="Oil &amp; Gas", R56,
      IF('Credit Rating (Start-up)'!$D$25="Generic", H56,
       IF('Credit Rating (Start-up)'!$D$25="Manufacturing", J56,
        IF('Credit Rating (Start-up)'!$D$25="Retail-Wholesale", L56,
         IF('Credit Rating (Start-up)'!$D$25="Services", N56,
          IF('Credit Rating (Start-up)'!$D$25="Import/ Assembly/ Distribution", P56,
           IF('Credit Rating (Start-up)'!$D$25="Oil &amp; Gas", R56,
            "N/A"))))))))))))</f>
        <v>0.3</v>
      </c>
      <c r="E56" s="3">
        <f>IF('Credit Rating (Existing)'!$C$27="Generic", I56,
 IF('Credit Rating (Existing)'!$C$27="Manufacturing", K56,
  IF('Credit Rating (Existing)'!$C$27="Retail-Wholesale", M56,
   IF('Credit Rating (Existing)'!$C$27="Services", O56,
    IF('Credit Rating (Existing)'!$C$27="Import/ Assembly/ Distribution", Q56,
     IF('Credit Rating (Existing)'!$C$27="Oil &amp; Gas", S56,
      IF('Credit Rating (Start-up)'!$D$25="Generic", I56,
       IF('Credit Rating (Start-up)'!$D$25="Manufacturing", K56,
        IF('Credit Rating (Start-up)'!$D$25="Retail-Wholesale", M56,
         IF('Credit Rating (Start-up)'!$D$25="Services", O56,
          IF('Credit Rating (Start-up)'!$D$25="Import/ Assembly/ Distribution", Q56,
           IF('Credit Rating (Start-up)'!$D$25="Oil &amp; Gas", S56,
            "N/A"))))))))))))</f>
        <v>0.6</v>
      </c>
      <c r="F56" s="169">
        <v>2</v>
      </c>
      <c r="G56" s="154">
        <v>2</v>
      </c>
      <c r="H56" s="155"/>
      <c r="I56" s="241"/>
      <c r="J56" s="244">
        <v>0.3</v>
      </c>
      <c r="K56" s="245">
        <v>0.6</v>
      </c>
      <c r="L56" s="244">
        <v>0.3</v>
      </c>
      <c r="M56" s="245">
        <v>0.6</v>
      </c>
      <c r="N56" s="244">
        <v>0.3</v>
      </c>
      <c r="O56" s="246">
        <v>0.6</v>
      </c>
      <c r="P56" s="244">
        <v>0.3</v>
      </c>
      <c r="Q56" s="245">
        <v>0.6</v>
      </c>
      <c r="R56" s="244">
        <v>0.3</v>
      </c>
      <c r="S56" s="246">
        <v>0.6</v>
      </c>
    </row>
    <row r="57" spans="2:19" ht="15.75" thickBot="1">
      <c r="B57" s="605"/>
      <c r="C57" s="601"/>
      <c r="D57" s="5">
        <f>IF('Credit Rating (Existing)'!$C$27="Generic", H57,
 IF('Credit Rating (Existing)'!$C$27="Manufacturing", J57,
  IF('Credit Rating (Existing)'!$C$27="Retail-Wholesale", L57,
   IF('Credit Rating (Existing)'!$C$27="Services", N57,
    IF('Credit Rating (Existing)'!$C$27="Import/ Assembly/ Distribution", P57,
     IF('Credit Rating (Existing)'!$C$27="Oil &amp; Gas", R57,
      IF('Credit Rating (Start-up)'!$D$25="Generic", H57,
       IF('Credit Rating (Start-up)'!$D$25="Manufacturing", J57,
        IF('Credit Rating (Start-up)'!$D$25="Retail-Wholesale", L57,
         IF('Credit Rating (Start-up)'!$D$25="Services", N57,
          IF('Credit Rating (Start-up)'!$D$25="Import/ Assembly/ Distribution", P57,
           IF('Credit Rating (Start-up)'!$D$25="Oil &amp; Gas", R57,
            "N/A"))))))))))))</f>
        <v>0</v>
      </c>
      <c r="E57" s="5">
        <f>IF('Credit Rating (Existing)'!$C$27="Generic", I57,
 IF('Credit Rating (Existing)'!$C$27="Manufacturing", K57,
  IF('Credit Rating (Existing)'!$C$27="Retail-Wholesale", M57,
   IF('Credit Rating (Existing)'!$C$27="Services", O57,
    IF('Credit Rating (Existing)'!$C$27="Import/ Assembly/ Distribution", Q57,
     IF('Credit Rating (Existing)'!$C$27="Oil &amp; Gas", S57,
      IF('Credit Rating (Start-up)'!$D$25="Generic", I57,
       IF('Credit Rating (Start-up)'!$D$25="Manufacturing", K57,
        IF('Credit Rating (Start-up)'!$D$25="Retail-Wholesale", M57,
         IF('Credit Rating (Start-up)'!$D$25="Services", O57,
          IF('Credit Rating (Start-up)'!$D$25="Import/ Assembly/ Distribution", Q57,
           IF('Credit Rating (Start-up)'!$D$25="Oil &amp; Gas", S57,
            "N/A"))))))))))))</f>
        <v>0.3</v>
      </c>
      <c r="F57" s="174">
        <v>1</v>
      </c>
      <c r="G57" s="159">
        <v>1</v>
      </c>
      <c r="H57" s="249"/>
      <c r="I57" s="250"/>
      <c r="J57" s="253">
        <v>0</v>
      </c>
      <c r="K57" s="254">
        <v>0.3</v>
      </c>
      <c r="L57" s="253">
        <v>0</v>
      </c>
      <c r="M57" s="254">
        <v>0.3</v>
      </c>
      <c r="N57" s="253">
        <v>0</v>
      </c>
      <c r="O57" s="255">
        <v>0.3</v>
      </c>
      <c r="P57" s="253">
        <v>0</v>
      </c>
      <c r="Q57" s="254">
        <v>0.3</v>
      </c>
      <c r="R57" s="253">
        <v>0</v>
      </c>
      <c r="S57" s="255">
        <v>0.3</v>
      </c>
    </row>
    <row r="58" spans="2:19">
      <c r="B58" s="605"/>
      <c r="C58" s="602" t="str">
        <f>'Model Data'!B94</f>
        <v>Stock Turnover (days)</v>
      </c>
      <c r="D58" s="14">
        <f>IF('Credit Rating (Existing)'!$C$27="Generic", H58,
 IF('Credit Rating (Existing)'!$C$27="Manufacturing", J58,
  IF('Credit Rating (Existing)'!$C$27="Retail-Wholesale", L58,
   IF('Credit Rating (Existing)'!$C$27="Services", N58,
    IF('Credit Rating (Existing)'!$C$27="Import/ Assembly/ Distribution", P58,
     IF('Credit Rating (Existing)'!$C$27="Oil &amp; Gas", R58,
      IF('Credit Rating (Start-up)'!$D$25="Generic", H58,
       IF('Credit Rating (Start-up)'!$D$25="Manufacturing", J58,
        IF('Credit Rating (Start-up)'!$D$25="Retail-Wholesale", L58,
         IF('Credit Rating (Start-up)'!$D$25="Services", N58,
          IF('Credit Rating (Start-up)'!$D$25="Import/ Assembly/ Distribution", P58,
           IF('Credit Rating (Start-up)'!$D$25="Oil &amp; Gas", R58,
            "N/A"))))))))))))</f>
        <v>360</v>
      </c>
      <c r="E58" s="14" t="str">
        <f>IF('Credit Rating (Existing)'!$C$27="Generic", I58,
 IF('Credit Rating (Existing)'!$C$27="Manufacturing", K58,
  IF('Credit Rating (Existing)'!$C$27="Retail-Wholesale", M58,
   IF('Credit Rating (Existing)'!$C$27="Services", O58,
    IF('Credit Rating (Existing)'!$C$27="Import/ Assembly/ Distribution", Q58,
     IF('Credit Rating (Existing)'!$C$27="Oil &amp; Gas", S58,
      IF('Credit Rating (Start-up)'!$D$25="Generic", I58,
       IF('Credit Rating (Start-up)'!$D$25="Manufacturing", K58,
        IF('Credit Rating (Start-up)'!$D$25="Retail-Wholesale", M58,
         IF('Credit Rating (Start-up)'!$D$25="Services", O58,
          IF('Credit Rating (Start-up)'!$D$25="Import/ Assembly/ Distribution", Q58,
           IF('Credit Rating (Start-up)'!$D$25="Oil &amp; Gas", S58,
            "N/A"))))))))))))</f>
        <v>∞</v>
      </c>
      <c r="F58" s="164">
        <v>1</v>
      </c>
      <c r="G58" s="149">
        <v>1</v>
      </c>
      <c r="H58" s="178"/>
      <c r="I58" s="166"/>
      <c r="J58" s="181">
        <v>360</v>
      </c>
      <c r="K58" s="182" t="s">
        <v>306</v>
      </c>
      <c r="L58" s="266">
        <v>60</v>
      </c>
      <c r="M58" s="267" t="s">
        <v>306</v>
      </c>
      <c r="N58" s="179">
        <v>4</v>
      </c>
      <c r="O58" s="180" t="s">
        <v>306</v>
      </c>
      <c r="P58" s="181">
        <v>360</v>
      </c>
      <c r="Q58" s="182" t="s">
        <v>306</v>
      </c>
      <c r="R58" s="181">
        <v>360</v>
      </c>
      <c r="S58" s="183" t="s">
        <v>306</v>
      </c>
    </row>
    <row r="59" spans="2:19">
      <c r="B59" s="605"/>
      <c r="C59" s="603"/>
      <c r="D59" s="6">
        <f>IF('Credit Rating (Existing)'!$C$27="Generic", H59,
 IF('Credit Rating (Existing)'!$C$27="Manufacturing", J59,
  IF('Credit Rating (Existing)'!$C$27="Retail-Wholesale", L59,
   IF('Credit Rating (Existing)'!$C$27="Services", N59,
    IF('Credit Rating (Existing)'!$C$27="Import/ Assembly/ Distribution", P59,
     IF('Credit Rating (Existing)'!$C$27="Oil &amp; Gas", R59,
      IF('Credit Rating (Start-up)'!$D$25="Generic", H59,
       IF('Credit Rating (Start-up)'!$D$25="Manufacturing", J59,
        IF('Credit Rating (Start-up)'!$D$25="Retail-Wholesale", L59,
         IF('Credit Rating (Start-up)'!$D$25="Services", N59,
          IF('Credit Rating (Start-up)'!$D$25="Import/ Assembly/ Distribution", P59,
           IF('Credit Rating (Start-up)'!$D$25="Oil &amp; Gas", R59,
            "N/A"))))))))))))</f>
        <v>180</v>
      </c>
      <c r="E59" s="6">
        <f>IF('Credit Rating (Existing)'!$C$27="Generic", I59,
 IF('Credit Rating (Existing)'!$C$27="Manufacturing", K59,
  IF('Credit Rating (Existing)'!$C$27="Retail-Wholesale", M59,
   IF('Credit Rating (Existing)'!$C$27="Services", O59,
    IF('Credit Rating (Existing)'!$C$27="Import/ Assembly/ Distribution", Q59,
     IF('Credit Rating (Existing)'!$C$27="Oil &amp; Gas", S59,
      IF('Credit Rating (Start-up)'!$D$25="Generic", I59,
       IF('Credit Rating (Start-up)'!$D$25="Manufacturing", K59,
        IF('Credit Rating (Start-up)'!$D$25="Retail-Wholesale", M59,
         IF('Credit Rating (Start-up)'!$D$25="Services", O59,
          IF('Credit Rating (Start-up)'!$D$25="Import/ Assembly/ Distribution", Q59,
           IF('Credit Rating (Start-up)'!$D$25="Oil &amp; Gas", S59,
            "N/A"))))))))))))</f>
        <v>360</v>
      </c>
      <c r="F59" s="169">
        <v>2</v>
      </c>
      <c r="G59" s="154">
        <v>4</v>
      </c>
      <c r="H59" s="186"/>
      <c r="I59" s="187"/>
      <c r="J59" s="190">
        <v>180</v>
      </c>
      <c r="K59" s="10">
        <v>360</v>
      </c>
      <c r="L59" s="268">
        <v>45</v>
      </c>
      <c r="M59" s="269">
        <v>60</v>
      </c>
      <c r="N59" s="188">
        <v>3</v>
      </c>
      <c r="O59" s="189">
        <v>4</v>
      </c>
      <c r="P59" s="190">
        <v>180</v>
      </c>
      <c r="Q59" s="10">
        <v>360</v>
      </c>
      <c r="R59" s="190">
        <v>180</v>
      </c>
      <c r="S59" s="191">
        <v>360</v>
      </c>
    </row>
    <row r="60" spans="2:19">
      <c r="B60" s="605"/>
      <c r="C60" s="603"/>
      <c r="D60" s="6">
        <f>IF('Credit Rating (Existing)'!$C$27="Generic", H60,
 IF('Credit Rating (Existing)'!$C$27="Manufacturing", J60,
  IF('Credit Rating (Existing)'!$C$27="Retail-Wholesale", L60,
   IF('Credit Rating (Existing)'!$C$27="Services", N60,
    IF('Credit Rating (Existing)'!$C$27="Import/ Assembly/ Distribution", P60,
     IF('Credit Rating (Existing)'!$C$27="Oil &amp; Gas", R60,
      IF('Credit Rating (Start-up)'!$D$25="Generic", H60,
       IF('Credit Rating (Start-up)'!$D$25="Manufacturing", J60,
        IF('Credit Rating (Start-up)'!$D$25="Retail-Wholesale", L60,
         IF('Credit Rating (Start-up)'!$D$25="Services", N60,
          IF('Credit Rating (Start-up)'!$D$25="Import/ Assembly/ Distribution", P60,
           IF('Credit Rating (Start-up)'!$D$25="Oil &amp; Gas", R60,
            "N/A"))))))))))))</f>
        <v>90</v>
      </c>
      <c r="E60" s="6">
        <f>IF('Credit Rating (Existing)'!$C$27="Generic", I60,
 IF('Credit Rating (Existing)'!$C$27="Manufacturing", K60,
  IF('Credit Rating (Existing)'!$C$27="Retail-Wholesale", M60,
   IF('Credit Rating (Existing)'!$C$27="Services", O60,
    IF('Credit Rating (Existing)'!$C$27="Import/ Assembly/ Distribution", Q60,
     IF('Credit Rating (Existing)'!$C$27="Oil &amp; Gas", S60,
      IF('Credit Rating (Start-up)'!$D$25="Generic", I60,
       IF('Credit Rating (Start-up)'!$D$25="Manufacturing", K60,
        IF('Credit Rating (Start-up)'!$D$25="Retail-Wholesale", M60,
         IF('Credit Rating (Start-up)'!$D$25="Services", O60,
          IF('Credit Rating (Start-up)'!$D$25="Import/ Assembly/ Distribution", Q60,
           IF('Credit Rating (Start-up)'!$D$25="Oil &amp; Gas", S60,
            "N/A"))))))))))))</f>
        <v>180</v>
      </c>
      <c r="F60" s="169">
        <v>3</v>
      </c>
      <c r="G60" s="154">
        <v>5</v>
      </c>
      <c r="H60" s="186"/>
      <c r="I60" s="187"/>
      <c r="J60" s="190">
        <v>90</v>
      </c>
      <c r="K60" s="10">
        <v>180</v>
      </c>
      <c r="L60" s="268">
        <v>30</v>
      </c>
      <c r="M60" s="269">
        <v>45</v>
      </c>
      <c r="N60" s="188">
        <v>2</v>
      </c>
      <c r="O60" s="189">
        <v>3</v>
      </c>
      <c r="P60" s="190">
        <v>90</v>
      </c>
      <c r="Q60" s="10">
        <v>180</v>
      </c>
      <c r="R60" s="190">
        <v>90</v>
      </c>
      <c r="S60" s="191">
        <v>180</v>
      </c>
    </row>
    <row r="61" spans="2:19">
      <c r="B61" s="605"/>
      <c r="C61" s="603"/>
      <c r="D61" s="6">
        <f>IF('Credit Rating (Existing)'!$C$27="Generic", H61,
 IF('Credit Rating (Existing)'!$C$27="Manufacturing", J61,
  IF('Credit Rating (Existing)'!$C$27="Retail-Wholesale", L61,
   IF('Credit Rating (Existing)'!$C$27="Services", N61,
    IF('Credit Rating (Existing)'!$C$27="Import/ Assembly/ Distribution", P61,
     IF('Credit Rating (Existing)'!$C$27="Oil &amp; Gas", R61,
      IF('Credit Rating (Start-up)'!$D$25="Generic", H61,
       IF('Credit Rating (Start-up)'!$D$25="Manufacturing", J61,
        IF('Credit Rating (Start-up)'!$D$25="Retail-Wholesale", L61,
         IF('Credit Rating (Start-up)'!$D$25="Services", N61,
          IF('Credit Rating (Start-up)'!$D$25="Import/ Assembly/ Distribution", P61,
           IF('Credit Rating (Start-up)'!$D$25="Oil &amp; Gas", R61,
            "N/A"))))))))))))</f>
        <v>30</v>
      </c>
      <c r="E61" s="6">
        <f>IF('Credit Rating (Existing)'!$C$27="Generic", I61,
 IF('Credit Rating (Existing)'!$C$27="Manufacturing", K61,
  IF('Credit Rating (Existing)'!$C$27="Retail-Wholesale", M61,
   IF('Credit Rating (Existing)'!$C$27="Services", O61,
    IF('Credit Rating (Existing)'!$C$27="Import/ Assembly/ Distribution", Q61,
     IF('Credit Rating (Existing)'!$C$27="Oil &amp; Gas", S61,
      IF('Credit Rating (Start-up)'!$D$25="Generic", I61,
       IF('Credit Rating (Start-up)'!$D$25="Manufacturing", K61,
        IF('Credit Rating (Start-up)'!$D$25="Retail-Wholesale", M61,
         IF('Credit Rating (Start-up)'!$D$25="Services", O61,
          IF('Credit Rating (Start-up)'!$D$25="Import/ Assembly/ Distribution", Q61,
           IF('Credit Rating (Start-up)'!$D$25="Oil &amp; Gas", S61,
            "N/A"))))))))))))</f>
        <v>90</v>
      </c>
      <c r="F61" s="169">
        <v>4</v>
      </c>
      <c r="G61" s="154">
        <v>3</v>
      </c>
      <c r="H61" s="186"/>
      <c r="I61" s="187"/>
      <c r="J61" s="190">
        <v>30</v>
      </c>
      <c r="K61" s="10">
        <v>90</v>
      </c>
      <c r="L61" s="268">
        <v>15</v>
      </c>
      <c r="M61" s="269">
        <v>30</v>
      </c>
      <c r="N61" s="188">
        <v>1</v>
      </c>
      <c r="O61" s="189">
        <v>2</v>
      </c>
      <c r="P61" s="190">
        <v>30</v>
      </c>
      <c r="Q61" s="10">
        <v>90</v>
      </c>
      <c r="R61" s="190">
        <v>30</v>
      </c>
      <c r="S61" s="191">
        <v>90</v>
      </c>
    </row>
    <row r="62" spans="2:19" ht="15.75" thickBot="1">
      <c r="B62" s="605"/>
      <c r="C62" s="604"/>
      <c r="D62" s="4">
        <f>IF('Credit Rating (Existing)'!$C$27="Generic", H62,
 IF('Credit Rating (Existing)'!$C$27="Manufacturing", J62,
  IF('Credit Rating (Existing)'!$C$27="Retail-Wholesale", L62,
   IF('Credit Rating (Existing)'!$C$27="Services", N62,
    IF('Credit Rating (Existing)'!$C$27="Import/ Assembly/ Distribution", P62,
     IF('Credit Rating (Existing)'!$C$27="Oil &amp; Gas", R62,
      IF('Credit Rating (Start-up)'!$D$25="Generic", H62,
       IF('Credit Rating (Start-up)'!$D$25="Manufacturing", J62,
        IF('Credit Rating (Start-up)'!$D$25="Retail-Wholesale", L62,
         IF('Credit Rating (Start-up)'!$D$25="Services", N62,
          IF('Credit Rating (Start-up)'!$D$25="Import/ Assembly/ Distribution", P62,
           IF('Credit Rating (Start-up)'!$D$25="Oil &amp; Gas", R62,
            "N/A"))))))))))))</f>
        <v>0</v>
      </c>
      <c r="E62" s="4">
        <f>IF('Credit Rating (Existing)'!$C$27="Generic", I62,
 IF('Credit Rating (Existing)'!$C$27="Manufacturing", K62,
  IF('Credit Rating (Existing)'!$C$27="Retail-Wholesale", M62,
   IF('Credit Rating (Existing)'!$C$27="Services", O62,
    IF('Credit Rating (Existing)'!$C$27="Import/ Assembly/ Distribution", Q62,
     IF('Credit Rating (Existing)'!$C$27="Oil &amp; Gas", S62,
      IF('Credit Rating (Start-up)'!$D$25="Generic", I62,
       IF('Credit Rating (Start-up)'!$D$25="Manufacturing", K62,
        IF('Credit Rating (Start-up)'!$D$25="Retail-Wholesale", M62,
         IF('Credit Rating (Start-up)'!$D$25="Services", O62,
          IF('Credit Rating (Start-up)'!$D$25="Import/ Assembly/ Distribution", Q62,
           IF('Credit Rating (Start-up)'!$D$25="Oil &amp; Gas", S62,
            "N/A"))))))))))))</f>
        <v>30</v>
      </c>
      <c r="F62" s="174">
        <v>5</v>
      </c>
      <c r="G62" s="159">
        <v>2</v>
      </c>
      <c r="H62" s="270"/>
      <c r="I62" s="194"/>
      <c r="J62" s="271">
        <v>0</v>
      </c>
      <c r="K62" s="198">
        <v>30</v>
      </c>
      <c r="L62" s="272">
        <v>0</v>
      </c>
      <c r="M62" s="273">
        <v>15</v>
      </c>
      <c r="N62" s="274">
        <v>0</v>
      </c>
      <c r="O62" s="196">
        <v>1</v>
      </c>
      <c r="P62" s="271">
        <v>0</v>
      </c>
      <c r="Q62" s="198">
        <v>30</v>
      </c>
      <c r="R62" s="271">
        <v>0</v>
      </c>
      <c r="S62" s="199">
        <v>30</v>
      </c>
    </row>
    <row r="63" spans="2:19">
      <c r="B63" s="605"/>
      <c r="C63" s="599" t="str">
        <f>'Model Data'!B95</f>
        <v>Receivables Turnover (days)</v>
      </c>
      <c r="D63" s="14">
        <f>IF('Credit Rating (Existing)'!$C$27="Generic", H63,
 IF('Credit Rating (Existing)'!$C$27="Manufacturing", J63,
  IF('Credit Rating (Existing)'!$C$27="Retail-Wholesale", L63,
   IF('Credit Rating (Existing)'!$C$27="Services", N63,
    IF('Credit Rating (Existing)'!$C$27="Import/ Assembly/ Distribution", P63,
     IF('Credit Rating (Existing)'!$C$27="Oil &amp; Gas", R63,
      IF('Credit Rating (Start-up)'!$D$25="Generic", H63,
       IF('Credit Rating (Start-up)'!$D$25="Manufacturing", J63,
        IF('Credit Rating (Start-up)'!$D$25="Retail-Wholesale", L63,
         IF('Credit Rating (Start-up)'!$D$25="Services", N63,
          IF('Credit Rating (Start-up)'!$D$25="Import/ Assembly/ Distribution", P63,
           IF('Credit Rating (Start-up)'!$D$25="Oil &amp; Gas", R63,
            "N/A"))))))))))))</f>
        <v>360</v>
      </c>
      <c r="E63" s="14" t="str">
        <f>IF('Credit Rating (Existing)'!$C$27="Generic", I63,
 IF('Credit Rating (Existing)'!$C$27="Manufacturing", K63,
  IF('Credit Rating (Existing)'!$C$27="Retail-Wholesale", M63,
   IF('Credit Rating (Existing)'!$C$27="Services", O63,
    IF('Credit Rating (Existing)'!$C$27="Import/ Assembly/ Distribution", Q63,
     IF('Credit Rating (Existing)'!$C$27="Oil &amp; Gas", S63,
      IF('Credit Rating (Start-up)'!$D$25="Generic", I63,
       IF('Credit Rating (Start-up)'!$D$25="Manufacturing", K63,
        IF('Credit Rating (Start-up)'!$D$25="Retail-Wholesale", M63,
         IF('Credit Rating (Start-up)'!$D$25="Services", O63,
          IF('Credit Rating (Start-up)'!$D$25="Import/ Assembly/ Distribution", Q63,
           IF('Credit Rating (Start-up)'!$D$25="Oil &amp; Gas", S63,
            "N/A"))))))))))))</f>
        <v>∞</v>
      </c>
      <c r="F63" s="164">
        <v>1</v>
      </c>
      <c r="G63" s="149">
        <v>1</v>
      </c>
      <c r="H63" s="178"/>
      <c r="I63" s="166"/>
      <c r="J63" s="275">
        <v>360</v>
      </c>
      <c r="K63" s="276" t="s">
        <v>306</v>
      </c>
      <c r="L63" s="277">
        <v>60</v>
      </c>
      <c r="M63" s="278" t="s">
        <v>306</v>
      </c>
      <c r="N63" s="277">
        <v>60</v>
      </c>
      <c r="O63" s="279" t="s">
        <v>306</v>
      </c>
      <c r="P63" s="275">
        <v>360</v>
      </c>
      <c r="Q63" s="276" t="s">
        <v>306</v>
      </c>
      <c r="R63" s="275">
        <v>360</v>
      </c>
      <c r="S63" s="153" t="s">
        <v>306</v>
      </c>
    </row>
    <row r="64" spans="2:19">
      <c r="B64" s="605"/>
      <c r="C64" s="600"/>
      <c r="D64" s="6">
        <f>IF('Credit Rating (Existing)'!$C$27="Generic", H64,
 IF('Credit Rating (Existing)'!$C$27="Manufacturing", J64,
  IF('Credit Rating (Existing)'!$C$27="Retail-Wholesale", L64,
   IF('Credit Rating (Existing)'!$C$27="Services", N64,
    IF('Credit Rating (Existing)'!$C$27="Import/ Assembly/ Distribution", P64,
     IF('Credit Rating (Existing)'!$C$27="Oil &amp; Gas", R64,
      IF('Credit Rating (Start-up)'!$D$25="Generic", H64,
       IF('Credit Rating (Start-up)'!$D$25="Manufacturing", J64,
        IF('Credit Rating (Start-up)'!$D$25="Retail-Wholesale", L64,
         IF('Credit Rating (Start-up)'!$D$25="Services", N64,
          IF('Credit Rating (Start-up)'!$D$25="Import/ Assembly/ Distribution", P64,
           IF('Credit Rating (Start-up)'!$D$25="Oil &amp; Gas", R64,
            "N/A"))))))))))))</f>
        <v>180</v>
      </c>
      <c r="E64" s="6">
        <f>IF('Credit Rating (Existing)'!$C$27="Generic", I64,
 IF('Credit Rating (Existing)'!$C$27="Manufacturing", K64,
  IF('Credit Rating (Existing)'!$C$27="Retail-Wholesale", M64,
   IF('Credit Rating (Existing)'!$C$27="Services", O64,
    IF('Credit Rating (Existing)'!$C$27="Import/ Assembly/ Distribution", Q64,
     IF('Credit Rating (Existing)'!$C$27="Oil &amp; Gas", S64,
      IF('Credit Rating (Start-up)'!$D$25="Generic", I64,
       IF('Credit Rating (Start-up)'!$D$25="Manufacturing", K64,
        IF('Credit Rating (Start-up)'!$D$25="Retail-Wholesale", M64,
         IF('Credit Rating (Start-up)'!$D$25="Services", O64,
          IF('Credit Rating (Start-up)'!$D$25="Import/ Assembly/ Distribution", Q64,
           IF('Credit Rating (Start-up)'!$D$25="Oil &amp; Gas", S64,
            "N/A"))))))))))))</f>
        <v>360</v>
      </c>
      <c r="F64" s="169">
        <v>2</v>
      </c>
      <c r="G64" s="154">
        <v>4</v>
      </c>
      <c r="H64" s="186"/>
      <c r="I64" s="187"/>
      <c r="J64" s="280">
        <v>180</v>
      </c>
      <c r="K64" s="8">
        <v>360</v>
      </c>
      <c r="L64" s="281">
        <v>45</v>
      </c>
      <c r="M64" s="282">
        <v>60</v>
      </c>
      <c r="N64" s="281">
        <v>45</v>
      </c>
      <c r="O64" s="283">
        <v>60</v>
      </c>
      <c r="P64" s="280">
        <v>180</v>
      </c>
      <c r="Q64" s="8">
        <v>360</v>
      </c>
      <c r="R64" s="280">
        <v>180</v>
      </c>
      <c r="S64" s="337">
        <v>360</v>
      </c>
    </row>
    <row r="65" spans="2:19">
      <c r="B65" s="605"/>
      <c r="C65" s="600"/>
      <c r="D65" s="6">
        <f>IF('Credit Rating (Existing)'!$C$27="Generic", H65,
 IF('Credit Rating (Existing)'!$C$27="Manufacturing", J65,
  IF('Credit Rating (Existing)'!$C$27="Retail-Wholesale", L65,
   IF('Credit Rating (Existing)'!$C$27="Services", N65,
    IF('Credit Rating (Existing)'!$C$27="Import/ Assembly/ Distribution", P65,
     IF('Credit Rating (Existing)'!$C$27="Oil &amp; Gas", R65,
      IF('Credit Rating (Start-up)'!$D$25="Generic", H65,
       IF('Credit Rating (Start-up)'!$D$25="Manufacturing", J65,
        IF('Credit Rating (Start-up)'!$D$25="Retail-Wholesale", L65,
         IF('Credit Rating (Start-up)'!$D$25="Services", N65,
          IF('Credit Rating (Start-up)'!$D$25="Import/ Assembly/ Distribution", P65,
           IF('Credit Rating (Start-up)'!$D$25="Oil &amp; Gas", R65,
            "N/A"))))))))))))</f>
        <v>90</v>
      </c>
      <c r="E65" s="6">
        <f>IF('Credit Rating (Existing)'!$C$27="Generic", I65,
 IF('Credit Rating (Existing)'!$C$27="Manufacturing", K65,
  IF('Credit Rating (Existing)'!$C$27="Retail-Wholesale", M65,
   IF('Credit Rating (Existing)'!$C$27="Services", O65,
    IF('Credit Rating (Existing)'!$C$27="Import/ Assembly/ Distribution", Q65,
     IF('Credit Rating (Existing)'!$C$27="Oil &amp; Gas", S65,
      IF('Credit Rating (Start-up)'!$D$25="Generic", I65,
       IF('Credit Rating (Start-up)'!$D$25="Manufacturing", K65,
        IF('Credit Rating (Start-up)'!$D$25="Retail-Wholesale", M65,
         IF('Credit Rating (Start-up)'!$D$25="Services", O65,
          IF('Credit Rating (Start-up)'!$D$25="Import/ Assembly/ Distribution", Q65,
           IF('Credit Rating (Start-up)'!$D$25="Oil &amp; Gas", S65,
            "N/A"))))))))))))</f>
        <v>180</v>
      </c>
      <c r="F65" s="169">
        <v>3</v>
      </c>
      <c r="G65" s="154">
        <v>5</v>
      </c>
      <c r="H65" s="186"/>
      <c r="I65" s="187"/>
      <c r="J65" s="280">
        <v>90</v>
      </c>
      <c r="K65" s="8">
        <v>180</v>
      </c>
      <c r="L65" s="281">
        <v>30</v>
      </c>
      <c r="M65" s="282">
        <v>45</v>
      </c>
      <c r="N65" s="281">
        <v>30</v>
      </c>
      <c r="O65" s="283">
        <v>45</v>
      </c>
      <c r="P65" s="280">
        <v>90</v>
      </c>
      <c r="Q65" s="8">
        <v>180</v>
      </c>
      <c r="R65" s="280">
        <v>90</v>
      </c>
      <c r="S65" s="337">
        <v>180</v>
      </c>
    </row>
    <row r="66" spans="2:19">
      <c r="B66" s="605"/>
      <c r="C66" s="600"/>
      <c r="D66" s="6">
        <f>IF('Credit Rating (Existing)'!$C$27="Generic", H66,
 IF('Credit Rating (Existing)'!$C$27="Manufacturing", J66,
  IF('Credit Rating (Existing)'!$C$27="Retail-Wholesale", L66,
   IF('Credit Rating (Existing)'!$C$27="Services", N66,
    IF('Credit Rating (Existing)'!$C$27="Import/ Assembly/ Distribution", P66,
     IF('Credit Rating (Existing)'!$C$27="Oil &amp; Gas", R66,
      IF('Credit Rating (Start-up)'!$D$25="Generic", H66,
       IF('Credit Rating (Start-up)'!$D$25="Manufacturing", J66,
        IF('Credit Rating (Start-up)'!$D$25="Retail-Wholesale", L66,
         IF('Credit Rating (Start-up)'!$D$25="Services", N66,
          IF('Credit Rating (Start-up)'!$D$25="Import/ Assembly/ Distribution", P66,
           IF('Credit Rating (Start-up)'!$D$25="Oil &amp; Gas", R66,
            "N/A"))))))))))))</f>
        <v>30</v>
      </c>
      <c r="E66" s="6">
        <f>IF('Credit Rating (Existing)'!$C$27="Generic", I66,
 IF('Credit Rating (Existing)'!$C$27="Manufacturing", K66,
  IF('Credit Rating (Existing)'!$C$27="Retail-Wholesale", M66,
   IF('Credit Rating (Existing)'!$C$27="Services", O66,
    IF('Credit Rating (Existing)'!$C$27="Import/ Assembly/ Distribution", Q66,
     IF('Credit Rating (Existing)'!$C$27="Oil &amp; Gas", S66,
      IF('Credit Rating (Start-up)'!$D$25="Generic", I66,
       IF('Credit Rating (Start-up)'!$D$25="Manufacturing", K66,
        IF('Credit Rating (Start-up)'!$D$25="Retail-Wholesale", M66,
         IF('Credit Rating (Start-up)'!$D$25="Services", O66,
          IF('Credit Rating (Start-up)'!$D$25="Import/ Assembly/ Distribution", Q66,
           IF('Credit Rating (Start-up)'!$D$25="Oil &amp; Gas", S66,
            "N/A"))))))))))))</f>
        <v>90</v>
      </c>
      <c r="F66" s="169">
        <v>4</v>
      </c>
      <c r="G66" s="154">
        <v>3</v>
      </c>
      <c r="H66" s="186"/>
      <c r="I66" s="187"/>
      <c r="J66" s="280">
        <v>30</v>
      </c>
      <c r="K66" s="8">
        <v>90</v>
      </c>
      <c r="L66" s="281">
        <v>15</v>
      </c>
      <c r="M66" s="282">
        <v>30</v>
      </c>
      <c r="N66" s="281">
        <v>15</v>
      </c>
      <c r="O66" s="283">
        <v>30</v>
      </c>
      <c r="P66" s="280">
        <v>30</v>
      </c>
      <c r="Q66" s="8">
        <v>90</v>
      </c>
      <c r="R66" s="280">
        <v>30</v>
      </c>
      <c r="S66" s="337">
        <v>90</v>
      </c>
    </row>
    <row r="67" spans="2:19" ht="15.75" thickBot="1">
      <c r="B67" s="605"/>
      <c r="C67" s="601"/>
      <c r="D67" s="4">
        <f>IF('Credit Rating (Existing)'!$C$27="Generic", H67,
 IF('Credit Rating (Existing)'!$C$27="Manufacturing", J67,
  IF('Credit Rating (Existing)'!$C$27="Retail-Wholesale", L67,
   IF('Credit Rating (Existing)'!$C$27="Services", N67,
    IF('Credit Rating (Existing)'!$C$27="Import/ Assembly/ Distribution", P67,
     IF('Credit Rating (Existing)'!$C$27="Oil &amp; Gas", R67,
      IF('Credit Rating (Start-up)'!$D$25="Generic", H67,
       IF('Credit Rating (Start-up)'!$D$25="Manufacturing", J67,
        IF('Credit Rating (Start-up)'!$D$25="Retail-Wholesale", L67,
         IF('Credit Rating (Start-up)'!$D$25="Services", N67,
          IF('Credit Rating (Start-up)'!$D$25="Import/ Assembly/ Distribution", P67,
           IF('Credit Rating (Start-up)'!$D$25="Oil &amp; Gas", R67,
            "N/A"))))))))))))</f>
        <v>0</v>
      </c>
      <c r="E67" s="4">
        <f>IF('Credit Rating (Existing)'!$C$27="Generic", I67,
 IF('Credit Rating (Existing)'!$C$27="Manufacturing", K67,
  IF('Credit Rating (Existing)'!$C$27="Retail-Wholesale", M67,
   IF('Credit Rating (Existing)'!$C$27="Services", O67,
    IF('Credit Rating (Existing)'!$C$27="Import/ Assembly/ Distribution", Q67,
     IF('Credit Rating (Existing)'!$C$27="Oil &amp; Gas", S67,
      IF('Credit Rating (Start-up)'!$D$25="Generic", I67,
       IF('Credit Rating (Start-up)'!$D$25="Manufacturing", K67,
        IF('Credit Rating (Start-up)'!$D$25="Retail-Wholesale", M67,
         IF('Credit Rating (Start-up)'!$D$25="Services", O67,
          IF('Credit Rating (Start-up)'!$D$25="Import/ Assembly/ Distribution", Q67,
           IF('Credit Rating (Start-up)'!$D$25="Oil &amp; Gas", S67,
            "N/A"))))))))))))</f>
        <v>30</v>
      </c>
      <c r="F67" s="174">
        <v>5</v>
      </c>
      <c r="G67" s="159">
        <v>2</v>
      </c>
      <c r="H67" s="270"/>
      <c r="I67" s="194"/>
      <c r="J67" s="284">
        <v>0</v>
      </c>
      <c r="K67" s="285">
        <v>30</v>
      </c>
      <c r="L67" s="286">
        <v>0</v>
      </c>
      <c r="M67" s="287">
        <v>15</v>
      </c>
      <c r="N67" s="286">
        <v>0</v>
      </c>
      <c r="O67" s="288">
        <v>15</v>
      </c>
      <c r="P67" s="284">
        <v>0</v>
      </c>
      <c r="Q67" s="285">
        <v>30</v>
      </c>
      <c r="R67" s="284">
        <v>0</v>
      </c>
      <c r="S67" s="338">
        <v>30</v>
      </c>
    </row>
    <row r="68" spans="2:19" ht="15.75" thickBot="1"/>
    <row r="69" spans="2:19" ht="14.85" customHeight="1">
      <c r="B69" s="598" t="s">
        <v>304</v>
      </c>
      <c r="C69" s="599" t="s">
        <v>97</v>
      </c>
      <c r="D69" s="11">
        <f>IF('Credit Rating (Existing)'!$C$27="Generic", H69,
 IF('Credit Rating (Existing)'!$C$27="Manufacturing", J69,
  IF('Credit Rating (Existing)'!$C$27="Retail-Wholesale", L69,
   IF('Credit Rating (Existing)'!$C$27="Services", N69,
    IF('Credit Rating (Existing)'!$C$27="Import/ Assembly/ Distribution", P69,
     IF('Credit Rating (Existing)'!$C$27="Oil &amp; Gas", R69,
      IF('Credit Rating (Start-up)'!$D$25="Generic", H69,
       IF('Credit Rating (Start-up)'!$D$25="Manufacturing", J69,
        IF('Credit Rating (Start-up)'!$D$25="Retail-Wholesale", L69,
         IF('Credit Rating (Start-up)'!$D$25="Services", N69,
          IF('Credit Rating (Start-up)'!$D$25="Import/ Assembly/ Distribution", P69,
           IF('Credit Rating (Start-up)'!$D$25="Oil &amp; Gas", R69,
            "N/A"))))))))))))</f>
        <v>0.5</v>
      </c>
      <c r="E69" s="11">
        <f>IF('Credit Rating (Existing)'!$C$27="Generic", I69,
 IF('Credit Rating (Existing)'!$C$27="Manufacturing", K69,
  IF('Credit Rating (Existing)'!$C$27="Retail-Wholesale", M69,
   IF('Credit Rating (Existing)'!$C$27="Services", O69,
    IF('Credit Rating (Existing)'!$C$27="Import/ Assembly/ Distribution", Q69,
     IF('Credit Rating (Existing)'!$C$27="Oil &amp; Gas", S69,
      IF('Credit Rating (Start-up)'!$D$25="Generic", I69,
       IF('Credit Rating (Start-up)'!$D$25="Manufacturing", K69,
        IF('Credit Rating (Start-up)'!$D$25="Retail-Wholesale", M69,
         IF('Credit Rating (Start-up)'!$D$25="Services", O69,
          IF('Credit Rating (Start-up)'!$D$25="Import/ Assembly/ Distribution", Q69,
           IF('Credit Rating (Start-up)'!$D$25="Oil &amp; Gas", S69,
            "N/A"))))))))))))</f>
        <v>1</v>
      </c>
      <c r="F69" s="164"/>
      <c r="G69" s="149">
        <v>5</v>
      </c>
      <c r="H69" s="235"/>
      <c r="I69" s="151"/>
      <c r="J69" s="289">
        <v>0.5</v>
      </c>
      <c r="K69" s="290">
        <v>1</v>
      </c>
      <c r="L69" s="289">
        <v>0.5</v>
      </c>
      <c r="M69" s="290">
        <v>1</v>
      </c>
      <c r="N69" s="289">
        <v>0.5</v>
      </c>
      <c r="O69" s="290">
        <v>1</v>
      </c>
      <c r="P69" s="289">
        <v>0.5</v>
      </c>
      <c r="Q69" s="290">
        <v>1</v>
      </c>
      <c r="R69" s="289">
        <v>0.5</v>
      </c>
      <c r="S69" s="290">
        <v>1</v>
      </c>
    </row>
    <row r="70" spans="2:19">
      <c r="B70" s="598"/>
      <c r="C70" s="600"/>
      <c r="D70" s="12">
        <f>IF('Credit Rating (Existing)'!$C$27="Generic", H70,
 IF('Credit Rating (Existing)'!$C$27="Manufacturing", J70,
  IF('Credit Rating (Existing)'!$C$27="Retail-Wholesale", L70,
   IF('Credit Rating (Existing)'!$C$27="Services", N70,
    IF('Credit Rating (Existing)'!$C$27="Import/ Assembly/ Distribution", P70,
     IF('Credit Rating (Existing)'!$C$27="Oil &amp; Gas", R70,
      IF('Credit Rating (Start-up)'!$D$25="Generic", H70,
       IF('Credit Rating (Start-up)'!$D$25="Manufacturing", J70,
        IF('Credit Rating (Start-up)'!$D$25="Retail-Wholesale", L70,
         IF('Credit Rating (Start-up)'!$D$25="Services", N70,
          IF('Credit Rating (Start-up)'!$D$25="Import/ Assembly/ Distribution", P70,
           IF('Credit Rating (Start-up)'!$D$25="Oil &amp; Gas", R70,
            "N/A"))))))))))))</f>
        <v>0.25</v>
      </c>
      <c r="E70" s="12">
        <f>IF('Credit Rating (Existing)'!$C$27="Generic", I70,
 IF('Credit Rating (Existing)'!$C$27="Manufacturing", K70,
  IF('Credit Rating (Existing)'!$C$27="Retail-Wholesale", M70,
   IF('Credit Rating (Existing)'!$C$27="Services", O70,
    IF('Credit Rating (Existing)'!$C$27="Import/ Assembly/ Distribution", Q70,
     IF('Credit Rating (Existing)'!$C$27="Oil &amp; Gas", S70,
      IF('Credit Rating (Start-up)'!$D$25="Generic", I70,
       IF('Credit Rating (Start-up)'!$D$25="Manufacturing", K70,
        IF('Credit Rating (Start-up)'!$D$25="Retail-Wholesale", M70,
         IF('Credit Rating (Start-up)'!$D$25="Services", O70,
          IF('Credit Rating (Start-up)'!$D$25="Import/ Assembly/ Distribution", Q70,
           IF('Credit Rating (Start-up)'!$D$25="Oil &amp; Gas", S70,
            "N/A"))))))))))))</f>
        <v>0.5</v>
      </c>
      <c r="F70" s="169"/>
      <c r="G70" s="154">
        <v>4</v>
      </c>
      <c r="H70" s="155"/>
      <c r="I70" s="156"/>
      <c r="J70" s="291">
        <v>0.25</v>
      </c>
      <c r="K70" s="292">
        <v>0.5</v>
      </c>
      <c r="L70" s="291">
        <v>0.25</v>
      </c>
      <c r="M70" s="292">
        <v>0.5</v>
      </c>
      <c r="N70" s="291">
        <v>0.25</v>
      </c>
      <c r="O70" s="292">
        <v>0.5</v>
      </c>
      <c r="P70" s="291">
        <v>0.25</v>
      </c>
      <c r="Q70" s="292">
        <v>0.5</v>
      </c>
      <c r="R70" s="291">
        <v>0.25</v>
      </c>
      <c r="S70" s="292">
        <v>0.5</v>
      </c>
    </row>
    <row r="71" spans="2:19">
      <c r="B71" s="598"/>
      <c r="C71" s="600"/>
      <c r="D71" s="12">
        <f>IF('Credit Rating (Existing)'!$C$27="Generic", H71,
 IF('Credit Rating (Existing)'!$C$27="Manufacturing", J71,
  IF('Credit Rating (Existing)'!$C$27="Retail-Wholesale", L71,
   IF('Credit Rating (Existing)'!$C$27="Services", N71,
    IF('Credit Rating (Existing)'!$C$27="Import/ Assembly/ Distribution", P71,
     IF('Credit Rating (Existing)'!$C$27="Oil &amp; Gas", R71,
      IF('Credit Rating (Start-up)'!$D$25="Generic", H71,
       IF('Credit Rating (Start-up)'!$D$25="Manufacturing", J71,
        IF('Credit Rating (Start-up)'!$D$25="Retail-Wholesale", L71,
         IF('Credit Rating (Start-up)'!$D$25="Services", N71,
          IF('Credit Rating (Start-up)'!$D$25="Import/ Assembly/ Distribution", P71,
           IF('Credit Rating (Start-up)'!$D$25="Oil &amp; Gas", R71,
            "N/A"))))))))))))</f>
        <v>0.1</v>
      </c>
      <c r="E71" s="12">
        <f>IF('Credit Rating (Existing)'!$C$27="Generic", I71,
 IF('Credit Rating (Existing)'!$C$27="Manufacturing", K71,
  IF('Credit Rating (Existing)'!$C$27="Retail-Wholesale", M71,
   IF('Credit Rating (Existing)'!$C$27="Services", O71,
    IF('Credit Rating (Existing)'!$C$27="Import/ Assembly/ Distribution", Q71,
     IF('Credit Rating (Existing)'!$C$27="Oil &amp; Gas", S71,
      IF('Credit Rating (Start-up)'!$D$25="Generic", I71,
       IF('Credit Rating (Start-up)'!$D$25="Manufacturing", K71,
        IF('Credit Rating (Start-up)'!$D$25="Retail-Wholesale", M71,
         IF('Credit Rating (Start-up)'!$D$25="Services", O71,
          IF('Credit Rating (Start-up)'!$D$25="Import/ Assembly/ Distribution", Q71,
           IF('Credit Rating (Start-up)'!$D$25="Oil &amp; Gas", S71,
            "N/A"))))))))))))</f>
        <v>0.25</v>
      </c>
      <c r="F71" s="169"/>
      <c r="G71" s="154">
        <v>3</v>
      </c>
      <c r="H71" s="155"/>
      <c r="I71" s="156"/>
      <c r="J71" s="291">
        <v>0.1</v>
      </c>
      <c r="K71" s="292">
        <v>0.25</v>
      </c>
      <c r="L71" s="291">
        <v>0.1</v>
      </c>
      <c r="M71" s="292">
        <v>0.25</v>
      </c>
      <c r="N71" s="291">
        <v>0.1</v>
      </c>
      <c r="O71" s="292">
        <v>0.25</v>
      </c>
      <c r="P71" s="291">
        <v>0.1</v>
      </c>
      <c r="Q71" s="292">
        <v>0.25</v>
      </c>
      <c r="R71" s="291">
        <v>0.1</v>
      </c>
      <c r="S71" s="292">
        <v>0.25</v>
      </c>
    </row>
    <row r="72" spans="2:19">
      <c r="B72" s="598"/>
      <c r="C72" s="600"/>
      <c r="D72" s="12">
        <f>IF('Credit Rating (Existing)'!$C$27="Generic", H72,
 IF('Credit Rating (Existing)'!$C$27="Manufacturing", J72,
  IF('Credit Rating (Existing)'!$C$27="Retail-Wholesale", L72,
   IF('Credit Rating (Existing)'!$C$27="Services", N72,
    IF('Credit Rating (Existing)'!$C$27="Import/ Assembly/ Distribution", P72,
     IF('Credit Rating (Existing)'!$C$27="Oil &amp; Gas", R72,
      IF('Credit Rating (Start-up)'!$D$25="Generic", H72,
       IF('Credit Rating (Start-up)'!$D$25="Manufacturing", J72,
        IF('Credit Rating (Start-up)'!$D$25="Retail-Wholesale", L72,
         IF('Credit Rating (Start-up)'!$D$25="Services", N72,
          IF('Credit Rating (Start-up)'!$D$25="Import/ Assembly/ Distribution", P72,
           IF('Credit Rating (Start-up)'!$D$25="Oil &amp; Gas", R72,
            "N/A"))))))))))))</f>
        <v>0.05</v>
      </c>
      <c r="E72" s="12">
        <f>IF('Credit Rating (Existing)'!$C$27="Generic", I72,
 IF('Credit Rating (Existing)'!$C$27="Manufacturing", K72,
  IF('Credit Rating (Existing)'!$C$27="Retail-Wholesale", M72,
   IF('Credit Rating (Existing)'!$C$27="Services", O72,
    IF('Credit Rating (Existing)'!$C$27="Import/ Assembly/ Distribution", Q72,
     IF('Credit Rating (Existing)'!$C$27="Oil &amp; Gas", S72,
      IF('Credit Rating (Start-up)'!$D$25="Generic", I72,
       IF('Credit Rating (Start-up)'!$D$25="Manufacturing", K72,
        IF('Credit Rating (Start-up)'!$D$25="Retail-Wholesale", M72,
         IF('Credit Rating (Start-up)'!$D$25="Services", O72,
          IF('Credit Rating (Start-up)'!$D$25="Import/ Assembly/ Distribution", Q72,
           IF('Credit Rating (Start-up)'!$D$25="Oil &amp; Gas", S72,
            "N/A"))))))))))))</f>
        <v>0.1</v>
      </c>
      <c r="F72" s="169"/>
      <c r="G72" s="154">
        <v>2</v>
      </c>
      <c r="H72" s="155"/>
      <c r="I72" s="156"/>
      <c r="J72" s="291">
        <v>0.05</v>
      </c>
      <c r="K72" s="292">
        <v>0.1</v>
      </c>
      <c r="L72" s="291">
        <v>0.05</v>
      </c>
      <c r="M72" s="292">
        <v>0.1</v>
      </c>
      <c r="N72" s="291">
        <v>0.05</v>
      </c>
      <c r="O72" s="292">
        <v>0.1</v>
      </c>
      <c r="P72" s="291">
        <v>0.05</v>
      </c>
      <c r="Q72" s="292">
        <v>0.1</v>
      </c>
      <c r="R72" s="291">
        <v>0.05</v>
      </c>
      <c r="S72" s="292">
        <v>0.1</v>
      </c>
    </row>
    <row r="73" spans="2:19" ht="15.75" thickBot="1">
      <c r="B73" s="598"/>
      <c r="C73" s="601"/>
      <c r="D73" s="13">
        <f>IF('Credit Rating (Existing)'!$C$27="Generic", H73,
 IF('Credit Rating (Existing)'!$C$27="Manufacturing", J73,
  IF('Credit Rating (Existing)'!$C$27="Retail-Wholesale", L73,
   IF('Credit Rating (Existing)'!$C$27="Services", N73,
    IF('Credit Rating (Existing)'!$C$27="Import/ Assembly/ Distribution", P73,
     IF('Credit Rating (Existing)'!$C$27="Oil &amp; Gas", R73,
      IF('Credit Rating (Start-up)'!$D$25="Generic", H73,
       IF('Credit Rating (Start-up)'!$D$25="Manufacturing", J73,
        IF('Credit Rating (Start-up)'!$D$25="Retail-Wholesale", L73,
         IF('Credit Rating (Start-up)'!$D$25="Services", N73,
          IF('Credit Rating (Start-up)'!$D$25="Import/ Assembly/ Distribution", P73,
           IF('Credit Rating (Start-up)'!$D$25="Oil &amp; Gas", R73,
            "N/A"))))))))))))</f>
        <v>0</v>
      </c>
      <c r="E73" s="13">
        <f>IF('Credit Rating (Existing)'!$C$27="Generic", I73,
 IF('Credit Rating (Existing)'!$C$27="Manufacturing", K73,
  IF('Credit Rating (Existing)'!$C$27="Retail-Wholesale", M73,
   IF('Credit Rating (Existing)'!$C$27="Services", O73,
    IF('Credit Rating (Existing)'!$C$27="Import/ Assembly/ Distribution", Q73,
     IF('Credit Rating (Existing)'!$C$27="Oil &amp; Gas", S73,
      IF('Credit Rating (Start-up)'!$D$25="Generic", I73,
       IF('Credit Rating (Start-up)'!$D$25="Manufacturing", K73,
        IF('Credit Rating (Start-up)'!$D$25="Retail-Wholesale", M73,
         IF('Credit Rating (Start-up)'!$D$25="Services", O73,
          IF('Credit Rating (Start-up)'!$D$25="Import/ Assembly/ Distribution", Q73,
           IF('Credit Rating (Start-up)'!$D$25="Oil &amp; Gas", S73,
            "N/A"))))))))))))</f>
        <v>0.05</v>
      </c>
      <c r="F73" s="174"/>
      <c r="G73" s="159">
        <v>1</v>
      </c>
      <c r="H73" s="249"/>
      <c r="I73" s="161"/>
      <c r="J73" s="293">
        <v>0</v>
      </c>
      <c r="K73" s="294">
        <v>0.05</v>
      </c>
      <c r="L73" s="293">
        <v>0</v>
      </c>
      <c r="M73" s="294">
        <v>0.05</v>
      </c>
      <c r="N73" s="293">
        <v>0</v>
      </c>
      <c r="O73" s="294">
        <v>0.05</v>
      </c>
      <c r="P73" s="293">
        <v>0</v>
      </c>
      <c r="Q73" s="294">
        <v>0.05</v>
      </c>
      <c r="R73" s="293">
        <v>0</v>
      </c>
      <c r="S73" s="294">
        <v>0.05</v>
      </c>
    </row>
    <row r="74" spans="2:19">
      <c r="B74" s="598"/>
      <c r="C74" s="602" t="s">
        <v>161</v>
      </c>
      <c r="D74" s="2">
        <f>IF('Credit Rating (Existing)'!$C$27="Generic", H74,
 IF('Credit Rating (Existing)'!$C$27="Manufacturing", J74,
  IF('Credit Rating (Existing)'!$C$27="Retail-Wholesale", L74,
   IF('Credit Rating (Existing)'!$C$27="Services", N74,
    IF('Credit Rating (Existing)'!$C$27="Import/ Assembly/ Distribution", P74,
     IF('Credit Rating (Existing)'!$C$27="Oil &amp; Gas", R74,
      IF('Credit Rating (Start-up)'!$D$25="Generic", H74,
       IF('Credit Rating (Start-up)'!$D$25="Manufacturing", J74,
        IF('Credit Rating (Start-up)'!$D$25="Retail-Wholesale", L74,
         IF('Credit Rating (Start-up)'!$D$25="Services", N74,
          IF('Credit Rating (Start-up)'!$D$25="Import/ Assembly/ Distribution", P74,
           IF('Credit Rating (Start-up)'!$D$25="Oil &amp; Gas", R74,
            "N/A"))))))))))))</f>
        <v>4</v>
      </c>
      <c r="E74" s="2" t="str">
        <f>IF('Credit Rating (Existing)'!$C$27="Generic", I74,
 IF('Credit Rating (Existing)'!$C$27="Manufacturing", K74,
  IF('Credit Rating (Existing)'!$C$27="Retail-Wholesale", M74,
   IF('Credit Rating (Existing)'!$C$27="Services", O74,
    IF('Credit Rating (Existing)'!$C$27="Import/ Assembly/ Distribution", Q74,
     IF('Credit Rating (Existing)'!$C$27="Oil &amp; Gas", S74,
      IF('Credit Rating (Start-up)'!$D$25="Generic", I74,
       IF('Credit Rating (Start-up)'!$D$25="Manufacturing", K74,
        IF('Credit Rating (Start-up)'!$D$25="Retail-Wholesale", M74,
         IF('Credit Rating (Start-up)'!$D$25="Services", O74,
          IF('Credit Rating (Start-up)'!$D$25="Import/ Assembly/ Distribution", Q74,
           IF('Credit Rating (Start-up)'!$D$25="Oil &amp; Gas", S74,
            "N/A"))))))))))))</f>
        <v>∞</v>
      </c>
      <c r="F74" s="164"/>
      <c r="G74" s="149">
        <v>1</v>
      </c>
      <c r="H74" s="178"/>
      <c r="I74" s="166"/>
      <c r="J74" s="236">
        <v>4</v>
      </c>
      <c r="K74" s="180" t="s">
        <v>306</v>
      </c>
      <c r="L74" s="237">
        <v>2</v>
      </c>
      <c r="M74" s="238" t="s">
        <v>306</v>
      </c>
      <c r="N74" s="237">
        <v>2</v>
      </c>
      <c r="O74" s="239" t="s">
        <v>306</v>
      </c>
      <c r="P74" s="240">
        <v>3</v>
      </c>
      <c r="Q74" s="182" t="s">
        <v>306</v>
      </c>
      <c r="R74" s="236">
        <v>4</v>
      </c>
      <c r="S74" s="218" t="s">
        <v>306</v>
      </c>
    </row>
    <row r="75" spans="2:19">
      <c r="B75" s="598"/>
      <c r="C75" s="603"/>
      <c r="D75" s="3">
        <f>IF('Credit Rating (Existing)'!$C$27="Generic", H75,
 IF('Credit Rating (Existing)'!$C$27="Manufacturing", J75,
  IF('Credit Rating (Existing)'!$C$27="Retail-Wholesale", L75,
   IF('Credit Rating (Existing)'!$C$27="Services", N75,
    IF('Credit Rating (Existing)'!$C$27="Import/ Assembly/ Distribution", P75,
     IF('Credit Rating (Existing)'!$C$27="Oil &amp; Gas", R75,
      IF('Credit Rating (Start-up)'!$D$25="Generic", H75,
       IF('Credit Rating (Start-up)'!$D$25="Manufacturing", J75,
        IF('Credit Rating (Start-up)'!$D$25="Retail-Wholesale", L75,
         IF('Credit Rating (Start-up)'!$D$25="Services", N75,
          IF('Credit Rating (Start-up)'!$D$25="Import/ Assembly/ Distribution", P75,
           IF('Credit Rating (Start-up)'!$D$25="Oil &amp; Gas", R75,
            "N/A"))))))))))))</f>
        <v>3</v>
      </c>
      <c r="E75" s="3">
        <f>IF('Credit Rating (Existing)'!$C$27="Generic", I75,
 IF('Credit Rating (Existing)'!$C$27="Manufacturing", K75,
  IF('Credit Rating (Existing)'!$C$27="Retail-Wholesale", M75,
   IF('Credit Rating (Existing)'!$C$27="Services", O75,
    IF('Credit Rating (Existing)'!$C$27="Import/ Assembly/ Distribution", Q75,
     IF('Credit Rating (Existing)'!$C$27="Oil &amp; Gas", S75,
      IF('Credit Rating (Start-up)'!$D$25="Generic", I75,
       IF('Credit Rating (Start-up)'!$D$25="Manufacturing", K75,
        IF('Credit Rating (Start-up)'!$D$25="Retail-Wholesale", M75,
         IF('Credit Rating (Start-up)'!$D$25="Services", O75,
          IF('Credit Rating (Start-up)'!$D$25="Import/ Assembly/ Distribution", Q75,
           IF('Credit Rating (Start-up)'!$D$25="Oil &amp; Gas", S75,
            "N/A"))))))))))))</f>
        <v>4</v>
      </c>
      <c r="F75" s="169"/>
      <c r="G75" s="154">
        <v>2</v>
      </c>
      <c r="H75" s="186"/>
      <c r="I75" s="187"/>
      <c r="J75" s="242">
        <v>3</v>
      </c>
      <c r="K75" s="243">
        <v>4</v>
      </c>
      <c r="L75" s="244">
        <v>1.5</v>
      </c>
      <c r="M75" s="245">
        <v>2</v>
      </c>
      <c r="N75" s="244">
        <v>1.5</v>
      </c>
      <c r="O75" s="246">
        <v>2</v>
      </c>
      <c r="P75" s="247">
        <v>2</v>
      </c>
      <c r="Q75" s="248">
        <v>3</v>
      </c>
      <c r="R75" s="242">
        <v>3</v>
      </c>
      <c r="S75" s="335">
        <v>4</v>
      </c>
    </row>
    <row r="76" spans="2:19">
      <c r="B76" s="598"/>
      <c r="C76" s="603"/>
      <c r="D76" s="3">
        <f>IF('Credit Rating (Existing)'!$C$27="Generic", H76,
 IF('Credit Rating (Existing)'!$C$27="Manufacturing", J76,
  IF('Credit Rating (Existing)'!$C$27="Retail-Wholesale", L76,
   IF('Credit Rating (Existing)'!$C$27="Services", N76,
    IF('Credit Rating (Existing)'!$C$27="Import/ Assembly/ Distribution", P76,
     IF('Credit Rating (Existing)'!$C$27="Oil &amp; Gas", R76,
      IF('Credit Rating (Start-up)'!$D$25="Generic", H76,
       IF('Credit Rating (Start-up)'!$D$25="Manufacturing", J76,
        IF('Credit Rating (Start-up)'!$D$25="Retail-Wholesale", L76,
         IF('Credit Rating (Start-up)'!$D$25="Services", N76,
          IF('Credit Rating (Start-up)'!$D$25="Import/ Assembly/ Distribution", P76,
           IF('Credit Rating (Start-up)'!$D$25="Oil &amp; Gas", R76,
            "N/A"))))))))))))</f>
        <v>2</v>
      </c>
      <c r="E76" s="3">
        <f>IF('Credit Rating (Existing)'!$C$27="Generic", I76,
 IF('Credit Rating (Existing)'!$C$27="Manufacturing", K76,
  IF('Credit Rating (Existing)'!$C$27="Retail-Wholesale", M76,
   IF('Credit Rating (Existing)'!$C$27="Services", O76,
    IF('Credit Rating (Existing)'!$C$27="Import/ Assembly/ Distribution", Q76,
     IF('Credit Rating (Existing)'!$C$27="Oil &amp; Gas", S76,
      IF('Credit Rating (Start-up)'!$D$25="Generic", I76,
       IF('Credit Rating (Start-up)'!$D$25="Manufacturing", K76,
        IF('Credit Rating (Start-up)'!$D$25="Retail-Wholesale", M76,
         IF('Credit Rating (Start-up)'!$D$25="Services", O76,
          IF('Credit Rating (Start-up)'!$D$25="Import/ Assembly/ Distribution", Q76,
           IF('Credit Rating (Start-up)'!$D$25="Oil &amp; Gas", S76,
            "N/A"))))))))))))</f>
        <v>3</v>
      </c>
      <c r="F76" s="169"/>
      <c r="G76" s="154">
        <v>3</v>
      </c>
      <c r="H76" s="186"/>
      <c r="I76" s="187"/>
      <c r="J76" s="242">
        <v>2</v>
      </c>
      <c r="K76" s="243">
        <v>3</v>
      </c>
      <c r="L76" s="244">
        <v>1</v>
      </c>
      <c r="M76" s="245">
        <v>1.5</v>
      </c>
      <c r="N76" s="244">
        <v>1</v>
      </c>
      <c r="O76" s="246">
        <v>1.5</v>
      </c>
      <c r="P76" s="247">
        <v>1.5</v>
      </c>
      <c r="Q76" s="248">
        <v>2</v>
      </c>
      <c r="R76" s="242">
        <v>2</v>
      </c>
      <c r="S76" s="335">
        <v>3</v>
      </c>
    </row>
    <row r="77" spans="2:19">
      <c r="B77" s="598"/>
      <c r="C77" s="603"/>
      <c r="D77" s="3">
        <f>IF('Credit Rating (Existing)'!$C$27="Generic", H77,
 IF('Credit Rating (Existing)'!$C$27="Manufacturing", J77,
  IF('Credit Rating (Existing)'!$C$27="Retail-Wholesale", L77,
   IF('Credit Rating (Existing)'!$C$27="Services", N77,
    IF('Credit Rating (Existing)'!$C$27="Import/ Assembly/ Distribution", P77,
     IF('Credit Rating (Existing)'!$C$27="Oil &amp; Gas", R77,
      IF('Credit Rating (Start-up)'!$D$25="Generic", H77,
       IF('Credit Rating (Start-up)'!$D$25="Manufacturing", J77,
        IF('Credit Rating (Start-up)'!$D$25="Retail-Wholesale", L77,
         IF('Credit Rating (Start-up)'!$D$25="Services", N77,
          IF('Credit Rating (Start-up)'!$D$25="Import/ Assembly/ Distribution", P77,
           IF('Credit Rating (Start-up)'!$D$25="Oil &amp; Gas", R77,
            "N/A"))))))))))))</f>
        <v>1</v>
      </c>
      <c r="E77" s="3">
        <f>IF('Credit Rating (Existing)'!$C$27="Generic", I77,
 IF('Credit Rating (Existing)'!$C$27="Manufacturing", K77,
  IF('Credit Rating (Existing)'!$C$27="Retail-Wholesale", M77,
   IF('Credit Rating (Existing)'!$C$27="Services", O77,
    IF('Credit Rating (Existing)'!$C$27="Import/ Assembly/ Distribution", Q77,
     IF('Credit Rating (Existing)'!$C$27="Oil &amp; Gas", S77,
      IF('Credit Rating (Start-up)'!$D$25="Generic", I77,
       IF('Credit Rating (Start-up)'!$D$25="Manufacturing", K77,
        IF('Credit Rating (Start-up)'!$D$25="Retail-Wholesale", M77,
         IF('Credit Rating (Start-up)'!$D$25="Services", O77,
          IF('Credit Rating (Start-up)'!$D$25="Import/ Assembly/ Distribution", Q77,
           IF('Credit Rating (Start-up)'!$D$25="Oil &amp; Gas", S77,
            "N/A"))))))))))))</f>
        <v>2</v>
      </c>
      <c r="F77" s="169"/>
      <c r="G77" s="154">
        <v>4</v>
      </c>
      <c r="H77" s="186"/>
      <c r="I77" s="187"/>
      <c r="J77" s="242">
        <v>1</v>
      </c>
      <c r="K77" s="243">
        <v>2</v>
      </c>
      <c r="L77" s="244">
        <v>0.5</v>
      </c>
      <c r="M77" s="245">
        <v>1</v>
      </c>
      <c r="N77" s="244">
        <v>0.5</v>
      </c>
      <c r="O77" s="246">
        <v>1</v>
      </c>
      <c r="P77" s="247">
        <v>0.8</v>
      </c>
      <c r="Q77" s="248">
        <v>1.5</v>
      </c>
      <c r="R77" s="242">
        <v>1</v>
      </c>
      <c r="S77" s="335">
        <v>2</v>
      </c>
    </row>
    <row r="78" spans="2:19" ht="15.75" thickBot="1">
      <c r="B78" s="598"/>
      <c r="C78" s="604"/>
      <c r="D78" s="5">
        <f>IF('Credit Rating (Existing)'!$C$27="Generic", H78,
 IF('Credit Rating (Existing)'!$C$27="Manufacturing", J78,
  IF('Credit Rating (Existing)'!$C$27="Retail-Wholesale", L78,
   IF('Credit Rating (Existing)'!$C$27="Services", N78,
    IF('Credit Rating (Existing)'!$C$27="Import/ Assembly/ Distribution", P78,
     IF('Credit Rating (Existing)'!$C$27="Oil &amp; Gas", R78,
      IF('Credit Rating (Start-up)'!$D$25="Generic", H78,
       IF('Credit Rating (Start-up)'!$D$25="Manufacturing", J78,
        IF('Credit Rating (Start-up)'!$D$25="Retail-Wholesale", L78,
         IF('Credit Rating (Start-up)'!$D$25="Services", N78,
          IF('Credit Rating (Start-up)'!$D$25="Import/ Assembly/ Distribution", P78,
           IF('Credit Rating (Start-up)'!$D$25="Oil &amp; Gas", R78,
            "N/A"))))))))))))</f>
        <v>0</v>
      </c>
      <c r="E78" s="5">
        <f>IF('Credit Rating (Existing)'!$C$27="Generic", I78,
 IF('Credit Rating (Existing)'!$C$27="Manufacturing", K78,
  IF('Credit Rating (Existing)'!$C$27="Retail-Wholesale", M78,
   IF('Credit Rating (Existing)'!$C$27="Services", O78,
    IF('Credit Rating (Existing)'!$C$27="Import/ Assembly/ Distribution", Q78,
     IF('Credit Rating (Existing)'!$C$27="Oil &amp; Gas", S78,
      IF('Credit Rating (Start-up)'!$D$25="Generic", I78,
       IF('Credit Rating (Start-up)'!$D$25="Manufacturing", K78,
        IF('Credit Rating (Start-up)'!$D$25="Retail-Wholesale", M78,
         IF('Credit Rating (Start-up)'!$D$25="Services", O78,
          IF('Credit Rating (Start-up)'!$D$25="Import/ Assembly/ Distribution", Q78,
           IF('Credit Rating (Start-up)'!$D$25="Oil &amp; Gas", S78,
            "N/A"))))))))))))</f>
        <v>1</v>
      </c>
      <c r="F78" s="174"/>
      <c r="G78" s="159">
        <v>5</v>
      </c>
      <c r="H78" s="270"/>
      <c r="I78" s="194"/>
      <c r="J78" s="251">
        <v>0</v>
      </c>
      <c r="K78" s="252">
        <v>1</v>
      </c>
      <c r="L78" s="253">
        <v>0</v>
      </c>
      <c r="M78" s="254">
        <v>0.5</v>
      </c>
      <c r="N78" s="253">
        <v>0</v>
      </c>
      <c r="O78" s="255">
        <v>0.5</v>
      </c>
      <c r="P78" s="256">
        <v>0</v>
      </c>
      <c r="Q78" s="257">
        <v>0.8</v>
      </c>
      <c r="R78" s="251">
        <v>0</v>
      </c>
      <c r="S78" s="336">
        <v>1</v>
      </c>
    </row>
    <row r="79" spans="2:19">
      <c r="B79" s="598"/>
      <c r="C79" s="599" t="s">
        <v>163</v>
      </c>
      <c r="D79" s="11">
        <f>IF('Credit Rating (Existing)'!$C$27="Generic", H79,
 IF('Credit Rating (Existing)'!$C$27="Manufacturing", J79,
  IF('Credit Rating (Existing)'!$C$27="Retail-Wholesale", L79,
   IF('Credit Rating (Existing)'!$C$27="Services", N79,
    IF('Credit Rating (Existing)'!$C$27="Import/ Assembly/ Distribution", P79,
     IF('Credit Rating (Existing)'!$C$27="Oil &amp; Gas", R79,
      IF('Credit Rating (Start-up)'!$D$25="Generic", H79,
       IF('Credit Rating (Start-up)'!$D$25="Manufacturing", J79,
        IF('Credit Rating (Start-up)'!$D$25="Retail-Wholesale", L79,
         IF('Credit Rating (Start-up)'!$D$25="Services", N79,
          IF('Credit Rating (Start-up)'!$D$25="Import/ Assembly/ Distribution", P79,
           IF('Credit Rating (Start-up)'!$D$25="Oil &amp; Gas", R79,
            "N/A"))))))))))))</f>
        <v>0.9</v>
      </c>
      <c r="E79" s="11">
        <f>IF('Credit Rating (Existing)'!$C$27="Generic", I79,
 IF('Credit Rating (Existing)'!$C$27="Manufacturing", K79,
  IF('Credit Rating (Existing)'!$C$27="Retail-Wholesale", M79,
   IF('Credit Rating (Existing)'!$C$27="Services", O79,
    IF('Credit Rating (Existing)'!$C$27="Import/ Assembly/ Distribution", Q79,
     IF('Credit Rating (Existing)'!$C$27="Oil &amp; Gas", S79,
      IF('Credit Rating (Start-up)'!$D$25="Generic", I79,
       IF('Credit Rating (Start-up)'!$D$25="Manufacturing", K79,
        IF('Credit Rating (Start-up)'!$D$25="Retail-Wholesale", M79,
         IF('Credit Rating (Start-up)'!$D$25="Services", O79,
          IF('Credit Rating (Start-up)'!$D$25="Import/ Assembly/ Distribution", Q79,
           IF('Credit Rating (Start-up)'!$D$25="Oil &amp; Gas", S79,
            "N/A"))))))))))))</f>
        <v>1</v>
      </c>
      <c r="F79" s="164"/>
      <c r="G79" s="149">
        <v>5</v>
      </c>
      <c r="H79" s="178"/>
      <c r="I79" s="166"/>
      <c r="J79" s="289">
        <v>0.9</v>
      </c>
      <c r="K79" s="290">
        <v>1</v>
      </c>
      <c r="L79" s="289">
        <v>0.9</v>
      </c>
      <c r="M79" s="290">
        <v>1</v>
      </c>
      <c r="N79" s="289">
        <v>0.9</v>
      </c>
      <c r="O79" s="290">
        <v>1</v>
      </c>
      <c r="P79" s="289">
        <v>0.9</v>
      </c>
      <c r="Q79" s="290">
        <v>1</v>
      </c>
      <c r="R79" s="289">
        <v>0.9</v>
      </c>
      <c r="S79" s="290">
        <v>1</v>
      </c>
    </row>
    <row r="80" spans="2:19">
      <c r="B80" s="598"/>
      <c r="C80" s="600"/>
      <c r="D80" s="12">
        <f>IF('Credit Rating (Existing)'!$C$27="Generic", H80,
 IF('Credit Rating (Existing)'!$C$27="Manufacturing", J80,
  IF('Credit Rating (Existing)'!$C$27="Retail-Wholesale", L80,
   IF('Credit Rating (Existing)'!$C$27="Services", N80,
    IF('Credit Rating (Existing)'!$C$27="Import/ Assembly/ Distribution", P80,
     IF('Credit Rating (Existing)'!$C$27="Oil &amp; Gas", R80,
      IF('Credit Rating (Start-up)'!$D$25="Generic", H80,
       IF('Credit Rating (Start-up)'!$D$25="Manufacturing", J80,
        IF('Credit Rating (Start-up)'!$D$25="Retail-Wholesale", L80,
         IF('Credit Rating (Start-up)'!$D$25="Services", N80,
          IF('Credit Rating (Start-up)'!$D$25="Import/ Assembly/ Distribution", P80,
           IF('Credit Rating (Start-up)'!$D$25="Oil &amp; Gas", R80,
            "N/A"))))))))))))</f>
        <v>0.75</v>
      </c>
      <c r="E80" s="12">
        <f>IF('Credit Rating (Existing)'!$C$27="Generic", I80,
 IF('Credit Rating (Existing)'!$C$27="Manufacturing", K80,
  IF('Credit Rating (Existing)'!$C$27="Retail-Wholesale", M80,
   IF('Credit Rating (Existing)'!$C$27="Services", O80,
    IF('Credit Rating (Existing)'!$C$27="Import/ Assembly/ Distribution", Q80,
     IF('Credit Rating (Existing)'!$C$27="Oil &amp; Gas", S80,
      IF('Credit Rating (Start-up)'!$D$25="Generic", I80,
       IF('Credit Rating (Start-up)'!$D$25="Manufacturing", K80,
        IF('Credit Rating (Start-up)'!$D$25="Retail-Wholesale", M80,
         IF('Credit Rating (Start-up)'!$D$25="Services", O80,
          IF('Credit Rating (Start-up)'!$D$25="Import/ Assembly/ Distribution", Q80,
           IF('Credit Rating (Start-up)'!$D$25="Oil &amp; Gas", S80,
            "N/A"))))))))))))</f>
        <v>0.9</v>
      </c>
      <c r="F80" s="169"/>
      <c r="G80" s="154">
        <v>4</v>
      </c>
      <c r="H80" s="186"/>
      <c r="I80" s="187"/>
      <c r="J80" s="291">
        <v>0.75</v>
      </c>
      <c r="K80" s="292">
        <v>0.9</v>
      </c>
      <c r="L80" s="291">
        <v>0.75</v>
      </c>
      <c r="M80" s="292">
        <v>0.9</v>
      </c>
      <c r="N80" s="291">
        <v>0.75</v>
      </c>
      <c r="O80" s="292">
        <v>0.9</v>
      </c>
      <c r="P80" s="291">
        <v>0.75</v>
      </c>
      <c r="Q80" s="292">
        <v>0.9</v>
      </c>
      <c r="R80" s="291">
        <v>0.75</v>
      </c>
      <c r="S80" s="292">
        <v>0.9</v>
      </c>
    </row>
    <row r="81" spans="2:19">
      <c r="B81" s="598"/>
      <c r="C81" s="600"/>
      <c r="D81" s="12">
        <f>IF('Credit Rating (Existing)'!$C$27="Generic", H81,
 IF('Credit Rating (Existing)'!$C$27="Manufacturing", J81,
  IF('Credit Rating (Existing)'!$C$27="Retail-Wholesale", L81,
   IF('Credit Rating (Existing)'!$C$27="Services", N81,
    IF('Credit Rating (Existing)'!$C$27="Import/ Assembly/ Distribution", P81,
     IF('Credit Rating (Existing)'!$C$27="Oil &amp; Gas", R81,
      IF('Credit Rating (Start-up)'!$D$25="Generic", H81,
       IF('Credit Rating (Start-up)'!$D$25="Manufacturing", J81,
        IF('Credit Rating (Start-up)'!$D$25="Retail-Wholesale", L81,
         IF('Credit Rating (Start-up)'!$D$25="Services", N81,
          IF('Credit Rating (Start-up)'!$D$25="Import/ Assembly/ Distribution", P81,
           IF('Credit Rating (Start-up)'!$D$25="Oil &amp; Gas", R81,
            "N/A"))))))))))))</f>
        <v>0.5</v>
      </c>
      <c r="E81" s="12">
        <f>IF('Credit Rating (Existing)'!$C$27="Generic", I81,
 IF('Credit Rating (Existing)'!$C$27="Manufacturing", K81,
  IF('Credit Rating (Existing)'!$C$27="Retail-Wholesale", M81,
   IF('Credit Rating (Existing)'!$C$27="Services", O81,
    IF('Credit Rating (Existing)'!$C$27="Import/ Assembly/ Distribution", Q81,
     IF('Credit Rating (Existing)'!$C$27="Oil &amp; Gas", S81,
      IF('Credit Rating (Start-up)'!$D$25="Generic", I81,
       IF('Credit Rating (Start-up)'!$D$25="Manufacturing", K81,
        IF('Credit Rating (Start-up)'!$D$25="Retail-Wholesale", M81,
         IF('Credit Rating (Start-up)'!$D$25="Services", O81,
          IF('Credit Rating (Start-up)'!$D$25="Import/ Assembly/ Distribution", Q81,
           IF('Credit Rating (Start-up)'!$D$25="Oil &amp; Gas", S81,
            "N/A"))))))))))))</f>
        <v>0.75</v>
      </c>
      <c r="F81" s="169"/>
      <c r="G81" s="154">
        <v>3</v>
      </c>
      <c r="H81" s="186"/>
      <c r="I81" s="187"/>
      <c r="J81" s="291">
        <v>0.5</v>
      </c>
      <c r="K81" s="292">
        <v>0.75</v>
      </c>
      <c r="L81" s="291">
        <v>0.5</v>
      </c>
      <c r="M81" s="292">
        <v>0.75</v>
      </c>
      <c r="N81" s="291">
        <v>0.5</v>
      </c>
      <c r="O81" s="292">
        <v>0.75</v>
      </c>
      <c r="P81" s="291">
        <v>0.5</v>
      </c>
      <c r="Q81" s="292">
        <v>0.75</v>
      </c>
      <c r="R81" s="291">
        <v>0.5</v>
      </c>
      <c r="S81" s="292">
        <v>0.75</v>
      </c>
    </row>
    <row r="82" spans="2:19">
      <c r="B82" s="598"/>
      <c r="C82" s="600"/>
      <c r="D82" s="12">
        <f>IF('Credit Rating (Existing)'!$C$27="Generic", H82,
 IF('Credit Rating (Existing)'!$C$27="Manufacturing", J82,
  IF('Credit Rating (Existing)'!$C$27="Retail-Wholesale", L82,
   IF('Credit Rating (Existing)'!$C$27="Services", N82,
    IF('Credit Rating (Existing)'!$C$27="Import/ Assembly/ Distribution", P82,
     IF('Credit Rating (Existing)'!$C$27="Oil &amp; Gas", R82,
      IF('Credit Rating (Start-up)'!$D$25="Generic", H82,
       IF('Credit Rating (Start-up)'!$D$25="Manufacturing", J82,
        IF('Credit Rating (Start-up)'!$D$25="Retail-Wholesale", L82,
         IF('Credit Rating (Start-up)'!$D$25="Services", N82,
          IF('Credit Rating (Start-up)'!$D$25="Import/ Assembly/ Distribution", P82,
           IF('Credit Rating (Start-up)'!$D$25="Oil &amp; Gas", R82,
            "N/A"))))))))))))</f>
        <v>0.25</v>
      </c>
      <c r="E82" s="12">
        <f>IF('Credit Rating (Existing)'!$C$27="Generic", I82,
 IF('Credit Rating (Existing)'!$C$27="Manufacturing", K82,
  IF('Credit Rating (Existing)'!$C$27="Retail-Wholesale", M82,
   IF('Credit Rating (Existing)'!$C$27="Services", O82,
    IF('Credit Rating (Existing)'!$C$27="Import/ Assembly/ Distribution", Q82,
     IF('Credit Rating (Existing)'!$C$27="Oil &amp; Gas", S82,
      IF('Credit Rating (Start-up)'!$D$25="Generic", I82,
       IF('Credit Rating (Start-up)'!$D$25="Manufacturing", K82,
        IF('Credit Rating (Start-up)'!$D$25="Retail-Wholesale", M82,
         IF('Credit Rating (Start-up)'!$D$25="Services", O82,
          IF('Credit Rating (Start-up)'!$D$25="Import/ Assembly/ Distribution", Q82,
           IF('Credit Rating (Start-up)'!$D$25="Oil &amp; Gas", S82,
            "N/A"))))))))))))</f>
        <v>0.5</v>
      </c>
      <c r="F82" s="169"/>
      <c r="G82" s="154">
        <v>2</v>
      </c>
      <c r="H82" s="186"/>
      <c r="I82" s="187"/>
      <c r="J82" s="291">
        <v>0.25</v>
      </c>
      <c r="K82" s="292">
        <v>0.5</v>
      </c>
      <c r="L82" s="291">
        <v>0.25</v>
      </c>
      <c r="M82" s="292">
        <v>0.5</v>
      </c>
      <c r="N82" s="291">
        <v>0.25</v>
      </c>
      <c r="O82" s="292">
        <v>0.5</v>
      </c>
      <c r="P82" s="291">
        <v>0.25</v>
      </c>
      <c r="Q82" s="292">
        <v>0.5</v>
      </c>
      <c r="R82" s="291">
        <v>0.25</v>
      </c>
      <c r="S82" s="292">
        <v>0.5</v>
      </c>
    </row>
    <row r="83" spans="2:19" ht="15.75" thickBot="1">
      <c r="B83" s="598"/>
      <c r="C83" s="601"/>
      <c r="D83" s="13">
        <f>IF('Credit Rating (Existing)'!$C$27="Generic", H83,
 IF('Credit Rating (Existing)'!$C$27="Manufacturing", J83,
  IF('Credit Rating (Existing)'!$C$27="Retail-Wholesale", L83,
   IF('Credit Rating (Existing)'!$C$27="Services", N83,
    IF('Credit Rating (Existing)'!$C$27="Import/ Assembly/ Distribution", P83,
     IF('Credit Rating (Existing)'!$C$27="Oil &amp; Gas", R83,
      IF('Credit Rating (Start-up)'!$D$25="Generic", H83,
       IF('Credit Rating (Start-up)'!$D$25="Manufacturing", J83,
        IF('Credit Rating (Start-up)'!$D$25="Retail-Wholesale", L83,
         IF('Credit Rating (Start-up)'!$D$25="Services", N83,
          IF('Credit Rating (Start-up)'!$D$25="Import/ Assembly/ Distribution", P83,
           IF('Credit Rating (Start-up)'!$D$25="Oil &amp; Gas", R83,
            "N/A"))))))))))))</f>
        <v>0</v>
      </c>
      <c r="E83" s="13">
        <f>IF('Credit Rating (Existing)'!$C$27="Generic", I83,
 IF('Credit Rating (Existing)'!$C$27="Manufacturing", K83,
  IF('Credit Rating (Existing)'!$C$27="Retail-Wholesale", M83,
   IF('Credit Rating (Existing)'!$C$27="Services", O83,
    IF('Credit Rating (Existing)'!$C$27="Import/ Assembly/ Distribution", Q83,
     IF('Credit Rating (Existing)'!$C$27="Oil &amp; Gas", S83,
      IF('Credit Rating (Start-up)'!$D$25="Generic", I83,
       IF('Credit Rating (Start-up)'!$D$25="Manufacturing", K83,
        IF('Credit Rating (Start-up)'!$D$25="Retail-Wholesale", M83,
         IF('Credit Rating (Start-up)'!$D$25="Services", O83,
          IF('Credit Rating (Start-up)'!$D$25="Import/ Assembly/ Distribution", Q83,
           IF('Credit Rating (Start-up)'!$D$25="Oil &amp; Gas", S83,
            "N/A"))))))))))))</f>
        <v>0.25</v>
      </c>
      <c r="F83" s="174"/>
      <c r="G83" s="159">
        <v>1</v>
      </c>
      <c r="H83" s="270"/>
      <c r="I83" s="194"/>
      <c r="J83" s="293">
        <v>0</v>
      </c>
      <c r="K83" s="294">
        <v>0.25</v>
      </c>
      <c r="L83" s="293">
        <v>0</v>
      </c>
      <c r="M83" s="294">
        <v>0.25</v>
      </c>
      <c r="N83" s="293">
        <v>0</v>
      </c>
      <c r="O83" s="294">
        <v>0.25</v>
      </c>
      <c r="P83" s="293">
        <v>0</v>
      </c>
      <c r="Q83" s="294">
        <v>0.25</v>
      </c>
      <c r="R83" s="293">
        <v>0</v>
      </c>
      <c r="S83" s="294">
        <v>0.25</v>
      </c>
    </row>
  </sheetData>
  <sheetProtection algorithmName="SHA-512" hashValue="neEO8+GHuUGhCGF5cyhvn8wXHCY6dRj43M/giFX0POl2VRdUIqn/hhLNrUaCsny2elqPBCDIpLEJdML1TQ0aFA==" saltValue="bg4wkypRVYP4WLca3O1h5g==" spinCount="100000" sheet="1" selectLockedCells="1"/>
  <mergeCells count="29">
    <mergeCell ref="C3:R3"/>
    <mergeCell ref="B38:B52"/>
    <mergeCell ref="C38:C42"/>
    <mergeCell ref="C48:C52"/>
    <mergeCell ref="D5:O5"/>
    <mergeCell ref="H6:I6"/>
    <mergeCell ref="J6:K6"/>
    <mergeCell ref="L6:M6"/>
    <mergeCell ref="N6:O6"/>
    <mergeCell ref="R6:S6"/>
    <mergeCell ref="D6:G6"/>
    <mergeCell ref="B8:B22"/>
    <mergeCell ref="C8:C12"/>
    <mergeCell ref="C13:C17"/>
    <mergeCell ref="C18:C22"/>
    <mergeCell ref="B23:B37"/>
    <mergeCell ref="P6:Q6"/>
    <mergeCell ref="B69:B83"/>
    <mergeCell ref="C69:C73"/>
    <mergeCell ref="C74:C78"/>
    <mergeCell ref="C79:C83"/>
    <mergeCell ref="B53:B67"/>
    <mergeCell ref="C53:C57"/>
    <mergeCell ref="C58:C62"/>
    <mergeCell ref="C63:C67"/>
    <mergeCell ref="C23:C27"/>
    <mergeCell ref="C28:C32"/>
    <mergeCell ref="C33:C37"/>
    <mergeCell ref="C43:C47"/>
  </mergeCells>
  <pageMargins left="0.7" right="0.7" top="0.75" bottom="0.75" header="0.3" footer="0.3"/>
  <pageSetup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C m I x T t T w v 6 6 n A A A A + A A A A B I A H A B D b 2 5 m a W c v U G F j a 2 F n Z S 5 4 b W w g o h g A K K A U A A A A A A A A A A A A A A A A A A A A A A A A A A A A h Y / f C o I w H I V f R X b v / i i G y M 9 J d J s Q R N H t W E t H O s P N 5 r t 1 0 S P 1 C g l l d d f l O X w H v v O 4 3 a E Y 2 y a 4 q t 7 q z u S I Y Y o C Z W R 3 1 K b K 0 e B O Y Y o K D h s h z 6 J S w Q Q b m 4 1 W 5 6 h 2 7 p I R 4 r 3 H P s Z d X 5 G I U k Y O 5 X o r a 9 W K U B v r h J E K f V b H / y v E Y f + S 4 R F e J D i J W Y x Z y o D M N Z T a f J F o M s Y U y E 8 J q 6 F x Q 6 + 4 M u F y B 2 S O Q N 4 v + B N Q S w M E F A A C A A g A C m I x 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p i M U 4 o i k e 4 D g A A A B E A A A A T A B w A R m 9 y b X V s Y X M v U 2 V j d G l v b j E u b S C i G A A o o B Q A A A A A A A A A A A A A A A A A A A A A A A A A A A A r T k 0 u y c z P U w i G 0 I b W A F B L A Q I t A B Q A A g A I A A p i M U 7 U 8 L + u p w A A A P g A A A A S A A A A A A A A A A A A A A A A A A A A A A B D b 2 5 m a W c v U G F j a 2 F n Z S 5 4 b W x Q S w E C L Q A U A A I A C A A K Y j F O D 8 r p q 6 Q A A A D p A A A A E w A A A A A A A A A A A A A A A A D z A A A A W 0 N v b n R l b n R f V H l w Z X N d L n h t b F B L A Q I t A B Q A A g A I A A p i M U 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2 V 6 N q u L Z S 5 H I / a e y g x J y A A A A A A I A A A A A A B B m A A A A A Q A A I A A A A C J F P C k c P O J J H 0 3 P c y x 3 u j 6 8 x J R n R d m n M c 6 u v Z 0 2 m r + 3 A A A A A A 6 A A A A A A g A A I A A A A G X 5 F a z U Z + V v I A J 9 c A 7 q f y 5 Y + L 3 4 E o l E Z O U F b U X / c j x Y U A A A A H l U H 0 P / W P B 1 X s M n u b D x 3 u 4 y 4 3 9 4 P Z W f 7 E h P D N B V O K Q 6 f f L 8 x 1 L r 6 c y F s s Z m d 1 d t m K M f J + 3 R q 7 O h y K h B K K u W h 2 Y g K E 1 h x W B K H V a z b O Q q 7 / U l Q A A A A B D f F H t Y X C 6 K Z k 8 J K b I E o p Q s 6 v u w n D Z 0 i Z X k p d g w 5 t k h T W K q / J H k 3 2 e u i X s 5 B u f E 5 r K x Z f / S n L J o p 4 z / v T u L 7 5 o = < / D a t a M a s h u p > 
</file>

<file path=customXml/itemProps1.xml><?xml version="1.0" encoding="utf-8"?>
<ds:datastoreItem xmlns:ds="http://schemas.openxmlformats.org/officeDocument/2006/customXml" ds:itemID="{FCDF686C-BB5F-41E4-866E-5BD075D256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Version Notes</vt:lpstr>
      <vt:lpstr>Credit Rating (Existing)</vt:lpstr>
      <vt:lpstr>Credit Rating (Start-up)</vt:lpstr>
      <vt:lpstr>Credit Rating Report</vt:lpstr>
      <vt:lpstr>Model Data</vt:lpstr>
      <vt:lpstr>Industry Sector Analysis</vt:lpstr>
      <vt:lpstr>Fin Statement Scoring Matrix</vt:lpstr>
      <vt:lpstr>'Credit Rating (Existing)'!Print_Area</vt:lpstr>
      <vt:lpstr>'Credit Rating (Start-up)'!Print_Area</vt:lpstr>
      <vt:lpstr>'Credit Rating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C</dc:creator>
  <cp:keywords/>
  <dc:description/>
  <cp:lastModifiedBy>Nwamaka Odimegwu</cp:lastModifiedBy>
  <cp:revision/>
  <cp:lastPrinted>2019-03-08T06:22:47Z</cp:lastPrinted>
  <dcterms:created xsi:type="dcterms:W3CDTF">2016-09-08T07:09:38Z</dcterms:created>
  <dcterms:modified xsi:type="dcterms:W3CDTF">2022-02-21T14:33:37Z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c3b0d70a-a90d-4c08-bef3-eb6752a185b0</vt:lpwstr>
  </property>
  <property fmtid="{D5CDD505-2E9C-101B-9397-08002B2CF9AE}" pid="3" name="bjDocumentSecurityLabel">
    <vt:lpwstr>This item has no classification</vt:lpwstr>
  </property>
  <property fmtid="{D5CDD505-2E9C-101B-9397-08002B2CF9AE}" pid="4" name="bjClsUserRVM">
    <vt:lpwstr>[]</vt:lpwstr>
  </property>
</Properties>
</file>