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hattori\Desktop\作業中\NDC DB\"/>
    </mc:Choice>
  </mc:AlternateContent>
  <xr:revisionPtr revIDLastSave="0" documentId="13_ncr:1_{48BA5C00-DCC8-458A-B82C-B0D15FAF2EEF}" xr6:coauthVersionLast="36" xr6:coauthVersionMax="36" xr10:uidLastSave="{00000000-0000-0000-0000-000000000000}"/>
  <bookViews>
    <workbookView xWindow="0" yWindow="0" windowWidth="6660" windowHeight="2316" tabRatio="683" xr2:uid="{00000000-000D-0000-FFFF-FFFF00000000}"/>
  </bookViews>
  <sheets>
    <sheet name="Guidance" sheetId="19" r:id="rId1"/>
    <sheet name="NDC MASTER SHEET" sheetId="1" r:id="rId2"/>
    <sheet name="NDC Change Tracker" sheetId="23" r:id="rId3"/>
    <sheet name="Analytics" sheetId="20" r:id="rId4"/>
  </sheets>
  <definedNames>
    <definedName name="_xlnm._FilterDatabase" localSheetId="2" hidden="1">'NDC Change Tracker'!$A$3:$AF$147</definedName>
    <definedName name="_xlnm._FilterDatabase" localSheetId="1" hidden="1">'NDC MASTER SHEET'!$A$4:$BQ$201</definedName>
    <definedName name="_xlnm.Print_Area" localSheetId="0">Guidance!$A$1:$G$74</definedName>
    <definedName name="Regions" localSheetId="2">#REF!</definedName>
    <definedName name="Regions">#REF!</definedName>
    <definedName name="UseofMM" localSheetId="2">#REF!</definedName>
    <definedName name="UseofMM">#REF!</definedName>
    <definedName name="UssofMM" localSheetId="2">#REF!</definedName>
    <definedName name="UssofMM">#REF!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8" i="1" l="1"/>
  <c r="F231" i="20" s="1"/>
  <c r="AS9" i="1"/>
  <c r="AS10" i="1"/>
  <c r="G231" i="20" s="1"/>
  <c r="AS11" i="1"/>
  <c r="AS12" i="1"/>
  <c r="AS13" i="1"/>
  <c r="I231" i="20" s="1"/>
  <c r="AS14" i="1"/>
  <c r="AS15" i="1"/>
  <c r="AS16" i="1"/>
  <c r="AS17" i="1"/>
  <c r="AS18" i="1"/>
  <c r="AS19" i="1"/>
  <c r="AS20" i="1"/>
  <c r="AS21" i="1"/>
  <c r="D231" i="20" s="1"/>
  <c r="AS22" i="1"/>
  <c r="AS23" i="1"/>
  <c r="AS24" i="1"/>
  <c r="AS25" i="1"/>
  <c r="AS26" i="1"/>
  <c r="AS27" i="1"/>
  <c r="AS28" i="1"/>
  <c r="AS29" i="1"/>
  <c r="AS30" i="1"/>
  <c r="AS31" i="1"/>
  <c r="AS32" i="1"/>
  <c r="AS33" i="1"/>
  <c r="H231" i="20" s="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6" i="1"/>
  <c r="E231" i="20" s="1"/>
  <c r="AS7" i="1"/>
  <c r="C231" i="20" s="1"/>
  <c r="AS5" i="1"/>
  <c r="B231" i="20" s="1"/>
  <c r="B198" i="20"/>
  <c r="B33" i="20" l="1"/>
  <c r="AI196" i="1" l="1"/>
  <c r="AI188" i="1"/>
  <c r="AI51" i="1" l="1"/>
  <c r="AI34" i="1" l="1"/>
  <c r="AI138" i="1" l="1"/>
  <c r="AI39" i="1" l="1"/>
  <c r="AI156" i="1" l="1"/>
  <c r="AI35" i="1" l="1"/>
  <c r="AG105" i="1"/>
  <c r="AI105" i="1" s="1"/>
  <c r="AG93" i="1"/>
  <c r="AI93" i="1" s="1"/>
  <c r="AI32" i="1" l="1"/>
  <c r="AI184" i="1"/>
  <c r="AI87" i="1" l="1"/>
  <c r="AI20" i="1" l="1"/>
  <c r="AI114" i="1" l="1"/>
  <c r="AI40" i="1" l="1"/>
  <c r="AI169" i="1" l="1"/>
  <c r="AI118" i="1" l="1"/>
  <c r="AI133" i="1" l="1"/>
  <c r="AI92" i="1" l="1"/>
  <c r="AI130" i="1" l="1"/>
  <c r="AI9" i="1" l="1"/>
  <c r="AI157" i="1" l="1"/>
  <c r="C33" i="20" l="1"/>
  <c r="D33" i="20"/>
  <c r="E33" i="20"/>
  <c r="F33" i="20"/>
  <c r="G33" i="20"/>
  <c r="H33" i="20"/>
  <c r="I33" i="20"/>
  <c r="AI49" i="1" l="1"/>
  <c r="AI163" i="1"/>
  <c r="AH107" i="1" l="1"/>
  <c r="AI107" i="1" s="1"/>
  <c r="I277" i="20" l="1"/>
  <c r="H277" i="20"/>
  <c r="G277" i="20"/>
  <c r="F277" i="20"/>
  <c r="E277" i="20"/>
  <c r="D277" i="20"/>
  <c r="C277" i="20"/>
  <c r="B277" i="20"/>
  <c r="I276" i="20"/>
  <c r="H276" i="20"/>
  <c r="G276" i="20"/>
  <c r="F276" i="20"/>
  <c r="E276" i="20"/>
  <c r="D276" i="20"/>
  <c r="C276" i="20"/>
  <c r="B276" i="20"/>
  <c r="I275" i="20"/>
  <c r="H275" i="20"/>
  <c r="G275" i="20"/>
  <c r="F275" i="20"/>
  <c r="E275" i="20"/>
  <c r="D275" i="20"/>
  <c r="C275" i="20"/>
  <c r="B275" i="20"/>
  <c r="I274" i="20"/>
  <c r="H274" i="20"/>
  <c r="G274" i="20"/>
  <c r="F274" i="20"/>
  <c r="E274" i="20"/>
  <c r="D274" i="20"/>
  <c r="C274" i="20"/>
  <c r="B274" i="20"/>
  <c r="I273" i="20"/>
  <c r="H273" i="20"/>
  <c r="G273" i="20"/>
  <c r="F273" i="20"/>
  <c r="E273" i="20"/>
  <c r="D273" i="20"/>
  <c r="C273" i="20"/>
  <c r="B273" i="20"/>
  <c r="I238" i="20"/>
  <c r="H238" i="20"/>
  <c r="G238" i="20"/>
  <c r="F238" i="20"/>
  <c r="E238" i="20"/>
  <c r="D238" i="20"/>
  <c r="C238" i="20"/>
  <c r="B238" i="20"/>
  <c r="I237" i="20"/>
  <c r="H237" i="20"/>
  <c r="G237" i="20"/>
  <c r="F237" i="20"/>
  <c r="E237" i="20"/>
  <c r="D237" i="20"/>
  <c r="C237" i="20"/>
  <c r="B237" i="20"/>
  <c r="I236" i="20"/>
  <c r="H236" i="20"/>
  <c r="G236" i="20"/>
  <c r="F236" i="20"/>
  <c r="E236" i="20"/>
  <c r="D236" i="20"/>
  <c r="C236" i="20"/>
  <c r="B236" i="20"/>
  <c r="I235" i="20"/>
  <c r="H235" i="20"/>
  <c r="G235" i="20"/>
  <c r="F235" i="20"/>
  <c r="E235" i="20"/>
  <c r="D235" i="20"/>
  <c r="C235" i="20"/>
  <c r="B235" i="20"/>
  <c r="I234" i="20"/>
  <c r="H234" i="20"/>
  <c r="G234" i="20"/>
  <c r="F234" i="20"/>
  <c r="E234" i="20"/>
  <c r="D234" i="20"/>
  <c r="C234" i="20"/>
  <c r="B234" i="20"/>
  <c r="I233" i="20"/>
  <c r="H233" i="20"/>
  <c r="G233" i="20"/>
  <c r="F233" i="20"/>
  <c r="E233" i="20"/>
  <c r="D233" i="20"/>
  <c r="C233" i="20"/>
  <c r="B233" i="20"/>
  <c r="I203" i="20"/>
  <c r="H203" i="20"/>
  <c r="G203" i="20"/>
  <c r="F203" i="20"/>
  <c r="E203" i="20"/>
  <c r="C203" i="20"/>
  <c r="B203" i="20"/>
  <c r="I201" i="20"/>
  <c r="H201" i="20"/>
  <c r="G201" i="20"/>
  <c r="F201" i="20"/>
  <c r="E201" i="20"/>
  <c r="D201" i="20"/>
  <c r="C201" i="20"/>
  <c r="B201" i="20"/>
  <c r="I200" i="20"/>
  <c r="H200" i="20"/>
  <c r="G200" i="20"/>
  <c r="F200" i="20"/>
  <c r="E200" i="20"/>
  <c r="D200" i="20"/>
  <c r="C200" i="20"/>
  <c r="B200" i="20"/>
  <c r="I198" i="20"/>
  <c r="H198" i="20"/>
  <c r="G198" i="20"/>
  <c r="F198" i="20"/>
  <c r="E198" i="20"/>
  <c r="D198" i="20"/>
  <c r="C198" i="20"/>
  <c r="I171" i="20"/>
  <c r="H171" i="20"/>
  <c r="G171" i="20"/>
  <c r="F171" i="20"/>
  <c r="E171" i="20"/>
  <c r="D171" i="20"/>
  <c r="C171" i="20"/>
  <c r="B171" i="20"/>
  <c r="I170" i="20"/>
  <c r="H170" i="20"/>
  <c r="G170" i="20"/>
  <c r="F170" i="20"/>
  <c r="E170" i="20"/>
  <c r="D170" i="20"/>
  <c r="C170" i="20"/>
  <c r="B170" i="20"/>
  <c r="I169" i="20"/>
  <c r="H169" i="20"/>
  <c r="G169" i="20"/>
  <c r="F169" i="20"/>
  <c r="E169" i="20"/>
  <c r="D169" i="20"/>
  <c r="C169" i="20"/>
  <c r="B169" i="20"/>
  <c r="I167" i="20"/>
  <c r="H167" i="20"/>
  <c r="G167" i="20"/>
  <c r="F167" i="20"/>
  <c r="E167" i="20"/>
  <c r="D167" i="20"/>
  <c r="C167" i="20"/>
  <c r="B167" i="20"/>
  <c r="I166" i="20"/>
  <c r="H166" i="20"/>
  <c r="G166" i="20"/>
  <c r="F166" i="20"/>
  <c r="E166" i="20"/>
  <c r="D166" i="20"/>
  <c r="C166" i="20"/>
  <c r="B166" i="20"/>
  <c r="I165" i="20"/>
  <c r="H165" i="20"/>
  <c r="G165" i="20"/>
  <c r="F165" i="20"/>
  <c r="E165" i="20"/>
  <c r="D165" i="20"/>
  <c r="C165" i="20"/>
  <c r="B165" i="20"/>
  <c r="I164" i="20"/>
  <c r="H164" i="20"/>
  <c r="G164" i="20"/>
  <c r="F164" i="20"/>
  <c r="E164" i="20"/>
  <c r="D164" i="20"/>
  <c r="C164" i="20"/>
  <c r="B164" i="20"/>
  <c r="I162" i="20"/>
  <c r="H162" i="20"/>
  <c r="G162" i="20"/>
  <c r="F162" i="20"/>
  <c r="E162" i="20"/>
  <c r="D162" i="20"/>
  <c r="C162" i="20"/>
  <c r="B162" i="20"/>
  <c r="I161" i="20"/>
  <c r="H161" i="20"/>
  <c r="G161" i="20"/>
  <c r="F161" i="20"/>
  <c r="E161" i="20"/>
  <c r="D161" i="20"/>
  <c r="C161" i="20"/>
  <c r="B161" i="20"/>
  <c r="I160" i="20"/>
  <c r="H160" i="20"/>
  <c r="G160" i="20"/>
  <c r="F160" i="20"/>
  <c r="E160" i="20"/>
  <c r="D160" i="20"/>
  <c r="C160" i="20"/>
  <c r="B160" i="20"/>
  <c r="I159" i="20"/>
  <c r="H159" i="20"/>
  <c r="G159" i="20"/>
  <c r="F159" i="20"/>
  <c r="E159" i="20"/>
  <c r="D159" i="20"/>
  <c r="C159" i="20"/>
  <c r="B159" i="20"/>
  <c r="I158" i="20"/>
  <c r="H158" i="20"/>
  <c r="G158" i="20"/>
  <c r="F158" i="20"/>
  <c r="E158" i="20"/>
  <c r="D158" i="20"/>
  <c r="C158" i="20"/>
  <c r="B158" i="20"/>
  <c r="I156" i="20"/>
  <c r="H156" i="20"/>
  <c r="G156" i="20"/>
  <c r="F156" i="20"/>
  <c r="E156" i="20"/>
  <c r="D156" i="20"/>
  <c r="C156" i="20"/>
  <c r="B156" i="20"/>
  <c r="I155" i="20"/>
  <c r="H155" i="20"/>
  <c r="G155" i="20"/>
  <c r="F155" i="20"/>
  <c r="E155" i="20"/>
  <c r="D155" i="20"/>
  <c r="C155" i="20"/>
  <c r="B155" i="20"/>
  <c r="I154" i="20"/>
  <c r="H154" i="20"/>
  <c r="G154" i="20"/>
  <c r="F154" i="20"/>
  <c r="E154" i="20"/>
  <c r="D154" i="20"/>
  <c r="C154" i="20"/>
  <c r="B154" i="20"/>
  <c r="I153" i="20"/>
  <c r="H153" i="20"/>
  <c r="G153" i="20"/>
  <c r="F153" i="20"/>
  <c r="E153" i="20"/>
  <c r="D153" i="20"/>
  <c r="C153" i="20"/>
  <c r="B153" i="20"/>
  <c r="I152" i="20"/>
  <c r="H152" i="20"/>
  <c r="G152" i="20"/>
  <c r="F152" i="20"/>
  <c r="E152" i="20"/>
  <c r="D152" i="20"/>
  <c r="C152" i="20"/>
  <c r="B152" i="20"/>
  <c r="I111" i="20"/>
  <c r="H111" i="20"/>
  <c r="G111" i="20"/>
  <c r="F111" i="20"/>
  <c r="E111" i="20"/>
  <c r="D111" i="20"/>
  <c r="C111" i="20"/>
  <c r="B111" i="20"/>
  <c r="I110" i="20"/>
  <c r="H110" i="20"/>
  <c r="G110" i="20"/>
  <c r="F110" i="20"/>
  <c r="E110" i="20"/>
  <c r="D110" i="20"/>
  <c r="C110" i="20"/>
  <c r="B110" i="20"/>
  <c r="I109" i="20"/>
  <c r="H109" i="20"/>
  <c r="G109" i="20"/>
  <c r="F109" i="20"/>
  <c r="E109" i="20"/>
  <c r="D109" i="20"/>
  <c r="C109" i="20"/>
  <c r="B109" i="20"/>
  <c r="I108" i="20"/>
  <c r="H108" i="20"/>
  <c r="G108" i="20"/>
  <c r="F108" i="20"/>
  <c r="E108" i="20"/>
  <c r="D108" i="20"/>
  <c r="C108" i="20"/>
  <c r="B108" i="20"/>
  <c r="I107" i="20"/>
  <c r="H107" i="20"/>
  <c r="G107" i="20"/>
  <c r="F107" i="20"/>
  <c r="E107" i="20"/>
  <c r="D107" i="20"/>
  <c r="C107" i="20"/>
  <c r="B107" i="20"/>
  <c r="I106" i="20"/>
  <c r="H106" i="20"/>
  <c r="G106" i="20"/>
  <c r="F106" i="20"/>
  <c r="E106" i="20"/>
  <c r="D106" i="20"/>
  <c r="C106" i="20"/>
  <c r="B106" i="20"/>
  <c r="I105" i="20"/>
  <c r="H105" i="20"/>
  <c r="G105" i="20"/>
  <c r="F105" i="20"/>
  <c r="E105" i="20"/>
  <c r="D105" i="20"/>
  <c r="C105" i="20"/>
  <c r="B105" i="20"/>
  <c r="I103" i="20"/>
  <c r="H103" i="20"/>
  <c r="G103" i="20"/>
  <c r="F103" i="20"/>
  <c r="E103" i="20"/>
  <c r="D103" i="20"/>
  <c r="C103" i="20"/>
  <c r="B103" i="20"/>
  <c r="I102" i="20"/>
  <c r="H102" i="20"/>
  <c r="G102" i="20"/>
  <c r="F102" i="20"/>
  <c r="E102" i="20"/>
  <c r="D102" i="20"/>
  <c r="C102" i="20"/>
  <c r="B102" i="20"/>
  <c r="I101" i="20"/>
  <c r="H101" i="20"/>
  <c r="G101" i="20"/>
  <c r="F101" i="20"/>
  <c r="E101" i="20"/>
  <c r="D101" i="20"/>
  <c r="C101" i="20"/>
  <c r="B101" i="20"/>
  <c r="I100" i="20"/>
  <c r="H100" i="20"/>
  <c r="G100" i="20"/>
  <c r="F100" i="20"/>
  <c r="E100" i="20"/>
  <c r="D100" i="20"/>
  <c r="C100" i="20"/>
  <c r="B100" i="20"/>
  <c r="I99" i="20"/>
  <c r="H99" i="20"/>
  <c r="G99" i="20"/>
  <c r="F99" i="20"/>
  <c r="E99" i="20"/>
  <c r="D99" i="20"/>
  <c r="C99" i="20"/>
  <c r="B99" i="20"/>
  <c r="I98" i="20"/>
  <c r="H98" i="20"/>
  <c r="G98" i="20"/>
  <c r="F98" i="20"/>
  <c r="E98" i="20"/>
  <c r="D98" i="20"/>
  <c r="C98" i="20"/>
  <c r="B98" i="20"/>
  <c r="I96" i="20"/>
  <c r="H96" i="20"/>
  <c r="G96" i="20"/>
  <c r="F96" i="20"/>
  <c r="E96" i="20"/>
  <c r="D96" i="20"/>
  <c r="C96" i="20"/>
  <c r="B96" i="20"/>
  <c r="I95" i="20"/>
  <c r="H95" i="20"/>
  <c r="G95" i="20"/>
  <c r="F95" i="20"/>
  <c r="E95" i="20"/>
  <c r="D95" i="20"/>
  <c r="C95" i="20"/>
  <c r="B95" i="20"/>
  <c r="Q57" i="20"/>
  <c r="P57" i="20"/>
  <c r="O57" i="20"/>
  <c r="N57" i="20"/>
  <c r="M57" i="20"/>
  <c r="L57" i="20"/>
  <c r="K57" i="20"/>
  <c r="J57" i="20"/>
  <c r="I57" i="20"/>
  <c r="H57" i="20"/>
  <c r="G57" i="20"/>
  <c r="F57" i="20"/>
  <c r="E57" i="20"/>
  <c r="D57" i="20"/>
  <c r="C57" i="20"/>
  <c r="B57" i="20"/>
  <c r="Q56" i="20"/>
  <c r="P56" i="20"/>
  <c r="O56" i="20"/>
  <c r="N56" i="20"/>
  <c r="M56" i="20"/>
  <c r="L56" i="20"/>
  <c r="K56" i="20"/>
  <c r="J56" i="20"/>
  <c r="I56" i="20"/>
  <c r="H56" i="20"/>
  <c r="G56" i="20"/>
  <c r="F56" i="20"/>
  <c r="E56" i="20"/>
  <c r="D56" i="20"/>
  <c r="C56" i="20"/>
  <c r="B56" i="20"/>
  <c r="Q55" i="20"/>
  <c r="P55" i="20"/>
  <c r="O55" i="20"/>
  <c r="N55" i="20"/>
  <c r="M55" i="20"/>
  <c r="L55" i="20"/>
  <c r="K55" i="20"/>
  <c r="J55" i="20"/>
  <c r="I55" i="20"/>
  <c r="H55" i="20"/>
  <c r="G55" i="20"/>
  <c r="F55" i="20"/>
  <c r="E55" i="20"/>
  <c r="D55" i="20"/>
  <c r="C55" i="20"/>
  <c r="B55" i="20"/>
  <c r="Q54" i="20"/>
  <c r="P54" i="20"/>
  <c r="O54" i="20"/>
  <c r="N54" i="20"/>
  <c r="M54" i="20"/>
  <c r="L54" i="20"/>
  <c r="K54" i="20"/>
  <c r="J54" i="20"/>
  <c r="I54" i="20"/>
  <c r="H54" i="20"/>
  <c r="G54" i="20"/>
  <c r="F54" i="20"/>
  <c r="E54" i="20"/>
  <c r="D54" i="20"/>
  <c r="C54" i="20"/>
  <c r="B54" i="20"/>
  <c r="Q53" i="20"/>
  <c r="P53" i="20"/>
  <c r="O53" i="20"/>
  <c r="N53" i="20"/>
  <c r="M53" i="20"/>
  <c r="L53" i="20"/>
  <c r="K53" i="20"/>
  <c r="J53" i="20"/>
  <c r="I53" i="20"/>
  <c r="H53" i="20"/>
  <c r="G53" i="20"/>
  <c r="F53" i="20"/>
  <c r="E53" i="20"/>
  <c r="D53" i="20"/>
  <c r="C53" i="20"/>
  <c r="B53" i="20"/>
  <c r="Q52" i="20"/>
  <c r="P52" i="20"/>
  <c r="O52" i="20"/>
  <c r="N52" i="20"/>
  <c r="M52" i="20"/>
  <c r="L52" i="20"/>
  <c r="K52" i="20"/>
  <c r="J52" i="20"/>
  <c r="I52" i="20"/>
  <c r="H52" i="20"/>
  <c r="G52" i="20"/>
  <c r="F52" i="20"/>
  <c r="E52" i="20"/>
  <c r="D52" i="20"/>
  <c r="C52" i="20"/>
  <c r="B52" i="20"/>
  <c r="Q51" i="20"/>
  <c r="P51" i="20"/>
  <c r="O51" i="20"/>
  <c r="N51" i="20"/>
  <c r="M51" i="20"/>
  <c r="L51" i="20"/>
  <c r="K51" i="20"/>
  <c r="J51" i="20"/>
  <c r="I51" i="20"/>
  <c r="H51" i="20"/>
  <c r="G51" i="20"/>
  <c r="F51" i="20"/>
  <c r="E51" i="20"/>
  <c r="D51" i="20"/>
  <c r="C51" i="20"/>
  <c r="B51" i="20"/>
  <c r="I45" i="20"/>
  <c r="H45" i="20"/>
  <c r="G45" i="20"/>
  <c r="F45" i="20"/>
  <c r="E45" i="20"/>
  <c r="D45" i="20"/>
  <c r="C45" i="20"/>
  <c r="B45" i="20"/>
  <c r="I44" i="20"/>
  <c r="H44" i="20"/>
  <c r="G44" i="20"/>
  <c r="F44" i="20"/>
  <c r="E44" i="20"/>
  <c r="D44" i="20"/>
  <c r="C44" i="20"/>
  <c r="B44" i="20"/>
  <c r="I42" i="20"/>
  <c r="H42" i="20"/>
  <c r="G42" i="20"/>
  <c r="F42" i="20"/>
  <c r="E42" i="20"/>
  <c r="D42" i="20"/>
  <c r="C42" i="20"/>
  <c r="B42" i="20"/>
  <c r="I41" i="20"/>
  <c r="H41" i="20"/>
  <c r="G41" i="20"/>
  <c r="F41" i="20"/>
  <c r="E41" i="20"/>
  <c r="D41" i="20"/>
  <c r="C41" i="20"/>
  <c r="B41" i="20"/>
  <c r="I40" i="20"/>
  <c r="H40" i="20"/>
  <c r="G40" i="20"/>
  <c r="F40" i="20"/>
  <c r="E40" i="20"/>
  <c r="D40" i="20"/>
  <c r="C40" i="20"/>
  <c r="B40" i="20"/>
  <c r="I38" i="20"/>
  <c r="H38" i="20"/>
  <c r="G38" i="20"/>
  <c r="F38" i="20"/>
  <c r="E38" i="20"/>
  <c r="D38" i="20"/>
  <c r="C38" i="20"/>
  <c r="B38" i="20"/>
  <c r="I37" i="20"/>
  <c r="H37" i="20"/>
  <c r="G37" i="20"/>
  <c r="F37" i="20"/>
  <c r="E37" i="20"/>
  <c r="D37" i="20"/>
  <c r="C37" i="20"/>
  <c r="B37" i="20"/>
  <c r="I36" i="20"/>
  <c r="H36" i="20"/>
  <c r="G36" i="20"/>
  <c r="F36" i="20"/>
  <c r="E36" i="20"/>
  <c r="D36" i="20"/>
  <c r="C36" i="20"/>
  <c r="B36" i="20"/>
  <c r="I35" i="20"/>
  <c r="H35" i="20"/>
  <c r="G35" i="20"/>
  <c r="F35" i="20"/>
  <c r="E35" i="20"/>
  <c r="D35" i="20"/>
  <c r="C35" i="20"/>
  <c r="B35" i="20"/>
  <c r="I34" i="20"/>
  <c r="H34" i="20"/>
  <c r="G34" i="20"/>
  <c r="F34" i="20"/>
  <c r="E34" i="20"/>
  <c r="D34" i="20"/>
  <c r="C34" i="20"/>
  <c r="B34" i="20"/>
  <c r="I32" i="20"/>
  <c r="H32" i="20"/>
  <c r="G32" i="20"/>
  <c r="F32" i="20"/>
  <c r="E32" i="20"/>
  <c r="D32" i="20"/>
  <c r="C32" i="20"/>
  <c r="B32" i="20"/>
  <c r="B279" i="20" s="1"/>
  <c r="I31" i="20"/>
  <c r="H31" i="20"/>
  <c r="G31" i="20"/>
  <c r="F31" i="20"/>
  <c r="E31" i="20"/>
  <c r="D31" i="20"/>
  <c r="C31" i="20"/>
  <c r="B31" i="20"/>
  <c r="I30" i="20"/>
  <c r="I279" i="20" s="1"/>
  <c r="H30" i="20"/>
  <c r="H279" i="20" s="1"/>
  <c r="G30" i="20"/>
  <c r="G279" i="20" s="1"/>
  <c r="F30" i="20"/>
  <c r="F279" i="20" s="1"/>
  <c r="E30" i="20"/>
  <c r="E279" i="20" s="1"/>
  <c r="D30" i="20"/>
  <c r="D279" i="20" s="1"/>
  <c r="C30" i="20"/>
  <c r="C279" i="20" s="1"/>
  <c r="B30" i="20"/>
  <c r="AI54" i="1"/>
  <c r="D203" i="20" s="1"/>
  <c r="J41" i="20" l="1"/>
  <c r="E278" i="20"/>
  <c r="I278" i="20"/>
  <c r="F278" i="20"/>
  <c r="B278" i="20"/>
  <c r="S52" i="20"/>
  <c r="V52" i="20" s="1"/>
  <c r="S53" i="20"/>
  <c r="Y53" i="20" s="1"/>
  <c r="S54" i="20"/>
  <c r="V54" i="20" s="1"/>
  <c r="S55" i="20"/>
  <c r="V55" i="20" s="1"/>
  <c r="S56" i="20"/>
  <c r="V56" i="20" s="1"/>
  <c r="S57" i="20"/>
  <c r="Y57" i="20" s="1"/>
  <c r="C278" i="20"/>
  <c r="G278" i="20"/>
  <c r="J37" i="20"/>
  <c r="J38" i="20"/>
  <c r="J165" i="20"/>
  <c r="J170" i="20"/>
  <c r="J30" i="20"/>
  <c r="J31" i="20"/>
  <c r="A3" i="19" s="1"/>
  <c r="J36" i="20"/>
  <c r="J40" i="20"/>
  <c r="J42" i="20"/>
  <c r="A6" i="19" s="1"/>
  <c r="J169" i="20"/>
  <c r="H278" i="20"/>
  <c r="J34" i="20"/>
  <c r="J44" i="20"/>
  <c r="J155" i="20"/>
  <c r="J160" i="20"/>
  <c r="J171" i="20"/>
  <c r="D202" i="20"/>
  <c r="H202" i="20"/>
  <c r="J201" i="20"/>
  <c r="D278" i="20"/>
  <c r="J35" i="20"/>
  <c r="R51" i="20"/>
  <c r="X51" i="20" s="1"/>
  <c r="R54" i="20"/>
  <c r="X54" i="20" s="1"/>
  <c r="R55" i="20"/>
  <c r="R57" i="20"/>
  <c r="J95" i="20"/>
  <c r="J100" i="20"/>
  <c r="J101" i="20"/>
  <c r="J102" i="20"/>
  <c r="J105" i="20"/>
  <c r="J106" i="20"/>
  <c r="J107" i="20"/>
  <c r="J108" i="20"/>
  <c r="J109" i="20"/>
  <c r="J152" i="20"/>
  <c r="J156" i="20"/>
  <c r="J161" i="20"/>
  <c r="J167" i="20"/>
  <c r="J198" i="20"/>
  <c r="E202" i="20"/>
  <c r="I202" i="20"/>
  <c r="C202" i="20"/>
  <c r="G202" i="20"/>
  <c r="J233" i="20"/>
  <c r="J234" i="20"/>
  <c r="J235" i="20"/>
  <c r="J238" i="20"/>
  <c r="J273" i="20"/>
  <c r="J277" i="20"/>
  <c r="J103" i="20"/>
  <c r="J154" i="20"/>
  <c r="J159" i="20"/>
  <c r="J203" i="20"/>
  <c r="R56" i="20"/>
  <c r="J110" i="20"/>
  <c r="J111" i="20"/>
  <c r="J166" i="20"/>
  <c r="J236" i="20"/>
  <c r="J237" i="20"/>
  <c r="J32" i="20"/>
  <c r="A4" i="19" s="1"/>
  <c r="J33" i="20"/>
  <c r="A5" i="19" s="1"/>
  <c r="J45" i="20"/>
  <c r="S51" i="20"/>
  <c r="R52" i="20"/>
  <c r="R53" i="20"/>
  <c r="J96" i="20"/>
  <c r="J98" i="20"/>
  <c r="J99" i="20"/>
  <c r="J153" i="20"/>
  <c r="J158" i="20"/>
  <c r="J162" i="20"/>
  <c r="J164" i="20"/>
  <c r="B202" i="20"/>
  <c r="F202" i="20"/>
  <c r="J274" i="20"/>
  <c r="J275" i="20"/>
  <c r="J276" i="20"/>
  <c r="J200" i="20"/>
  <c r="V53" i="20" l="1"/>
  <c r="Y54" i="20"/>
  <c r="T55" i="20"/>
  <c r="W55" i="20" s="1"/>
  <c r="Y56" i="20"/>
  <c r="Y52" i="20"/>
  <c r="J231" i="20"/>
  <c r="U51" i="20"/>
  <c r="V57" i="20"/>
  <c r="T57" i="20"/>
  <c r="W57" i="20" s="1"/>
  <c r="J278" i="20"/>
  <c r="J279" i="20" s="1"/>
  <c r="X55" i="20"/>
  <c r="X57" i="20"/>
  <c r="U54" i="20"/>
  <c r="Y55" i="20"/>
  <c r="U55" i="20"/>
  <c r="T54" i="20"/>
  <c r="W54" i="20" s="1"/>
  <c r="U57" i="20"/>
  <c r="U53" i="20"/>
  <c r="X53" i="20"/>
  <c r="T53" i="20"/>
  <c r="U56" i="20"/>
  <c r="X56" i="20"/>
  <c r="T56" i="20"/>
  <c r="Y51" i="20"/>
  <c r="V51" i="20"/>
  <c r="T52" i="20"/>
  <c r="X52" i="20"/>
  <c r="U52" i="20"/>
  <c r="J202" i="20"/>
  <c r="T51" i="20"/>
  <c r="Z55" i="20" l="1"/>
  <c r="Z57" i="20"/>
  <c r="Z54" i="20"/>
  <c r="Z53" i="20"/>
  <c r="W53" i="20"/>
  <c r="W51" i="20"/>
  <c r="Z51" i="20"/>
  <c r="Z52" i="20"/>
  <c r="W52" i="20"/>
  <c r="W56" i="20"/>
  <c r="Z5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IGES</author>
    <author>Ikeda</author>
    <author>hattori</author>
    <author>Hattori</author>
    <author>hattori0331</author>
  </authors>
  <commentList>
    <comment ref="AY1" authorId="0" shapeId="0" xr:uid="{00000000-0006-0000-0100-000001000000}">
      <text>
        <r>
          <rPr>
            <sz val="9"/>
            <color indexed="81"/>
            <rFont val="MS P ゴシック"/>
            <family val="3"/>
            <charset val="128"/>
          </rPr>
          <t>As of 20 Oct 2022, all the links are directed to the following pages;
- INDC https://www4.unfccc.int/sites/submissions/INDC/Submission%20Pages/submissions.aspx
- NDC 
https://unfccc.int/NDCREG</t>
        </r>
      </text>
    </comment>
    <comment ref="H2" authorId="1" shapeId="0" xr:uid="{00000000-0006-0000-0100-000002000000}">
      <text>
        <r>
          <rPr>
            <b/>
            <sz val="9"/>
            <color indexed="81"/>
            <rFont val="MS P ゴシック"/>
            <family val="3"/>
            <charset val="128"/>
          </rPr>
          <t>Different from the mitigation target period</t>
        </r>
      </text>
    </comment>
    <comment ref="Z2" authorId="0" shapeId="0" xr:uid="{00000000-0006-0000-0100-000003000000}">
      <text>
        <r>
          <rPr>
            <b/>
            <sz val="9"/>
            <color indexed="81"/>
            <rFont val="MS P ゴシック"/>
            <family val="3"/>
            <charset val="128"/>
          </rPr>
          <t xml:space="preserve">CO2 EMISSIONS FROM FUEL COMBUSTION (2019 EDITION) </t>
        </r>
        <r>
          <rPr>
            <sz val="9"/>
            <color indexed="81"/>
            <rFont val="MS P ゴシック"/>
            <family val="3"/>
            <charset val="128"/>
          </rPr>
          <t xml:space="preserve">
</t>
        </r>
      </text>
    </comment>
    <comment ref="BG3" authorId="0" shapeId="0" xr:uid="{00000000-0006-0000-0100-000006000000}">
      <text>
        <r>
          <rPr>
            <sz val="9"/>
            <color indexed="81"/>
            <rFont val="MS P ゴシック"/>
            <family val="3"/>
            <charset val="128"/>
          </rPr>
          <t>BR4:
https://unfccc.int/BR4
BR5:
https://unfccc.int/BR5</t>
        </r>
      </text>
    </comment>
    <comment ref="BI3" authorId="0" shapeId="0" xr:uid="{00000000-0006-0000-0100-000007000000}">
      <text>
        <r>
          <rPr>
            <b/>
            <sz val="9"/>
            <color indexed="81"/>
            <rFont val="MS P ゴシック"/>
            <family val="3"/>
            <charset val="128"/>
          </rPr>
          <t>https://unfccc.int/BURs</t>
        </r>
      </text>
    </comment>
    <comment ref="J16" authorId="0" shapeId="0" xr:uid="{00000000-0006-0000-0100-000009000000}">
      <text>
        <r>
          <rPr>
            <b/>
            <sz val="9"/>
            <color indexed="81"/>
            <rFont val="MS P ゴシック"/>
            <family val="3"/>
            <charset val="128"/>
          </rPr>
          <t>mitigation co-benefits</t>
        </r>
      </text>
    </comment>
    <comment ref="K29" authorId="0" shapeId="0" xr:uid="{00000000-0006-0000-0100-00000A000000}">
      <text>
        <r>
          <rPr>
            <b/>
            <sz val="9"/>
            <color indexed="81"/>
            <rFont val="MS P ゴシック"/>
            <family val="3"/>
            <charset val="128"/>
          </rPr>
          <t>Conditional actions are also provided.</t>
        </r>
      </text>
    </comment>
    <comment ref="AP33" authorId="0" shapeId="0" xr:uid="{00000000-0006-0000-0100-00000B000000}">
      <text>
        <r>
          <rPr>
            <b/>
            <sz val="9"/>
            <color indexed="81"/>
            <rFont val="MS P ゴシック"/>
            <family val="3"/>
            <charset val="128"/>
          </rPr>
          <t>Modified from "Yes, but not mentioned in the NDC"</t>
        </r>
      </text>
    </comment>
    <comment ref="C36" authorId="2" shapeId="0" xr:uid="{00000000-0006-0000-0100-00000C000000}">
      <text>
        <r>
          <rPr>
            <b/>
            <sz val="9"/>
            <color indexed="81"/>
            <rFont val="MS P ゴシック"/>
            <family val="3"/>
            <charset val="128"/>
          </rPr>
          <t>also absolute emission reduction</t>
        </r>
      </text>
    </comment>
    <comment ref="C37" authorId="0" shapeId="0" xr:uid="{00000000-0006-0000-0100-00000D000000}">
      <text>
        <r>
          <rPr>
            <b/>
            <sz val="9"/>
            <color indexed="81"/>
            <rFont val="MS P ゴシック"/>
            <family val="3"/>
            <charset val="128"/>
          </rPr>
          <t>Also "Peak of carbon emissions"</t>
        </r>
        <r>
          <rPr>
            <sz val="9"/>
            <color indexed="81"/>
            <rFont val="MS P ゴシック"/>
            <family val="3"/>
            <charset val="128"/>
          </rPr>
          <t xml:space="preserve">
</t>
        </r>
      </text>
    </comment>
    <comment ref="L37" authorId="3" shapeId="0" xr:uid="{00000000-0006-0000-0100-00000E000000}">
      <text>
        <r>
          <rPr>
            <b/>
            <sz val="9"/>
            <color indexed="81"/>
            <rFont val="MS P ゴシック"/>
            <family val="3"/>
            <charset val="128"/>
          </rPr>
          <t>Coverage is not specified.</t>
        </r>
      </text>
    </comment>
    <comment ref="S37" authorId="3" shapeId="0" xr:uid="{00000000-0006-0000-0100-00000F000000}">
      <text>
        <r>
          <rPr>
            <b/>
            <sz val="9"/>
            <color indexed="81"/>
            <rFont val="MS P ゴシック"/>
            <family val="3"/>
            <charset val="128"/>
          </rPr>
          <t>Information on covered gas cannot be identified except for CO2.</t>
        </r>
      </text>
    </comment>
    <comment ref="C51" authorId="2" shapeId="0" xr:uid="{97A13A27-D663-4623-A33A-C0AA15681E77}">
      <text>
        <r>
          <rPr>
            <b/>
            <sz val="9"/>
            <color indexed="81"/>
            <rFont val="MS P ゴシック"/>
            <family val="3"/>
            <charset val="128"/>
          </rPr>
          <t>Policies and measures for some sectors</t>
        </r>
      </text>
    </comment>
    <comment ref="D54" authorId="0" shapeId="0" xr:uid="{00000000-0006-0000-0100-000010000000}">
      <text>
        <r>
          <rPr>
            <b/>
            <sz val="9"/>
            <color indexed="81"/>
            <rFont val="MS P ゴシック"/>
            <family val="3"/>
            <charset val="128"/>
          </rPr>
          <t>Lowered ambition</t>
        </r>
      </text>
    </comment>
    <comment ref="AG54" authorId="0" shapeId="0" xr:uid="{00000000-0006-0000-0100-000011000000}">
      <text>
        <r>
          <rPr>
            <b/>
            <sz val="9"/>
            <color indexed="81"/>
            <rFont val="MS P ゴシック"/>
            <family val="3"/>
            <charset val="128"/>
          </rPr>
          <t>By 2030</t>
        </r>
        <r>
          <rPr>
            <sz val="9"/>
            <color indexed="81"/>
            <rFont val="MS P ゴシック"/>
            <family val="3"/>
            <charset val="128"/>
          </rPr>
          <t xml:space="preserve">
In their NDC, there is a discrepancy in the amount.</t>
        </r>
      </text>
    </comment>
    <comment ref="AH54" authorId="0" shapeId="0" xr:uid="{00000000-0006-0000-0100-000012000000}">
      <text>
        <r>
          <rPr>
            <b/>
            <sz val="9"/>
            <color indexed="81"/>
            <rFont val="MS P ゴシック"/>
            <family val="3"/>
            <charset val="128"/>
          </rPr>
          <t>Updated</t>
        </r>
        <r>
          <rPr>
            <sz val="9"/>
            <color indexed="81"/>
            <rFont val="MS P ゴシック"/>
            <family val="3"/>
            <charset val="128"/>
          </rPr>
          <t xml:space="preserve">
</t>
        </r>
      </text>
    </comment>
    <comment ref="Q88" authorId="4" shapeId="0" xr:uid="{00000000-0006-0000-0100-000013000000}">
      <text>
        <r>
          <rPr>
            <b/>
            <sz val="6"/>
            <color indexed="81"/>
            <rFont val="MS P ゴシック"/>
            <family val="3"/>
            <charset val="128"/>
          </rPr>
          <t>The emission limitations/removals from the categories of land use, land use change and forestry is
excluded from the projections until the statistical data of the land category changes will be designed,
except the firewood consumption</t>
        </r>
      </text>
    </comment>
    <comment ref="L89" authorId="3" shapeId="0" xr:uid="{00000000-0006-0000-0100-000014000000}">
      <text>
        <r>
          <rPr>
            <b/>
            <sz val="9"/>
            <color indexed="81"/>
            <rFont val="MS P ゴシック"/>
            <family val="3"/>
            <charset val="128"/>
          </rPr>
          <t>The expected emission reduction amount constitutes 88% of emissions.</t>
        </r>
      </text>
    </comment>
    <comment ref="L98" authorId="3" shapeId="0" xr:uid="{00000000-0006-0000-0100-000015000000}">
      <text>
        <r>
          <rPr>
            <b/>
            <sz val="9"/>
            <color indexed="81"/>
            <rFont val="MS P ゴシック"/>
            <family val="3"/>
            <charset val="128"/>
          </rPr>
          <t xml:space="preserve">It is clarified that India’s INDC do not bind it to any sector specific mitigation obligation or action, including in agriculture sector.
</t>
        </r>
      </text>
    </comment>
    <comment ref="J111" authorId="4" shapeId="0" xr:uid="{00000000-0006-0000-0100-000017000000}">
      <text>
        <r>
          <rPr>
            <b/>
            <sz val="9"/>
            <color indexed="81"/>
            <rFont val="MS P ゴシック"/>
            <family val="3"/>
            <charset val="128"/>
          </rPr>
          <t>Sectoral unconditional and conditional targets are also specified in the NDC.</t>
        </r>
      </text>
    </comment>
    <comment ref="J113" authorId="0" shapeId="0" xr:uid="{00000000-0006-0000-0100-000018000000}">
      <text>
        <r>
          <rPr>
            <b/>
            <sz val="9"/>
            <color indexed="81"/>
            <rFont val="MS P ゴシック"/>
            <family val="3"/>
            <charset val="128"/>
          </rPr>
          <t>Updated Feb 2019</t>
        </r>
        <r>
          <rPr>
            <sz val="9"/>
            <color indexed="81"/>
            <rFont val="MS P ゴシック"/>
            <family val="3"/>
            <charset val="128"/>
          </rPr>
          <t xml:space="preserve">
</t>
        </r>
      </text>
    </comment>
    <comment ref="K113" authorId="0" shapeId="0" xr:uid="{00000000-0006-0000-0100-000019000000}">
      <text>
        <r>
          <rPr>
            <b/>
            <sz val="9"/>
            <color indexed="81"/>
            <rFont val="MS P ゴシック"/>
            <family val="3"/>
            <charset val="128"/>
          </rPr>
          <t>Updated 2019</t>
        </r>
        <r>
          <rPr>
            <sz val="9"/>
            <color indexed="81"/>
            <rFont val="MS P ゴシック"/>
            <family val="3"/>
            <charset val="128"/>
          </rPr>
          <t xml:space="preserve">
</t>
        </r>
      </text>
    </comment>
    <comment ref="Q113" authorId="0" shapeId="0" xr:uid="{00000000-0006-0000-0100-00001A000000}">
      <text>
        <r>
          <rPr>
            <b/>
            <sz val="9"/>
            <color indexed="81"/>
            <rFont val="MS P ゴシック"/>
            <family val="3"/>
            <charset val="128"/>
          </rPr>
          <t>Updated Feb 2019</t>
        </r>
        <r>
          <rPr>
            <sz val="9"/>
            <color indexed="81"/>
            <rFont val="MS P ゴシック"/>
            <family val="3"/>
            <charset val="128"/>
          </rPr>
          <t xml:space="preserve">
</t>
        </r>
      </text>
    </comment>
    <comment ref="R113" authorId="0" shapeId="0" xr:uid="{00000000-0006-0000-0100-00001B000000}">
      <text>
        <r>
          <rPr>
            <b/>
            <sz val="9"/>
            <color indexed="81"/>
            <rFont val="MS P ゴシック"/>
            <family val="3"/>
            <charset val="128"/>
          </rPr>
          <t>Updated</t>
        </r>
      </text>
    </comment>
    <comment ref="AG113" authorId="0" shapeId="0" xr:uid="{00000000-0006-0000-0100-00001C000000}">
      <text>
        <r>
          <rPr>
            <b/>
            <sz val="9"/>
            <color indexed="81"/>
            <rFont val="MS P ゴシック"/>
            <family val="3"/>
            <charset val="128"/>
          </rPr>
          <t>Updated Feb 2019</t>
        </r>
        <r>
          <rPr>
            <sz val="9"/>
            <color indexed="81"/>
            <rFont val="MS P ゴシック"/>
            <family val="3"/>
            <charset val="128"/>
          </rPr>
          <t xml:space="preserve">
</t>
        </r>
      </text>
    </comment>
    <comment ref="AI113" authorId="0" shapeId="0" xr:uid="{00000000-0006-0000-0100-00001D000000}">
      <text>
        <r>
          <rPr>
            <b/>
            <sz val="9"/>
            <color indexed="81"/>
            <rFont val="MS P ゴシック"/>
            <family val="3"/>
            <charset val="128"/>
          </rPr>
          <t>Updated Feb 2019</t>
        </r>
      </text>
    </comment>
    <comment ref="AJ113" authorId="0" shapeId="0" xr:uid="{00000000-0006-0000-0100-00001E000000}">
      <text>
        <r>
          <rPr>
            <b/>
            <sz val="9"/>
            <color indexed="81"/>
            <rFont val="MS P ゴシック"/>
            <family val="3"/>
            <charset val="128"/>
          </rPr>
          <t>Updated Feb 2019</t>
        </r>
      </text>
    </comment>
    <comment ref="AK113" authorId="0" shapeId="0" xr:uid="{00000000-0006-0000-0100-00001F000000}">
      <text>
        <r>
          <rPr>
            <b/>
            <sz val="9"/>
            <color indexed="81"/>
            <rFont val="MS P ゴシック"/>
            <family val="3"/>
            <charset val="128"/>
          </rPr>
          <t>Update Feb 2019</t>
        </r>
        <r>
          <rPr>
            <sz val="9"/>
            <color indexed="81"/>
            <rFont val="MS P ゴシック"/>
            <family val="3"/>
            <charset val="128"/>
          </rPr>
          <t xml:space="preserve">
</t>
        </r>
      </text>
    </comment>
    <comment ref="AL113" authorId="0" shapeId="0" xr:uid="{00000000-0006-0000-0100-000020000000}">
      <text>
        <r>
          <rPr>
            <b/>
            <sz val="9"/>
            <color indexed="81"/>
            <rFont val="MS P ゴシック"/>
            <family val="3"/>
            <charset val="128"/>
          </rPr>
          <t>Updated Feb 2019, no longer mention about market mechanism</t>
        </r>
      </text>
    </comment>
    <comment ref="AM113" authorId="0" shapeId="0" xr:uid="{00000000-0006-0000-0100-000021000000}">
      <text>
        <r>
          <rPr>
            <b/>
            <sz val="9"/>
            <color indexed="81"/>
            <rFont val="MS P ゴシック"/>
            <family val="3"/>
            <charset val="128"/>
          </rPr>
          <t>Update Feb 2019</t>
        </r>
        <r>
          <rPr>
            <sz val="9"/>
            <color indexed="81"/>
            <rFont val="MS P ゴシック"/>
            <family val="3"/>
            <charset val="128"/>
          </rPr>
          <t xml:space="preserve">
</t>
        </r>
      </text>
    </comment>
    <comment ref="AI123" authorId="0" shapeId="0" xr:uid="{00000000-0006-0000-0100-000022000000}">
      <text>
        <r>
          <rPr>
            <b/>
            <sz val="9"/>
            <color indexed="81"/>
            <rFont val="MS P ゴシック"/>
            <family val="3"/>
            <charset val="128"/>
          </rPr>
          <t>In addition to mitigation and adaptation, following are included:
-Gender and youth mainstreaming
-Jobs and Education
-Capacity building
-Setting up and operationalising the measurement, verification and reporting system</t>
        </r>
      </text>
    </comment>
    <comment ref="J134" authorId="0" shapeId="0" xr:uid="{00000000-0006-0000-0100-000023000000}">
      <text>
        <r>
          <rPr>
            <b/>
            <sz val="9"/>
            <color indexed="81"/>
            <rFont val="MS P ゴシック"/>
            <family val="3"/>
            <charset val="128"/>
          </rPr>
          <t>More sectoral targets are included.</t>
        </r>
      </text>
    </comment>
    <comment ref="K134" authorId="0" shapeId="0" xr:uid="{00000000-0006-0000-0100-000024000000}">
      <text>
        <r>
          <rPr>
            <b/>
            <sz val="9"/>
            <color indexed="81"/>
            <rFont val="MS P ゴシック"/>
            <family val="3"/>
            <charset val="128"/>
          </rPr>
          <t>More sectoral targets are included.</t>
        </r>
      </text>
    </comment>
    <comment ref="S162" authorId="3" shapeId="0" xr:uid="{00000000-0006-0000-0100-000027000000}">
      <text>
        <r>
          <rPr>
            <b/>
            <sz val="9"/>
            <color indexed="81"/>
            <rFont val="MS P ゴシック"/>
            <family val="3"/>
            <charset val="128"/>
          </rPr>
          <t>CO2 and CH4 are identified from description of mitigation measures.</t>
        </r>
      </text>
    </comment>
    <comment ref="J166" authorId="0" shapeId="0" xr:uid="{00000000-0006-0000-0100-000028000000}">
      <text>
        <r>
          <rPr>
            <b/>
            <sz val="9"/>
            <color indexed="81"/>
            <rFont val="MS P ゴシック"/>
            <family val="3"/>
            <charset val="128"/>
          </rPr>
          <t>Other sectoral conditional and unconditional contributions are set.</t>
        </r>
      </text>
    </comment>
    <comment ref="E168" authorId="4" shapeId="0" xr:uid="{00000000-0006-0000-0100-000029000000}">
      <text>
        <r>
          <rPr>
            <b/>
            <sz val="9"/>
            <color indexed="81"/>
            <rFont val="MS P ゴシック"/>
            <family val="3"/>
            <charset val="128"/>
          </rPr>
          <t>BaU is also mentioned.</t>
        </r>
      </text>
    </comment>
    <comment ref="C170" authorId="0" shapeId="0" xr:uid="{00000000-0006-0000-0100-00002A000000}">
      <text>
        <r>
          <rPr>
            <b/>
            <sz val="9"/>
            <color indexed="81"/>
            <rFont val="MS P ゴシック"/>
            <family val="3"/>
            <charset val="128"/>
          </rPr>
          <t>peak, plateau and decline GHG
emissions trajectory range</t>
        </r>
      </text>
    </comment>
    <comment ref="D171" authorId="0" shapeId="0" xr:uid="{00000000-0006-0000-0100-00002B000000}">
      <text>
        <r>
          <rPr>
            <b/>
            <sz val="9"/>
            <color indexed="81"/>
            <rFont val="MS P ゴシック"/>
            <family val="3"/>
            <charset val="128"/>
          </rPr>
          <t>Sectoral targets till 2030 are set.</t>
        </r>
      </text>
    </comment>
    <comment ref="J171" authorId="0" shapeId="0" xr:uid="{00000000-0006-0000-0100-00002C000000}">
      <text>
        <r>
          <rPr>
            <b/>
            <sz val="9"/>
            <color indexed="81"/>
            <rFont val="MS P ゴシック"/>
            <family val="3"/>
            <charset val="128"/>
          </rPr>
          <t>More sectoral strategies are described.</t>
        </r>
      </text>
    </comment>
    <comment ref="K171" authorId="0" shapeId="0" xr:uid="{00000000-0006-0000-0100-00002D000000}">
      <text>
        <r>
          <rPr>
            <b/>
            <sz val="9"/>
            <color indexed="81"/>
            <rFont val="MS P ゴシック"/>
            <family val="3"/>
            <charset val="128"/>
          </rPr>
          <t>More sectoral strategies are described.</t>
        </r>
      </text>
    </comment>
    <comment ref="K173" authorId="0" shapeId="0" xr:uid="{2B6883C1-67D5-4163-9905-98F6E2C01E86}">
      <text>
        <r>
          <rPr>
            <b/>
            <sz val="9"/>
            <color indexed="81"/>
            <rFont val="MS P ゴシック"/>
            <family val="3"/>
            <charset val="128"/>
          </rPr>
          <t>More sectoral targets are provided.</t>
        </r>
      </text>
    </comment>
    <comment ref="A174" authorId="4" shapeId="0" xr:uid="{00000000-0006-0000-0100-00002E000000}">
      <text>
        <r>
          <rPr>
            <b/>
            <sz val="9"/>
            <color indexed="81"/>
            <rFont val="MS P ゴシック"/>
            <family val="3"/>
            <charset val="128"/>
          </rPr>
          <t>Informaiton based on interim submission of updated NDC.</t>
        </r>
      </text>
    </comment>
    <comment ref="BA193" authorId="4" shapeId="0" xr:uid="{24242FB9-1D17-4018-8EB5-3EC69F4424C7}">
      <text>
        <r>
          <rPr>
            <b/>
            <sz val="9"/>
            <color indexed="81"/>
            <rFont val="MS P ゴシック"/>
            <family val="3"/>
            <charset val="128"/>
          </rPr>
          <t>First NDC (After rejoining the PA)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IGES</author>
    <author>hattori</author>
    <author>hattori0331</author>
  </authors>
  <commentList>
    <comment ref="X11" authorId="0" shapeId="0" xr:uid="{00000000-0006-0000-0200-000001000000}">
      <text>
        <r>
          <rPr>
            <b/>
            <sz val="9"/>
            <color indexed="81"/>
            <rFont val="MS P ゴシック"/>
            <family val="3"/>
            <charset val="128"/>
          </rPr>
          <t>mitigation co-benefits</t>
        </r>
      </text>
    </comment>
    <comment ref="S30" authorId="1" shapeId="0" xr:uid="{00000000-0006-0000-0200-000002000000}">
      <text>
        <r>
          <rPr>
            <b/>
            <sz val="9"/>
            <color indexed="81"/>
            <rFont val="MS P ゴシック"/>
            <family val="3"/>
            <charset val="128"/>
          </rPr>
          <t>also absolute emission reduction</t>
        </r>
      </text>
    </comment>
    <comment ref="L31" authorId="0" shapeId="0" xr:uid="{00000000-0006-0000-0200-000003000000}">
      <text>
        <r>
          <rPr>
            <b/>
            <sz val="9"/>
            <color indexed="81"/>
            <rFont val="MS P ゴシック"/>
            <family val="3"/>
            <charset val="128"/>
          </rPr>
          <t>Also "Peak of carbon emissions"</t>
        </r>
        <r>
          <rPr>
            <sz val="9"/>
            <color indexed="81"/>
            <rFont val="MS P ゴシック"/>
            <family val="3"/>
            <charset val="128"/>
          </rPr>
          <t xml:space="preserve">
</t>
        </r>
      </text>
    </comment>
    <comment ref="S31" authorId="0" shapeId="0" xr:uid="{00000000-0006-0000-0200-000004000000}">
      <text>
        <r>
          <rPr>
            <b/>
            <sz val="9"/>
            <color indexed="81"/>
            <rFont val="MS P ゴシック"/>
            <family val="3"/>
            <charset val="128"/>
          </rPr>
          <t>Also "Peak of carbon emissions"</t>
        </r>
        <r>
          <rPr>
            <sz val="9"/>
            <color indexed="81"/>
            <rFont val="MS P ゴシック"/>
            <family val="3"/>
            <charset val="128"/>
          </rPr>
          <t xml:space="preserve">
</t>
        </r>
      </text>
    </comment>
    <comment ref="S43" authorId="1" shapeId="0" xr:uid="{DE1622B1-D21F-4040-931F-8A1A1A490AE6}">
      <text>
        <r>
          <rPr>
            <b/>
            <sz val="9"/>
            <color indexed="81"/>
            <rFont val="MS P ゴシック"/>
            <family val="3"/>
            <charset val="128"/>
          </rPr>
          <t>Policies and measures for some sectors</t>
        </r>
      </text>
    </comment>
    <comment ref="M45" authorId="0" shapeId="0" xr:uid="{00000000-0006-0000-0200-000005000000}">
      <text>
        <r>
          <rPr>
            <b/>
            <sz val="9"/>
            <color indexed="81"/>
            <rFont val="MS P ゴシック"/>
            <family val="3"/>
            <charset val="128"/>
          </rPr>
          <t>Lowered ambition</t>
        </r>
      </text>
    </comment>
    <comment ref="A48" authorId="1" shapeId="0" xr:uid="{00000000-0006-0000-0200-000006000000}">
      <text>
        <r>
          <rPr>
            <b/>
            <sz val="9"/>
            <color indexed="81"/>
            <rFont val="MS P ゴシック"/>
            <family val="3"/>
            <charset val="128"/>
          </rPr>
          <t>Common information for 27 countries in EU</t>
        </r>
      </text>
    </comment>
    <comment ref="X71" authorId="2" shapeId="0" xr:uid="{00000000-0006-0000-0200-000007000000}">
      <text>
        <r>
          <rPr>
            <b/>
            <sz val="9"/>
            <color indexed="81"/>
            <rFont val="MS P ゴシック"/>
            <family val="3"/>
            <charset val="128"/>
          </rPr>
          <t>Sectoral unconditional and conditional targets are also specified in the NDC.</t>
        </r>
      </text>
    </comment>
    <comment ref="X91" authorId="0" shapeId="0" xr:uid="{00000000-0006-0000-0200-000008000000}">
      <text>
        <r>
          <rPr>
            <b/>
            <sz val="9"/>
            <color indexed="81"/>
            <rFont val="MS P ゴシック"/>
            <family val="3"/>
            <charset val="128"/>
          </rPr>
          <t>More sectoral targets are included.</t>
        </r>
      </text>
    </comment>
    <comment ref="X119" authorId="0" shapeId="0" xr:uid="{00000000-0006-0000-0200-000009000000}">
      <text>
        <r>
          <rPr>
            <b/>
            <sz val="9"/>
            <color indexed="81"/>
            <rFont val="MS P ゴシック"/>
            <family val="3"/>
            <charset val="128"/>
          </rPr>
          <t>Other sectoral conditional and unconditional contributions are set.</t>
        </r>
      </text>
    </comment>
    <comment ref="U121" authorId="2" shapeId="0" xr:uid="{00000000-0006-0000-0200-00000A000000}">
      <text>
        <r>
          <rPr>
            <b/>
            <sz val="9"/>
            <color indexed="81"/>
            <rFont val="MS P ゴシック"/>
            <family val="3"/>
            <charset val="128"/>
          </rPr>
          <t>BaU is also mentioned.</t>
        </r>
      </text>
    </comment>
    <comment ref="S123" authorId="0" shapeId="0" xr:uid="{00000000-0006-0000-0200-00000B000000}">
      <text>
        <r>
          <rPr>
            <b/>
            <sz val="9"/>
            <color indexed="81"/>
            <rFont val="MS P ゴシック"/>
            <family val="3"/>
            <charset val="128"/>
          </rPr>
          <t>peak, plateau and decline GHG
emissions trajectory range</t>
        </r>
      </text>
    </comment>
    <comment ref="T124" authorId="0" shapeId="0" xr:uid="{00000000-0006-0000-0200-00000C000000}">
      <text>
        <r>
          <rPr>
            <b/>
            <sz val="9"/>
            <color indexed="81"/>
            <rFont val="MS P ゴシック"/>
            <family val="3"/>
            <charset val="128"/>
          </rPr>
          <t>Sectoral targets till 2030 are set.</t>
        </r>
      </text>
    </comment>
    <comment ref="X124" authorId="0" shapeId="0" xr:uid="{00000000-0006-0000-0200-00000D000000}">
      <text>
        <r>
          <rPr>
            <b/>
            <sz val="9"/>
            <color indexed="81"/>
            <rFont val="MS P ゴシック"/>
            <family val="3"/>
            <charset val="128"/>
          </rPr>
          <t>More sectoral strategies are described.</t>
        </r>
      </text>
    </comment>
    <comment ref="C140" authorId="2" shapeId="0" xr:uid="{00000000-0006-0000-0200-00000F000000}">
      <text>
        <r>
          <rPr>
            <b/>
            <sz val="9"/>
            <color indexed="81"/>
            <rFont val="MS P ゴシック"/>
            <family val="3"/>
            <charset val="128"/>
          </rPr>
          <t>First NDC (After rejoining the PA)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IGES</author>
  </authors>
  <commentList>
    <comment ref="A92" authorId="0" shapeId="0" xr:uid="{00000000-0006-0000-0300-000004000000}">
      <text>
        <r>
          <rPr>
            <b/>
            <sz val="9"/>
            <color indexed="81"/>
            <rFont val="MS P ゴシック"/>
            <family val="3"/>
            <charset val="128"/>
          </rPr>
          <t>For those who have not submitted NDCs and not ratified PA are excluded from this.</t>
        </r>
        <r>
          <rPr>
            <sz val="9"/>
            <color indexed="81"/>
            <rFont val="MS P ゴシック"/>
            <family val="3"/>
            <charset val="128"/>
          </rPr>
          <t xml:space="preserve">
</t>
        </r>
      </text>
    </comment>
    <comment ref="A149" authorId="0" shapeId="0" xr:uid="{00000000-0006-0000-0300-000005000000}">
      <text>
        <r>
          <rPr>
            <b/>
            <sz val="9"/>
            <color indexed="81"/>
            <rFont val="MS P ゴシック"/>
            <family val="3"/>
            <charset val="128"/>
          </rPr>
          <t>For those who have not submitted NDCs and not ratified PA are excluded from this.</t>
        </r>
      </text>
    </comment>
    <comment ref="A195" authorId="0" shapeId="0" xr:uid="{00000000-0006-0000-0300-000006000000}">
      <text>
        <r>
          <rPr>
            <b/>
            <sz val="9"/>
            <color indexed="81"/>
            <rFont val="MS P ゴシック"/>
            <family val="3"/>
            <charset val="128"/>
          </rPr>
          <t>For those who have not submitted NDCs and not ratified PA are excluded from this.</t>
        </r>
      </text>
    </comment>
    <comment ref="A271" authorId="0" shapeId="0" xr:uid="{00000000-0006-0000-0300-000007000000}">
      <text>
        <r>
          <rPr>
            <b/>
            <sz val="9"/>
            <color indexed="81"/>
            <rFont val="MS P ゴシック"/>
            <family val="3"/>
            <charset val="128"/>
          </rPr>
          <t>For those who has not submitted NDCs and not ratified PA are excluded from this.</t>
        </r>
        <r>
          <rPr>
            <sz val="9"/>
            <color indexed="81"/>
            <rFont val="MS P ゴシック"/>
            <family val="3"/>
            <charset val="128"/>
          </rPr>
          <t xml:space="preserve">
</t>
        </r>
      </text>
    </comment>
    <comment ref="J279" authorId="0" shapeId="0" xr:uid="{00000000-0006-0000-0300-000008000000}">
      <text>
        <r>
          <rPr>
            <b/>
            <sz val="9"/>
            <color indexed="81"/>
            <rFont val="MS P ゴシック"/>
            <family val="3"/>
            <charset val="128"/>
          </rPr>
          <t>Either NDCs or Only NDCs submitted</t>
        </r>
        <r>
          <rPr>
            <sz val="9"/>
            <color indexed="81"/>
            <rFont val="MS P ゴシック"/>
            <family val="3"/>
            <charset val="128"/>
          </rPr>
          <t xml:space="preserve">
</t>
        </r>
      </text>
    </comment>
  </commentList>
</comments>
</file>

<file path=xl/sharedStrings.xml><?xml version="1.0" encoding="utf-8"?>
<sst xmlns="http://schemas.openxmlformats.org/spreadsheetml/2006/main" count="14487" uniqueCount="2198">
  <si>
    <t>Target Year</t>
  </si>
  <si>
    <t>BAU</t>
  </si>
  <si>
    <t>Remain carbon neutral</t>
  </si>
  <si>
    <t>N/A</t>
  </si>
  <si>
    <t>Carbon neutrality</t>
  </si>
  <si>
    <t>48% and 55%</t>
  </si>
  <si>
    <t>2025 and 2030</t>
  </si>
  <si>
    <t>At least 50%</t>
  </si>
  <si>
    <t>Emissions will not exceed 7.58 MtCO2e</t>
  </si>
  <si>
    <t>10-20%</t>
  </si>
  <si>
    <t>Total emissions won't exceed 663MtC02e and 189 tonnes per capita</t>
  </si>
  <si>
    <t>At least 40%</t>
  </si>
  <si>
    <t>25-30%</t>
  </si>
  <si>
    <t>37% by 2025, 43% by 2030 (indicative)</t>
  </si>
  <si>
    <t>26-28%</t>
  </si>
  <si>
    <t xml:space="preserve">Kazakhstan supports inclusion of market based mechanisms in the 2015 agreement, and the opportunity to use carbon units recognised by the UNFCCC. Kazakhstan retains the option of using market based mechanisms under the UNFCCC. Kazakhstan will consider adequately discounting international units for compliance to ensure a contribution to net global emission reductions. </t>
  </si>
  <si>
    <t>Botswana will use market mechanisms under the convention.</t>
  </si>
  <si>
    <t>The assumptions underlying Liechtensteinís INDC are based on the possibility to achieve emission reductions abroad which may be accounted towards Liechtensteinís reduction target in 2030. However, primary focus will be given on domestic emission reductions.</t>
  </si>
  <si>
    <t xml:space="preserve">The Republic of San Marino intends to achieve its goals of reducing emissions exclusively through domestic measures. However, the use of international mechanisms based on the market is not excluded if domestic reductions will prove insufficient to achieve the targets set. </t>
  </si>
  <si>
    <t xml:space="preserve">Kiribati will consider market based mechanisms to support establishment and operation of a National Climate Change Trust Fund. </t>
  </si>
  <si>
    <t xml:space="preserve">Burkina Faso supports the use of market mechanisms such as the Clean Development Mechanism (CDM) as an efficient tool of Monitoring, Reporting and Verification (MRV) for mitigation activities, and financial tool focused on results. Burkina therefore supports the use of Certified Emission Reductions (CER) provided by projects and Program of Activities of the CDM to reach its pre-2020 mitigation target. </t>
  </si>
  <si>
    <t>INDC not submitted</t>
  </si>
  <si>
    <t>No reduction based on of carbon credits purchased outside of Madagascar.</t>
  </si>
  <si>
    <t>Asia</t>
  </si>
  <si>
    <t>Northern America</t>
  </si>
  <si>
    <t>Oceania</t>
  </si>
  <si>
    <t xml:space="preserve"> The UAE will pursue a portfolio of actions, including an increase of clean energy to 24% of the total energy mix by 2021.
</t>
  </si>
  <si>
    <t xml:space="preserve">A greenhouse gas emission reduction of 7% to 22% by 2030 compared to business as usual (BAU) levels, conditional on external assistance for the financing of the development and transfer of technologies and capacity building. A 7% GHG reduction will be achieved with domestic means. 
</t>
  </si>
  <si>
    <t xml:space="preserve">The country intends to achieve an overall emissions reduction of 15% by 2030, taking 2010 as the base year. 
</t>
  </si>
  <si>
    <t xml:space="preserve">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
</t>
  </si>
  <si>
    <t xml:space="preserve">Sao Tome and Principe's mitigation contribution is a reduction of greenhouse gases by about 57 ktCO2eq below BAU by 2030, which approximately corresponds to a 24% national emission reduction below BAU by 2030. </t>
  </si>
  <si>
    <t>Tanzania will reduce greenhouse gas emissions economy wide between 10-20% by 2030 relative to the BAU scenario of 138 - 153 Million tones of carbon dioxide equivalent (MtCO2e)- gross emissions, depending on the baseline efficiency improvements, consistent with its sustainable development agenda. The emissions reduction is subject to review after the first Biennial Update Report (BUR).</t>
  </si>
  <si>
    <t>Tunisia proposes reducing its greenhouse gas emissions across all sectors (energy; industrial processes; agriculture, forestry and other land use; waste) in order to lower its carbon intensity by 41 percent in 2030, relative to the base year 2010…Tunisia, which has already made significant strides towards mitigation in its baseline, is looking to reduce its carbon intensity unconditionally and through its own efforts by 13 percent compared to 2010, i.e. by around 1/3 of its INDC. To achieve the rest of its objective, i.e. an additional drop in carbon intensity of 28 percent in 2030 compared to 2010, Tunisia is relying on the support of the international community for funding, capacity building and technology transfer.</t>
  </si>
  <si>
    <t>For mitigation, Uganda is to focus on implementation of a series of policies and measures in the energy supply, forestry and wetland sectors. In the business-as-usual (BAU) scenario the estimated emissions in 2030 will be 77.3 Million tons of carbon dioxide equivalent per year (MtCO2eq/yr).The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</si>
  <si>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The EU and its Member States are committed to a binding target of an at least 40% domestic reduction in greenhouse gas emissions by 2030 compared to 1990, to be fulfilled jointly, as set out in the conclusions by the European Council of October 2014.</t>
  </si>
  <si>
    <t>Liechtenstein aims at a reduction of greenhouse gases by 40 % compared to 1990 by 2030. The reduction target will be subject to the approval of the Liechtenstein Parliament.</t>
  </si>
  <si>
    <t>To reduce the CO2 emissions from fossil fuels combustion for 30%, that is, for 36% at a higher level of ambition, by 2030 compared to the business as usual (BAU) scenario.</t>
  </si>
  <si>
    <t>Montenegro’s contribution to the international effort to avoid dangerous climate change is expressed [as a] 30% emission reduction by 2030 compared to the 1990 base year. The emission level of greenhouse gases for Montenegro from sectors covered by INDC was 5239 kilotons in 1990 and Montenegro pledges to reduce it at least by 1572 kilotons, to the level below or at 3667 kilotons. The reduction is to be achieved by general increase of energy efficiency, improvement of industrial technologies, increase of the share of renewables and modernization in the power sector.</t>
  </si>
  <si>
    <t>Argentina’s goal is to reduce GHG emissions by 15% in 2030 with respect to projected BAU emissions for that year. The goal includes, inter alia, actions linked to: the promotion of sustainable forest management, energy efficiency, biofuels, nuclear power, renewable energy, and transport modal shift. The criteria for selecting the actions include the potential for reducing /capturing GHG emissions and associate co-benefits, as well as the possibility of applying nationally developed technologies. Argentina could increase its reduction goal under the following conditions: a) Adequate and predictable international financing; b) support for transfer, innovation and technology development; c) support for capacity building. In this case, a reduction of 30% GHG emissions could be achieved by 2030 compared to projected BAU emissions in the same year.</t>
  </si>
  <si>
    <t>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t>
  </si>
  <si>
    <t>The Republic of Colombia commits to reduce its greenhouse gas emissions by 20% with respect to the projected Business-as-Usual Scenario (BAU) by 2030. Subject to the provision of international support, Colombia could increase its ambition from 20% reduction with respect to BAU to 30% with respect to BAU by 2030.</t>
  </si>
  <si>
    <t>Reduce CO2 emissions per unit of GDP by 30% from 2007 level by 2030. Conditional on international monetary contributions, reduce CO2 emissions per unit of GDP by 35%-45% from 2007 level by 2030. Sustainable management and restoration of 100,000 hectares of principally native forest, representing sequestration of around 600,000 tons of CO2e per year, from 2030. Reforestation of 100,000 ha representing capture of 900,000-1,200,000 tons CO2e per year from 2030.</t>
  </si>
  <si>
    <t>20% reduction relative to projected emissions by 2030. Unilateral Target: 10% reduction from projected emissions by 2030. Conditional Target: 10% reduction from projected emissions by 2030.</t>
  </si>
  <si>
    <t>Trinidad and Tobago's aim is to achieve a reduction objective in overall emissions from the three sectors by 15% by 2030 from BAU, which in absolute terms is an equivalent of one hundred and three million tonnes (103,000,000) of CO2e. Trinidad and Tobago will commit to unconditionally reduce its public transportation emissions by 30% or one million, seven hundred thousand tonnes (1,700,000) CO2e compared to 2013 levels by December 31, 2030.</t>
  </si>
  <si>
    <t>Canada intends to achieve an economy-wide target to reduce its greenhouse gas emissions by 30% below 2005 levels by 2030.</t>
  </si>
  <si>
    <t>The United States intends to achieve an economy-wide target of reducing its greenhouse gas emissions by 26%-28% below its 2005 level in 2025 and to make best efforts to reduce its emissions by 28%.</t>
  </si>
  <si>
    <t>Kiribati is a LDC SIDS with limited resources that will nonetheless commit to reduce emissions by 13.7% by 2025 and 12.8% by 2030 compared to a BAU projection.</t>
  </si>
  <si>
    <t>RMI commits to a quantified economy-wide target to reduce its emissions of greenhouse gases (GHG) to 32% below 2010 levels by 2025. RMI communicates, as an indicative target, its intention to reduce its emissions of GHGs to 45% below 2010 levels by 2030.</t>
  </si>
  <si>
    <t xml:space="preserve">Samoa is committed to reducing its GHG emissions from the Electricity sub sector through the adoption of a 100% Renewable energy target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t>
  </si>
  <si>
    <t>The mitigation contribution for the Vanuatu INDC submission is a sector specific target of transitioning to close to 100% renewable energy in the electricity sector by 2030. This target would replace nearly all fossil fuel requirements for electricity generation in the country and be consistent with the National Energy Road Map (NERM) target of 65% renewable energy by 2020. This contribution would reduce emissions in the energy sector by 72Gg by 2030...The mitigation would thus reduce BAU emissions in the electricity sub-sector by 100% and in the energy sector as a whole by 30%...The target would be conditional, depending on funding commensurate with putting the transition in place being made available from external sources.</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</si>
  <si>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t>
  </si>
  <si>
    <t>In accordance with Decisions 1/CP.19 and 1/CP.20, Maldives communicates that it intends to reduce unconditionally 10% of its Greenhouse Gases (below BAU) for the year 2030. The 10% reduction expressed above could be increased up to 24% in a conditional manner, in the context of sustainable development, supported and enabled by availability of financial resources, technology transfer and capacity building.</t>
  </si>
  <si>
    <t>Kyrgyz Republic will reduce GHG emissions in the range of 11.49 - 13.75% below BAU in 2030. Additionally, under the international support Kyrgyz Republic could implement the mitigation measures to achieve total reduction in the range of 29.00 - 30.89% below BAU in 2030. Kyrgyz Republic will reduce GHG emissions in the range of 12.67 - 15.69% below BAU in 2050. Additionally, under the international support Kyrgyz Republic could implement the mitigation measures to achieve total reduction in the range of 35.06 - 36.75% below BAU in 2050.</t>
  </si>
  <si>
    <t>The Republic of Kazakhstan intends to achieve an economy-wide target of 15% [unconditional target] - 25% [conditional target] reduction in greenhouse gas emissions by 2030 compared to 1990.</t>
  </si>
  <si>
    <t>Japan’s INDC towards post-2020 GHG emission reductions is at the level of a reduction of 26.0% by fiscal year (FY) 2030 compared to FY 2013 (25.4% reduction compared to FY 2005) (approximately 1.042 billion t-CO2 eq. as 2030 emissions), ensuring consistency with its energy mix, set as a feasible reduction target by bottom-up calculation with concrete policies, measures and individual technologies taking into adequate consideration, inter alia, technological and cost constraints, and set based on the amount of domestic emission reductions and removals assumed to be obtained.</t>
  </si>
  <si>
    <t>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t>
  </si>
  <si>
    <t>Israel intends to achieve an economy-wide unconditional target of reducing its per capita greenhouse gas emissions to 7.7 tCO2e by 2030 which constitutes a reduction of 26% below the level in 2005 of 10.4 tCO2e per capita. An interim target of 8.8 tCO2e per capita is expected by 2025.</t>
  </si>
  <si>
    <t>Korea plans to reduce its greenhouse gas emissions by 37% from the business-as-usual (BAU, 850.6 MtCO2eq) level by 2030 across all economic sectors.</t>
  </si>
  <si>
    <t>•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t>
  </si>
  <si>
    <t>Bhutan intends to remain carbon neutral where emission of greenhouse gases will not exceed carbon sequestration by our forests, which is estimated at 6.3 million tons of CO2.</t>
  </si>
  <si>
    <t>By 2030 the Republic of Azerbaijan targets 35% reduction in the level of greenhouse gas emissions compared to 1990/base year as its contribution to the global climate change efforts.</t>
  </si>
  <si>
    <t>There will be a 13.6% reduction in GHG emissions by 2030 compared to a business as usual (BAU) 2030 scenario, conditional on external support.</t>
  </si>
  <si>
    <t>The Republic of Serbia intends to reduce GHG emissions by 9.8% by 2030 compared to 1990 levels.</t>
  </si>
  <si>
    <t xml:space="preserve">The Bahamas intends to achieve these mitigation actions through an economy-wide in GHG emission of 30% when compared to its Business as Usual (BAU) scenario by 2030.
</t>
  </si>
  <si>
    <t xml:space="preserve">The Bahamas has limited experience using market mechanisms under the Kyoto Protocol; however, it is open to the consideration of market mechanisms. </t>
  </si>
  <si>
    <t>100% renewable energy share</t>
  </si>
  <si>
    <t>100% share of renewable energy</t>
  </si>
  <si>
    <t>Renewable energy share increase</t>
  </si>
  <si>
    <t>A 1 percent reduction in GHG emissions by 2030 compared to a business as usual (BAU) scenario. An additional 13 % reduction achievable under certain conditions, which would bring the total GHG reduction to 14 percent below BAU emission levels by 2030</t>
  </si>
  <si>
    <t xml:space="preserve">The FSM commits to unconditionally reduce by 2025 a 28% its GHGs emissions below emissions in year 2000. Similarly, subject to the availability of additional financial, technical and capacity building support from the international community, the FSM could do by 2025 an additional reduction up to 35% below emissions in the 2000 base year. </t>
  </si>
  <si>
    <t>2020 and 2025</t>
  </si>
  <si>
    <t>Intention to use market based mechanisms to meet  commitments: no</t>
  </si>
  <si>
    <t xml:space="preserve">Jamaica’s intended nationally determined contribution will mitigate the equivalent of 1.1 million metric tons of carbon dioxide per year by 2030 versus the BAU scenario. This is a reduction of 7.8% of emissions versus BAU. </t>
  </si>
  <si>
    <t>Intention to use market-based mechanisms to meet target: no</t>
  </si>
  <si>
    <t>63% of energy consumption reduction</t>
  </si>
  <si>
    <t>50% of renewable energy share</t>
  </si>
  <si>
    <t>Europe</t>
  </si>
  <si>
    <t>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</si>
  <si>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 xml:space="preserve">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t>
  </si>
  <si>
    <t>The Republic of Seychelles will reduce its economy-wide absolute GHG emissions by 122.5 ktCO2e (21.4%) in 2025 and estimated 188 ktCO2e in 2030 (29.0%) relative to baseline emissions.</t>
  </si>
  <si>
    <t>Belize expects to increase its share of its renewable energy (RE) in Belize’s electricity mix by 85% by 2027 with a 62% carbon dioxide emissions reduction compared to a business as usual scenario (BAU). 
Aim is to achieve at least a 20% reduction in conventional transportation fuel use by 2030 and promote energy efficiency in the transport sector through appropriate policies and investments.
Aim is to achieve a reduction of fuel wood consumption by 27%-66%, depending on the technology, the duration of cooking and the replacement technology.</t>
  </si>
  <si>
    <t>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t>
  </si>
  <si>
    <t>Region</t>
  </si>
  <si>
    <t xml:space="preserve">Under the business-as-usual (BAU) scenario (accounting for the implementation of already programmed measures), the overall reduction rate in 2030 would be 11.14% compared with Togo’s total 2030 emissions based on the baseline year (2010). This reduction in emissions is attributed to the implementation of sectoral work. Targets: The conditional target for additional GHG emissions reduction, according to the most ambitious scenario, is estimated at 20% compared to the dynamic BAU. The conditional target for the total reduction would therefore be 31.14% in 2030, compared to the projections if no measures were to be applied. </t>
  </si>
  <si>
    <t>Outside our bilateral agreement with Norway, Guyana does not currently see viable opportunities in carbon trading markets; however this does not preclude participation in green consumer markets at all levels. Guyana‟s robust MRV system can ensure the integrity of our emission reduction efforts as we engage with carbon-neutral markets as a means of maximizing the value of our exports and providing internationally attractive, verifiable low carbon products.</t>
  </si>
  <si>
    <t>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t>
  </si>
  <si>
    <t>Mitigation Summary</t>
  </si>
  <si>
    <t>Adaptation Summary</t>
  </si>
  <si>
    <t>In its pursuit of low carbon growth, India would be focusing on technologies that need to be moved from lab to field and those that require targeted global research along with those that are still in the realm of imagination. One of the important areas of global collaborative research should be clean coal and fossil fuel, energy management and storage systems for renewable energy.</t>
  </si>
  <si>
    <t>Out of the eight National Missions on Climate Change five mission focus on adaptation in sectors like agriculture, water, Himalayan ecosystems, forestry, Capacity building and Knowledge management. Climate plans at the sub national level also focus significantly on adaptation.</t>
  </si>
  <si>
    <t>The efforts will be in the following areas: Tropical cyclone, coastal erosion and sea Level rise; Fisheries and marine environment; Water scarcity and desertification; Flood protection; Energy security; Food security; and Development of national adaptation strategy on climate impacts.</t>
  </si>
  <si>
    <t>The Philippines intends to undertake GHG (CO2e) emissions reduction of about 70% by 2030 relative to its BAU scenario of 2000-2030. Reduction of CO2e emissions will come from energy, transport, waste, forestry and industry sectors. The mitigation contribution is conditioned on the extent of financial resources, including technology development &amp; transfer, and capacity building, that will be made available to the Philippines.</t>
  </si>
  <si>
    <t>Turkmenistan considering all acceptable development options and submission of INDC and taking into account national interests and capabilities of the country, as well as analyzing developed by countries INDCs choose the contribution Type 3 (GHG goal/target), which uses a target indicator attached to per unit of GDP. Specific greenhouse gas emissions per unit of GDP are the indicator that can reflect the country's potential to reduce greenhouse gas emissions. (...) If financial and technological support is provided by developed countries, Turkmenistan could achieve zero growth in emissions and even reduce them up to 2030.</t>
  </si>
  <si>
    <t>According to preliminary estimates, the cost for implementing planned adaptation measures will amount to 10.5 billion dollars.</t>
  </si>
  <si>
    <t xml:space="preserve">It is estimated that to achieve the set target of 15% GHG emission reduction by 2030, the country would require approximately USD18.4 billion. These funds will be allocated to energy and transport sector infrastructural developments which will contribute to emission reductions. </t>
  </si>
  <si>
    <t>• Water Sector: Construction of pipelines and connection to existing ones to transmit water to demand centres; Reduce water loss during transmission by investing on telemetric monitoring systems; Enhance conjunctive groundwater-surface water use.
• Agriculture: Improve genetic characteristics of the livestock breed such as Musi breed; Improve livestock diet through supplementary feeding; A switch to crops with the following traits: Drought resistant, tolerant to high temperatures, short maturity.
• Health: Public education and malaria campaigns; Malaria Strategy; Control of Diarrhoeal Diseases.</t>
  </si>
  <si>
    <t xml:space="preserve">• Flood mitigation programmes and strengthening of disaster risk management and resilience of infrastructure would be further enhanced in the Eleventh Malaysia Plan and beyond.
• Strengthen the regulatory framework of the water services industry, expand the water supply network and treatment capacity infrastructure and increase the efficiency of water supply services.
• Expand implementation of good agricultural practices and intensifying research and development for improving agriculture production. New granary areas and adequate and efficient irrigation and drainage infrastructure will be developed to increase the production of rice.
• A National Coastal Vulnerability Index to sea-level rise is being developed. </t>
  </si>
  <si>
    <t xml:space="preserve">To fulfil that level of ambition, the Republic of Djibouti will need to invest more than US $3.8 billion, in collaboration with the international community. An additional US $1.6 billion, conditional on new funding sources like the Green Climate Fund, along with international support, would enable the country to reduce its emissions by a further 20% by 2030. </t>
  </si>
  <si>
    <t xml:space="preserve">The majority of the options presented above, such as the construction of a geothermal, wind or photovoltaic power plant, will necessitate major technological transfers. </t>
  </si>
  <si>
    <t xml:space="preserve">• Reducing vulnerability to drought;
• Protecting against rising sea levels;
• Improving access to water;
• Protecting biodiversity;
• Reinforcing the resilience of rural populations.
</t>
  </si>
  <si>
    <t>Modern and eco-friendly and climate smart agricultural technology and practices for scattered local communities in 2/3 of the country’s area; Modern  environmental friendly technologies for supplying water (desalination, recycling and water treatment);  Development of on-line monitoring network of climate observation system; General Circulation Models (for national and regional application with monitoring and observing features for forest fires); Access to new and environmentally sound technologies for industrial production, and Early-warning and monitoring systems of climate extreme events, dust and sand storms and access to global satellite data.</t>
  </si>
  <si>
    <t>Mitigation Target</t>
  </si>
  <si>
    <t>A targeted financial mechanism consisting of two components should be created to finance climate change mitigation and adaptation projects:
1) The first – internal (domestic) climate revolving civil fund, to be replenished on permanent base by allocations from environmental
fees, ecosystem service fees, including "carbon taxing".
2) The second –external (international) financial mechanisms with resource provision following the principle of additionality, such as the Green Climate Fund, the Adaptation Fund, the Global Environmental Facility, bilateral and multilateral funds, and other sources.</t>
  </si>
  <si>
    <t>For Eritrea, the increase of investment in disaster prevention is of utmost relevance, as well as the development of an insurance market against hydro meteorological and catastrophic risks, in which the private sector is invited and expected to play a relevant role.</t>
  </si>
  <si>
    <t>Adaptation: 28.713 billion USD
Mitigation: 6.370 billion USD
Capacities building: 1.754  billion USD
Technology development and transfer: 5.262  billion USD
TOTAL: 42.099  billion USD</t>
  </si>
  <si>
    <t xml:space="preserve">This INDC intends to maintain the emission levels of Sierra Leone relatively Low (close to the world average of 7.58 MtCO2e) by 2035 or neutral by 2050 by reducing her carbon footprint and by following green growth pathways in all economic sectors.  This target will only be achieve by Sierra Leone with the availability of international support that will come in the form of finance, investment, technology development and transfer, and capacity building. </t>
  </si>
  <si>
    <t xml:space="preserve">(1)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t>
  </si>
  <si>
    <t>• Measures for sectors of water, agriculture, soil and land resources, ecosystems. 
• Construction of the Turkmen Lake of «Golden Century» occupies a special focus among other activities carried out in Turkmenistan on adaptation to climate change. 
• Collection of drainage water into the lake in the Karakum Desert, and their further use after desalination demonstrate large-scale implementation of measures to adapt to climate change in the sector of water resources of the country.</t>
  </si>
  <si>
    <t xml:space="preserve">• Scale-up of rainwater harvesting to reduce climate induced water shortage
• Promoting agriculture drought management as well as sustainable crop and livestock management
• Land resources management programs. 
• Integrating natural resources management and preservation of sensitive ecosystems
• Disaster risk management including flood and drought management. 
• Capacity Building for integrated coastal zones and marine resources management. </t>
  </si>
  <si>
    <t>• Cultivation of early or drought-resistant varieties; Implementation of water and soil conservation techniques; Practice of integrated soil fertility management 
• Implementation of good forestry and agroforestry practices; Protection of water courses and water sources; Practice of agroforestry for sustained management of natural resources
• Diversification of energy sources (solar, wind, biogas); Promotion of energy-saving technologies in industry and construction; 
• Development of environmental education in both formal and informal teaching systems
• Improvement of food processing and preservation methods</t>
  </si>
  <si>
    <t xml:space="preserve">Appropriate international financial support approximately equal to US$ 4.9-5.1 billion, i.e. about US$ 327-340 million per year until 2030, is needed.
The implementation cost of the Republic of Moldova’s Climate Change Adaptation Strategy until 2020 and the Action Plan on its implementation is estimated at about US$ 200 million. </t>
  </si>
  <si>
    <t xml:space="preserve">A virtuous policy has been undertaken in waste management, reduction of solvent emissions into the atmosphere and application of new technologies in agriculture and land use including through a more careful territorial planning. </t>
  </si>
  <si>
    <t xml:space="preserve">The implementation of the INDC is estimated to cost in excess of 900 million dollars to implement mitigation actions alone, through 2030. </t>
  </si>
  <si>
    <t>• Enhance food security and sustainable food production.
• Identifying locations and population groups at greatest risk for specific groups at greatest risk for specific health threats, such as heat waves. 
• Reduce property insurance cost for high-elevation lots and impose higher property insurance for properties at lower elevations. 
• Relocation of communities from the shoreline.
• Regulate motor vehicle emissions by setting and enforcing standards, and enforcing proper maintenance of private and public vehicles.
• Employing reverse Osmosis facilities throughout our islands to provide access to potable water to adapt to loss of freshwater by saltwater intrusion.</t>
  </si>
  <si>
    <t>• Natural ecosystems (aquatic and terrestrial, including forest ecosystems, biodiversity and land cover); 
• Human health;
• Water resource management; 
• Agriculture, including fishery and forests; 
• Energy; 
• Human settlements and infrastructures; 
• Tourism</t>
  </si>
  <si>
    <t>In order to implement its conditional adaptation actions, including infrastructural development works, Guyana will require an estimated US$ 1.6 Billion in the period to 2025.</t>
  </si>
  <si>
    <t>INDC under analysis</t>
  </si>
  <si>
    <t>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and the remaining 10% is subject to the availability of international financing and the existence of favorable conditions.</t>
  </si>
  <si>
    <t>• Increase public awareness with regard to climate change issues;
• Build resilience to minimise damage to settlement and infrastructure;
• Minimise damage to beach and shoreline integrity and marine ecosystems;
• Minimise the negative impact of climate change on agriculture and human health;
• Develop appropriate legislative and regulatory framework, for proper environmental management, and institutional systems for responding and mitigating effects of climate change.</t>
  </si>
  <si>
    <t xml:space="preserve">The estimated cost of meeting this objective is USD 2 billion, which is expected to be met partly through domestic funding and conditional on international financing including through the Green Climate Fund. </t>
  </si>
  <si>
    <t>Clean technology, fuel switching and renewable energy and energy efficiency technologies.</t>
  </si>
  <si>
    <t xml:space="preserve">• Development of new early warning systems and new hydrometeorological insurances.
• Strengthen climate risk management against floods, through the enhancement of vulnerable population resettlement processes and the implementation of new land-use planning measures. 
• Improve the protection of surface and underground water sources, such as aquifer recharge areas, through the promotion of good drilling practices, point source and non-point sources pollution control and the implementation of conservation and restoration measures for gallery forests. 
• Promote ecosystem-based adaptation, strengthening ecosystem and biodiversity conservation strategies. </t>
  </si>
  <si>
    <t xml:space="preserve"> N/A</t>
  </si>
  <si>
    <t xml:space="preserve">The Cook Islands is looking to embrace proven low carbon transport technologies and is currently exploring the most effective incentives for promotion of transition towards clean energy transportation. </t>
  </si>
  <si>
    <t xml:space="preserve">• Unconditional: commitment to the global effort to building the resilience of marine ecosystems; reduce vulnerability and strengthen resilience. 
• Conditional:  coastal protection, water security, agriculture, forestry, marine conservation, waste, tourism and land management. </t>
  </si>
  <si>
    <t>• Increasing water and food security with integrated and sector-specific approaches and
promoting healthy and resilient ecosystems;
• Strengthening health-service delivery to address climate change impacts;
• Promoting sound and reliable infrastructure development and land management;
• Increasing effectiveness and efficiency of early warnings and disaster and emergency management;
• Enhancing the participation and resilience of vulnerable groups</t>
  </si>
  <si>
    <t>Swaziland’s contribution is to double the share of renewable energy in the national energy mix by 2030, relative to 2010 levels.</t>
  </si>
  <si>
    <t>Regional and International Cooperation – To ensure Niue obtains maximum benefits from relevant international and regional instruments relating to climate change and that it meets its commitments under them.</t>
  </si>
  <si>
    <t>• Strong and effective institutional basis for disaster risk reduction / climate change adaptation;
• Strong public awareness and improved understanding of the causes and effects of climate change, climate variability and disasters;
•  Strengthened livelihoods, community resilience, natural resources and assets;
•  Strengthened disaster preparedness for effective response.</t>
  </si>
  <si>
    <t xml:space="preserve">Based on a first-order estimate, the upfront investment cost for the renewable energy and 
energy efficiency measures in Palau’s INDC would be on the order of $5.5 million USD.  </t>
  </si>
  <si>
    <t xml:space="preserve">Building climate resilience, disaster risk reduction as well as adaptation projects in 
vulnerable sectors require significant external assistance and this has been highlighted through 
the prioritisation of climate change in national planning.    </t>
  </si>
  <si>
    <t>Yes</t>
  </si>
  <si>
    <t>Will be considered</t>
  </si>
  <si>
    <t xml:space="preserve">Policies to promote actions that address climate concerns also include fiscal instruments like coal cess, cuts in subsidies, increase in taxes on petrol and diesel, market mechanisms including Perform Achieve and Trade (PAT), Renewable Energy Certificates (REC) and a regulatory regime of Renewable Purchase Obligation (RPO). (...) At the same time India is not relying solely on budgetary resources and is experimenting with a careful mix of market mechanisms together with fiscal instruments and regulatory interventions to mobilize finance for climate change. </t>
  </si>
  <si>
    <t xml:space="preserve">“Market-based mechanisms” and transfer of environment friendly technologies under the legal regime of UNFCCC as well as transfer of management practices, play a key role in successful and result oriented conditional mitigation actions. </t>
  </si>
  <si>
    <t>No</t>
  </si>
  <si>
    <t>Abstract</t>
  </si>
  <si>
    <t>The Republic of Mauritius imperatively needs international technical and financial support to enable it to abate its greenhouse gas emissions by 30%, by the year 2030, relative to the business as usual scenario of 7 million metric tonnes CO2 equivalent.</t>
  </si>
  <si>
    <t xml:space="preserve">Morocco’s commitment is to reduce its GHG emissions by 32% by 2030 compared to "business as usual" projected emissions. This commitment is contingent upon gaining access to new sources of finance and enhanced support, compared to that received over the past years, within the context of a new legally-binding agreement under the auspices of the UNFCCC. This target translates into a cumulative reduction of 401 Mt CO2eq over the period 2020­-2030. </t>
  </si>
  <si>
    <t>Namibia aims at a reduction of about 89% of its GHG emissions at the 2030 time horizon compared to the BAU scenario. The projected GHG emissions to be avoided in 2030 is of the order of 20000 Gg CO2-eq inclusive of sequestration in the AFOLU sector and compared to the BAU scenario.</t>
  </si>
  <si>
    <t xml:space="preserve">South Africa’s emissions by 2025 and 2030 will be in a range between 398 and 614 Mt CO2–eq, as defined in national policy. </t>
  </si>
  <si>
    <t>Mitigation target, reference year and target year</t>
  </si>
  <si>
    <t xml:space="preserve">The three first columns summarize Parties’ mitigation target, which often takes form as a percentage of greenhouse gas (GHG) emission reduction, by a fixed date, and compared to a reference date (may it be a fixed year or a business as usual comparison). Other types of targets can consist for instance of an increase in the share of renewable energies in the country energy mix, or a bundle of domestic sectoral measures. </t>
  </si>
  <si>
    <t>Use of Market Mechanisms</t>
  </si>
  <si>
    <t xml:space="preserve">[Translated] At least 48 % emission reduction compared to development scenario by 2025 and 55% by 2035. </t>
  </si>
  <si>
    <t>[Translated] The reduction ambition level of GHG emissions compared to the reference scenario are 29% for agriculture, 31% for energy and 21% for forests and land use.</t>
  </si>
  <si>
    <t>[Translated] 37% of emission reduction of annual emissions compared to business a usual levels by 2030.</t>
  </si>
  <si>
    <t xml:space="preserve">[Translated] Gabon commits to reduce GHG emissions by at least 50 percent from baseline scenario emissions in 2025. </t>
  </si>
  <si>
    <t>[Translated] The Islamic Republic of Mauritania intends to contribute to the Paris Climate Agreement by reducing its greenhouse gas emissions by 22.3% in 2030 or by 4.2 million tons of carbon dioxide equivalent (MtCO2e) compared to projected emissions for the same year in a business as usual scenario which would increase from 6.6 MtCO2e in 2010 to 18.84 MtCO2e in 2030. Thus, for the period from 2020 to 2030 avoided accumulated emissions by the proposed mitigation measures are about 33.56MtCO2e.</t>
  </si>
  <si>
    <t xml:space="preserve">[Translated] Equatorial Guinea's ambition is to reduce emissions by 20% by 2030 relative to 2010 levels, in order to achieve a 50% reduction by 2050.
</t>
  </si>
  <si>
    <t xml:space="preserve">[Translated] The ambition of Equatorial Guinea is to reduce its emissions by 20% by 2030 with regards to the levels of 2010, in order to achieve a reduction of 50% by 2050. This is under the condition that the support is favourable, prospective and that the climate finance mechanisms are developed and that the distortions in the existing market mechanisms are corrected. A favourable technical and financial support is necessary both from the national government as well as from the international community. </t>
  </si>
  <si>
    <t>• Promoting and improving the adaptive capacity of communities, especially through community based adaptation actions, and restoring the natural ecology system to respond to climate change
• Strengthening early warning systems and climate information dissemination
• Developing and rehabilitating the flood protection dykes for agricultural and urban development
• Increasing the use of mobile pumping stations and permanent stations in responding to mini-droughts, and promoting groundwater research in response to drought and climate risk
• Developing climate-proof agriculture systems for adapting to changes in water variability.</t>
  </si>
  <si>
    <t>Economic diversification is crucial to Qatar in order to maintain a steady and robust economy. Qatar seeks to enhance the diversification of its economy away from hydrocarbon in consistent with decision 24/CP.18. Qatar has been contributing indirectly to the global efforts to mitigate climate change by exporting Liquefied Natural Gas as a clean energy.</t>
  </si>
  <si>
    <t xml:space="preserve">• Promotion and scale-up of rainwater harvesting to reduce climate induced water shortage
• Promoting agriculture drought management as well as sustainable crop and livestock management
• Integrating natural resources management and preservation of sensitive ecosystems
• Disaster risk management including flood and drought management. 
• Capacity Building for integrated coastal zones and marine resources management. </t>
  </si>
  <si>
    <t>• Real-time monitoring of climate information;
• Effective implementation of multi-hazard early warning systems, 
• Widespread application of Resilient Agriculture Integrated Models
• Sustainable and integrated water resources management
• Reinforcement of natural protection and reduction of the vulnerability of coastal, inshore and marine areas 
• Strengthen and upgrade casualty multi-hazard early warning systems 
• Implementation of ecosystem-based adaptation to cope with sand-hill progression</t>
  </si>
  <si>
    <t xml:space="preserve">In the event an ambitious, comprehensive legally binding global agreement is reached at COP21 in Paris, Nigeria will make an unconditional contribution of 20 per cent below BAU that is consistent with the current development trends and government policy priorities. 
Nigeria can make a significant additional contribution with international support, in the form of finance and investment, technology and capacity building. The combined policies and measures described below can deliver in a cost-effective manner direct development benefits to the country and reduce emissions 45 per cent below BAU. </t>
  </si>
  <si>
    <t>• Establishing community off-grid mini-grid or micro-grid renewable energy electrical supply systems
• Establishing early warning systems, multi-use disaster shelters (powered by renewable energy and back up bio-diesel generators) and emergency preparedness training programs in vulnerable communities
• Promotion of Food Security through Climate Resilient Agricultural/Fisheries Development
• Creating the supportive enabling framework whereby communities and vulnerable segments of society (women, youth, elderly, people with disabilities) can manage their own climate change risks.</t>
  </si>
  <si>
    <t>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t>
  </si>
  <si>
    <t>Financial needs for Adaptation</t>
  </si>
  <si>
    <t>Financial needs for Mitigation</t>
  </si>
  <si>
    <t>Business as Usual (BAU)</t>
  </si>
  <si>
    <t>Year 1990</t>
  </si>
  <si>
    <t>Year 2005</t>
  </si>
  <si>
    <t>Year 2010</t>
  </si>
  <si>
    <t>Peak of carbon emissions</t>
  </si>
  <si>
    <t>Year 2020</t>
  </si>
  <si>
    <t>Year 2025</t>
  </si>
  <si>
    <t>Year 2030</t>
  </si>
  <si>
    <t>Year 2050</t>
  </si>
  <si>
    <t xml:space="preserve">The country is committed to stabilize its emissions by reducing GHG emissions up to 50% below BAU emission levels by 2030 through unconditional and conditional actions targeting the following sectors: Power generation from renewable sources; and Reforestation. </t>
  </si>
  <si>
    <t>Total</t>
  </si>
  <si>
    <t>References</t>
  </si>
  <si>
    <t>Specific Technology Transfer Needs</t>
  </si>
  <si>
    <t>[Translated] Total costs for adaptation: 114.5 million USD (for 2015-2030) and 171.3 million USD (for 2030-2050)
Total costs for mitigation: 3,673.3 million USD (for 2015-2030) and 5,955.8 million USD (for 2030-2050)</t>
  </si>
  <si>
    <t>At present, projects such as building climate resilient watersheds in mountainous eco-regions, building resilience to climate related hazards, mainstreaming climate change risk management in development, and building climate resilient communities through private sector participation are under various stages of implementation and are contributing to develop human resources so as to integrate climate change concerns in sectoral plans and programmes.</t>
  </si>
  <si>
    <t>The Kiribati Joint Implementation Plan on Climate Change and Disaster Risk Management
(KJIP) (2014) reports that the overall gross indicative resource costs to implement the KJIP over the period 2013–2023 are estimated to be AUD 103,107,161 (approximately US$75 million). Of this total, it is estimated that financial cost constitutes 96% of overall costs while the in-kind contributions constitute 4%.</t>
  </si>
  <si>
    <t xml:space="preserve">The initial capital cost of solar arrays, wind 
turbines  and  batteries  to  replace  the  current  energy  demand  is  estimated  to  be  A$52 million. Savings in diesel fuel over the 30 year life of the overall programme are estimated to be A$152 million (2011 dollars). (...) After allowing  for battery replacements and other maintenance, which are estimated to cost A$115 million, the net saving over the 30 year programme will be A$37 million.  </t>
  </si>
  <si>
    <t>Over the coming 15 years Eritrea needs total investment in the conditional scenarios of USD 7.2 billion.This includes 15% of the total budget will be required for governance and capacity building across all sectors for effective implementation of both adaptation and mitigation programs.</t>
  </si>
  <si>
    <t>Other years</t>
  </si>
  <si>
    <t>Total financial needs</t>
  </si>
  <si>
    <t>Sub-Saharan Africa</t>
  </si>
  <si>
    <t>Latin America &amp; the Caribbean</t>
  </si>
  <si>
    <t>North Africa &amp; the Middle East</t>
  </si>
  <si>
    <t>Eastern Europe &amp; Central Asia</t>
  </si>
  <si>
    <t>In order to contribute to the prevention of dangerous climate change, the Republic of Belarus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(the commitments do not imply the use of international carbon market mechanisms or mobilizing foreign financial resources for the implementation of best available technologies).</t>
  </si>
  <si>
    <t>Relative emission reduction</t>
  </si>
  <si>
    <t>Absolute emission reduction</t>
  </si>
  <si>
    <t>Carbon intensity reduction</t>
  </si>
  <si>
    <t>30% share of renewable energy in energy consumption</t>
  </si>
  <si>
    <t>Policies and actions</t>
  </si>
  <si>
    <t xml:space="preserve">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t>
  </si>
  <si>
    <t>Increase of clean energy to 24%</t>
  </si>
  <si>
    <t>[Translated from Arabic] Iraq has set targets to reduce greenhouse gas (GHG) emissions by 15% below business-as-usual (BAU) emissions by 2035. Of the 90 million metric tons of CO2 equivalent, 2% will be conditional and an additional 13% will be achieved through the unconditional target.</t>
  </si>
  <si>
    <t>[Translated from Arabic] The State of Kuwait will operate under Business as Usual for the period of 2020-2035, and has not set specific reduction requirements. Instead, through projects and legislation, Kuwait will continue to build its economy in the context of sustainable development. Therefore Kuwait puts great importance on diversifying its sources of energy for production.</t>
  </si>
  <si>
    <t xml:space="preserve">Guinea-Bissau is an absolute sink of greenhouse gases, given the high potential for sequestration of its forest sector.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The second sector that contributes more to GHG emissions is the energy sector. </t>
  </si>
  <si>
    <t>Kenya seeks to undertake an ambitious mitigation contribution towards the 2015 Agreement. Kenya therefore seeks to abate its GHG emissions by 30% by 2030 relative to the BAU scenario of 143 MtCO2eq; and in line with its sustainable development agenda. This is also subject to international support in the form of finance, investment, technology development and transfer, and capacity building.</t>
  </si>
  <si>
    <t>• Reducing GHGs by at least 10% by 2030
• Improving energy efficiency by at least 20% by 2030
• Raising share of renewable energy to at least 30% of electricity production and 10% of overall energy consumption by 2030
• Replacing cooking stoves with low thermal efficiency (5-10%) with the higherefficiency (40%) stoves. 
• The long-term strategy of Liberia is to achieve carbon neutrality by 2050.</t>
  </si>
  <si>
    <t>Armenia has stated that its total aggregate emissions between 2015 and 2050 will be "equal to 633 million tons carbon dioxide equivalent", and that the country will strive to "achieve ecosystem neutral GHG emissions in 2050 (equivalent to 2.07 tons/per capita per annum) with the support of adequate (necessary and sufficient) international financial, technological and capacity building assistance.</t>
  </si>
  <si>
    <t xml:space="preserve">• Unconditional target: A flexible target, not exceeding 80-90% of the 1990 level by 2030, which amounts to 1.7-2.2 tons in CO2 equivalent per capita, has been determined as the country’s contribution to anthropogenic greenhouse gas emission reductions. (...)
• Conditional target: The potential for reducing greenhouse gas emissions in the Republic of Tajikistan to achieve a target of 65-75% of the 1990 level by 2030, which amounts to 1.2-1.7 tons in CO2 equivalent per capita. </t>
  </si>
  <si>
    <t xml:space="preserve">First, Costa Rica would like to reaffirm its aspiration of becoming a Carbon Neutral economy starting year 2021, as a culmination of its voluntary, pre-2020 action.Second, the country is committed to a maximum of 9,374,000 T CO2eq net emissions by 2030, with proposed emissions per capita of 1.73 net tons by 2030, 1.19 Net Tons per Capita by 2050 and -0.27 Net Tons per Capita by 2100. (...) Costa Rica’s commitment includes an emissions reduction of GHG of 44%, of a Business As Usual (BAU) scenario, and a reduction of 25% of emission compared to 2012 emissions. To accomplish this goal Costa Rica would have to reduce 170,500 tons of GHG per year until the year 2030. </t>
  </si>
  <si>
    <t>2025-2030</t>
  </si>
  <si>
    <t>Tonga’s contribution is 50% of electricity generation from renewable sources by 2020. In 2015 renewable energy accounts for approximately 9% of total electricity generation, with confirmed and funded investments taking this to 13% in 2016.</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</si>
  <si>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t>
  </si>
  <si>
    <t>Non-Annex I</t>
  </si>
  <si>
    <t>Annex I</t>
  </si>
  <si>
    <t>Annex I and II</t>
  </si>
  <si>
    <t>Mitigation Type</t>
  </si>
  <si>
    <t>Version number</t>
  </si>
  <si>
    <t>Publication date</t>
  </si>
  <si>
    <t>Main features</t>
  </si>
  <si>
    <t xml:space="preserve">• Summary tables and charts
• New columns for first NDC submission date and link to source
• New column for the status of the Paris Agreement </t>
  </si>
  <si>
    <t>• Mitigation targets, beselines and target years
• Mitigation summary
• Mention of market mechanisms in INDC
• Use of each market mechanism by countries (international, regional, bilateral, CDM and JCM)
• INDC submission date and link to source</t>
  </si>
  <si>
    <t>Alexis R. Rocamora</t>
  </si>
  <si>
    <t xml:space="preserve">The government of the State of Eritrea is committed to reduce the CO2 emissions from fossil fuels by 23.1% in 2020, 30.2 % by 2025 and 39.2% by 2030 visa-vis to the reference year. If additional support is solicited, it can be further reduced by 36.4 % in 2020, 61.1% by 2025 and 80.6% by 2030.
The BAU scenario for all GHG gases expected to increase to: 5 MtCO2eq in 2020, 5.5 MtCO2eq in 2025 and in 2030 6.3 MtCO2eq. </t>
  </si>
  <si>
    <t>Explanatory notes - Use of Market Mechanisms</t>
  </si>
  <si>
    <t xml:space="preserve">• Improvement of climate information service and observation network
• Capacity building for improving the community-based disaster management system
• Establishment of the early warning system in the major basins
• Introduction of technologies for water pollution prevention and efficient water purification
• Establishment of systems for rational distribution and consumption of water resources
• Integrated and sustainable management system of arable soil
• Construction of infrastructures such as seawalls and protective facilities in coastal zone
• Rearrangement of population and economic activities
• Strengthening of medical services related to the diseases caused by hot weather </t>
  </si>
  <si>
    <t>Having considered the existing potential for mitigation in the country, Pakistan intends to reduce up to 20% of its 2030 projected GHG emissions subject to availability of international grants to
meet the total abatement cost for the indicated 20 percent  reduction amounting to about US$ 40 billion at current prices.</t>
  </si>
  <si>
    <t>Disclaimer</t>
  </si>
  <si>
    <t>Mitigation type</t>
  </si>
  <si>
    <t>2025 and 2035</t>
  </si>
  <si>
    <t>• Redesigned cover page and maps
• 2 new INDC submissions
• 86 new first NDC submissions
• 13 new Paris Agreement signatures
• 87 new Paris Agreement ratification
• Dates of signature of the Paris Agreement by countries</t>
  </si>
  <si>
    <t>• New country grouping reflecting more accurately geopolitical reality (2 additional regions for a total of 8 regions)
• New column sorting out mitigation targets in 5 categories (and related map), following the UNFCCC methodology
• New column referencing UNFCCC Annex country status
• New map presenting total amounts of financial needs expressed in INDCs by region
• 4 new first NDC submissions
• 5 new Paris Agreement ratification
• 2 new Paris Agreement signatures</t>
  </si>
  <si>
    <t>• 1 new chart representing the share of global emissions covered by countries based on the Paris Agreement status
• 1 new signature of the Paris Agreement
• 19 new ratifications of the Paris Agreement
• 17 new submissions of first NDCs</t>
  </si>
  <si>
    <t>The implementation of the proposed measures is likely to help reduce greenhouse gas emissions by about 21.4% relative to a BAU scenario by 2030 (excluding LULUCF). The unconditional contribution corresponds to a 3.5% GHG emissions reduction relative to the BAU scenario by 2030. The conditional contribution would allow for an additional emissions reduction of 17.9%.</t>
  </si>
  <si>
    <t>Budget type target</t>
  </si>
  <si>
    <t>Under a Paris Agreement applicable to all, Australia will implement an economy-wide target to reduce greenhouse gas emissions by 26 to 28 per cent below 2005 levels by 2030. (…)
Target type: Absolute economy-wide emissions reduction by 2030, to be developed into an emissions budget covering the period 2021-2030.</t>
  </si>
  <si>
    <t xml:space="preserve">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 (...)
This quantified commitment by 2030 is translated into an average commitment over the period from beginning 2021 to end 2030. Its achievement will be tracked through the information in Switzerland’s national inventories (accounting methodology for land sector explained below) and the addition/subtraction of emission reductions transferred  internationally (carbon credits) in light of a budget approach. </t>
  </si>
  <si>
    <t>With a view to the adoption of a legally binding agreement in Paris in December 2015, the Principality of Monaco wishes to contribute to the joint effort by adopting a target to reduce its emissions by 50% by 2030, compared with the reference year of 1990. (...)
Quantified commitment to limit or reduce emissions over the period (as a percentage of reference year emissions): 60% (or -40%)
Declaration of target to reduce greenhouse gas emissions by 2030
as a percentage of reference year emissions: -50%.</t>
  </si>
  <si>
    <t>• Change of the database name from "IGES INDC &amp; NDC Database" to "IGES NDC Database".
• New column for budget type targets (5 countries)
• 1 new signature of the Paris Agreement
• 20 new ratification of the Paris Agreement
• 18 new submission of first NDC</t>
  </si>
  <si>
    <t>Explanatory notes - Climate Pledges of NDCs</t>
  </si>
  <si>
    <t>Explanatory notes - Financial and Technological Needs expressed in NDC</t>
  </si>
  <si>
    <t>Market Mechanisms’ mention in NDC</t>
  </si>
  <si>
    <t>Update history</t>
  </si>
  <si>
    <t>Alexis R. Rocamora
Yuji Mizuno</t>
  </si>
  <si>
    <t>Alexis R. Rocamora
Kazuhisa Koakutsu
Chisa Umemiya</t>
  </si>
  <si>
    <t>Alexis R. Rocamora
Kazuhisa Koakutsu
Yuqing Yu</t>
  </si>
  <si>
    <t>Alexis R. Rocamora
Kazuhisa Koakutsu
Chisa Umemiya
Yuqing Yu</t>
  </si>
  <si>
    <t>CDM</t>
  </si>
  <si>
    <t xml:space="preserve">Until independence is achieved, two scenarios are provided for the NDC:
• Independence scenario–by ending the Israeli occupation, Government of the State of Palestine achieves independence and is able to exercise full control over its resources.
• Status quo scenario – reflecting a continuation of the Israeli occupation of the State of Palestine. This does not mean that this is an acceptable situation. 
Independence: 24.4% by 2040 relative to business-as-usual 
Status quo: 12.8% by 2040 relative to business-as-usual </t>
  </si>
  <si>
    <t xml:space="preserve">Sectors of potential mitigation options: renewable energy and low carbon energy; rural electrification; energy efficient cookstoves; energy efficiency in the transportation sector; public transportation; sustainable agriculture; rehabilitation of degraded lands; customary forestry; mangrove plantations; REDD+; managed landfills and landfill gas; imroved incineraiton technology. </t>
  </si>
  <si>
    <t>• Food security: reduce vulnerability of farmers and pastoralists to increased drought and flood  events;
• Water resources: promote integrated water resource management
• Human health: increase the capacity of the health sector to anticipate and respond to changes in distribution of endemic and epidemic climate-sensitive diseases. 
• Natural disasters: improve institutional and staff capacity</t>
  </si>
  <si>
    <t>Organic agriculture, agroforestry, rainfall harvesting, recycling of agricultural waste, biogas, efficient coostoves, water conservation and renewable energies.</t>
  </si>
  <si>
    <t>• 12 new ratification of the Paris  Agreement
• 11 new submission of first NDC
• Detailed NDC information on 2 first-time submissions (Palestine and Timor-Leste)
• Addition of total values in charts.
• New cover image.
• Revised database design and harmonized charts and tables design.
• Combined Summary Tables and Charts in one sheet.
• Integrated the Update History sheet in the Guidance sheet.</t>
  </si>
  <si>
    <t>Party</t>
  </si>
  <si>
    <t>Parties to the UNFCCC</t>
  </si>
  <si>
    <t>Type of mitigation target in NDC</t>
  </si>
  <si>
    <t>Yes, but not mentioned in the NDC</t>
  </si>
  <si>
    <t>North Africa &amp; the Middle East</t>
    <phoneticPr fontId="7"/>
  </si>
  <si>
    <t>North Africa &amp; the Middle East</t>
    <phoneticPr fontId="7"/>
  </si>
  <si>
    <t>Europe</t>
    <phoneticPr fontId="7"/>
  </si>
  <si>
    <t>Alexis R. Rocamora
Yuji Mizuno
Machiko Louhisuo</t>
  </si>
  <si>
    <t>The Republic of Angola recognizes the role that Carbon Market can play for the mobilization of resources and promotion of the development and transfers of climate friendly technology.</t>
  </si>
  <si>
    <t>[Translated] Based on the potential of renewable sources available in the country, it is foreseen the installation of 2 144 MW of power connected to the national electricity grid, which includes the construction of: 19 bioelectric plants annexed to the plants, sugar mills with 755 MW from the cane and forestry biomass, 13 wind farms with 633 MW, 700 MW Photovoltaic and, 74 small hydroelectric plants.</t>
  </si>
  <si>
    <t>[Translated] The main objectives are to reduce the vulnerability of socio-economic systems and ecosystems to climate variability and change by adopting appropriate policies and measures. The main targets are vulnerable communities in the eight agro-ecological zones of the country. Initiatives have been implemented through public awareness, the development and implementation of adaptation measures such as the establishment of agro-meteorological systems, the promotion of agricultural practices that are resilient to climate change, the establishment of implementation of the Early Warning System, the development of lowlands and the development of the capacities of various stakeholders (national and local levels).</t>
  </si>
  <si>
    <t>[Translated]
• Mitigation: renewable energies, energy efficiency in the building and other industries, afforestation, agroforestry, arboriculture, conservation agriculture or agroecology, agricultural product processing ...
• Adaptation: sectors of water, health and risk prevention (examples: pumping system, capture, storage, settling, filtration, volcanic monitoring network, acquisition and processing of satellite images) ...</t>
  </si>
  <si>
    <t xml:space="preserve">[Translated]  El Salvador has a number of contributions in order to establish a legislative and institutional framework that can guide economic and social development towards low emissions and adaptation to climate change. </t>
  </si>
  <si>
    <t>[Translated] However, as part of the policies established in the country's economic and social development plan, Venezuela intends to implement a National Mitigation Plan in conjunction with a National Adaptation Plan. The National Mitigation Plan will aim to reduce the country's emissions by at least 20% by 2030 in relation to the inertial scenario, understood as a hypothetical scenario in which the plan is not implemented.</t>
  </si>
  <si>
    <t>Structural improvements and automatisation of the summary tables.</t>
  </si>
  <si>
    <t>Nov-17</t>
  </si>
  <si>
    <t>Oct-17</t>
  </si>
  <si>
    <t>Dec-17</t>
  </si>
  <si>
    <t>Aug-17</t>
  </si>
  <si>
    <t>Mar-17</t>
  </si>
  <si>
    <t>Dec-16</t>
  </si>
  <si>
    <t>Sept-16</t>
  </si>
  <si>
    <t>Jul-16</t>
  </si>
  <si>
    <t>Jun-16</t>
  </si>
  <si>
    <t>Mar-16</t>
  </si>
  <si>
    <t>Feb-16</t>
  </si>
  <si>
    <t>• Minor revisions to the classification of countries' intention to use market mechanisms. 
• Translation of all NDC passages in French and Spanish to English.</t>
  </si>
  <si>
    <t>Unspecified financial needs</t>
  </si>
  <si>
    <t>Jan-18</t>
  </si>
  <si>
    <t>CLIMATE PLEDGES</t>
  </si>
  <si>
    <t>UNFCCC STATUS</t>
  </si>
  <si>
    <t>INDCs submitted</t>
  </si>
  <si>
    <t>INDC</t>
  </si>
  <si>
    <t xml:space="preserve">To decrease specific emissions of greenhouse gases per unit of
GDP by 10% by 2030 from level of 2010. </t>
  </si>
  <si>
    <t>Solomon Islands is a LDC SIDS, that will nonetheless commit to
reduce emissions by: 12% below 2015 level by 2025 and 30% below 2015 level by 2030 compared to a BaU projection. 27% reduction in GHG emissions by 2025; and 45% reduction in GHG emissions by 2030, compared to a BaU projection.</t>
  </si>
  <si>
    <t>The Cook Islands is committed to a future powered by renewable energy with targets of 50% of islands transformed from diesel based to renewable sourced electricity by 2015, to 100% coverage by 2020. Using 2006 as the base year, emission from electricity generation will be reduced by 38% by 2020.</t>
  </si>
  <si>
    <t>All GHG emission reductions units obtained in Uruguayan territory that have not been authorized for their transference, shall be accounted towards the achievement of the mitigation objectives of Uruguay’s NDC. Apart from that, while Uruguay does not rule out taking part in international GHG emissions trading markets, priority is given to the fulfillment of the commitments in its NDC as stated herein. (...) The unconditional mitigation objectives in Uruguay’s NDC by 2025, as well as the mitigation measures included in Section II.ii, may include the use of foreign direct investment, the Clean Development Mechanism of the Kyoto Protocol, as well as various kinds of support from means of implementation, including financing, technology transfer and capacity building.</t>
  </si>
  <si>
    <t>Uruguay expects to be a net CO2 sink by 2030.
Sectoral emission reduction targets:
• LULUCF (CO2): Remove 13200 Gg (unconditional) or 19200 Gg (conditional) annually
• Energy (CO2): Reduce emission intensity per unit of GDP by 25% (unconditional) or 40% (conditional)
• Industrial processes (CO2): Keep power generation emissions below 40 gCO2/kWh (unconditional) or 20 gCO2/kWh (conditional)
• Beef production (CH4): Reduce emission intensity per kilogram of beef by 33% (unconditional) or 46% (conditional)
• Waste (CH4): Reduce emission intensity per unit of GDP by 44% (unconditional) or 68% (conditional)
• Other sectors and activities (CH4): Reduce emission intensity
per unit of GDP by 45% (unconditional) or 60% (conditional)
• Beef Production (N2O): Reduce emission intensity per kilogram of beef by 31% (unconditional) or 41% (conditional)
• Other sectors and activities (N2O): Reduce emission intensity
per unit of GDP by 40% (unconditional) or 55% (conditional)</t>
  </si>
  <si>
    <t>Global objectives for GHG emissions intensity regarding the evolution of the economy:
• 24% (unconditional) or 29% (conditional) reduction in CO2 emissions intensity per GDP unit
• 57% (unconditional) or 59% (conditional) reduction in CH4 emissions intensity per GDP unit
• 48% (unconditional) or 52% (conditional) reduction in N2O emissions intensity per GDP unit</t>
  </si>
  <si>
    <t>24% (CO2), 57% (CH4) and 48% (N2O)</t>
  </si>
  <si>
    <t>[Translated] Bearing in mind that the historical GHG emissions of the Republic of Panama represent 0.02% of global emissions compared to 2010, the national efforts reflected in the NDC to mitigate climate change is fair and ambitious because it will increase by 30 % of installed capacity by 2050 from other types of renewable sources in the energy sector and in the UT-CUTS sector, will allow an increase in carbon absorption capacity by 10% compared to the reference scenario by 2050; and if the country receives international support in means of implementation, the absorption capacity may increase up to 80% with respect to the baseline scenario by 2050.</t>
  </si>
  <si>
    <t>[Translated] A 15% emissions reduction relative to BAU levels in 2030 for all sectors included in this BAU scenario. This commitment is conditional upon favorable and predictable support and available climate financing mechanisms.
In addition, the Republic of Honduras is committed, as an objective
sectoral, afforestation / reforestation of 1 million hectares of forest before 2030. Also, through the NAMA of efficient stoves is expected reduce by 39% the consumption of firewood in families, helping in the fight against deforestation.</t>
  </si>
  <si>
    <t>With the provision of adequate resources, Guyana can increase its share of renewable energy by 100% by the year 2025.</t>
  </si>
  <si>
    <t>Unconditional: Guatemala plans to achieve a reduction of 11.2% of its GHG emissions of the base year 2005 projected to the year 2030. This reduction of 11.2% implies that emissions, in a tendential scenario (BAU for its acronym in English) of 53.85 million tons of CO2 equivalent for the year 2030, will be reduced to a value of 47.81 million tons of CO2 equivalent in that year.
Conditional: Guatemala proposes a more ambitious reduction than the previous one, of up to 22.6% of its total GHG emissions from the base year 2005 projected to the year 2030. This reduction in 22.6% implies that emissions, in a trend scenario (BAU) of 53.85 million tons of CO2 equivalent for the year 2030, would be reduced to a value of 41.66 million tons of CO2 equivalent in that year.</t>
  </si>
  <si>
    <t>Reduction of 25% of base year [2010] emissions by 2030. This reduction is conditional upon favorable and predictable support, feasible climate finance mechanisms, and corrections to the failures of existing market mechanisms.
The base year is 2010. Base year estimated emissions are 3.6 tCO2e per capita</t>
  </si>
  <si>
    <t>Dominica commits to progressively reduce total gross greenhouse gas (GHG) emissions below 2014 levels (164.5 Ggs est.) at the following reduction rates: 17.9% by 2020; 39.2% by 2025; and 44.7% by 2030.</t>
  </si>
  <si>
    <t>2020, 2025 and 2030</t>
  </si>
  <si>
    <t>• Water: Achieve 100% drinking water coverage by 2025, with resilient delivery services. Triplicate irrigation surface to over 1 million hectares by 2030 with regards to 296.368 hectares in 2010, duplicate food production under irrigation by 2020 and triplicate by 2030, with regards to 1,69 million metric tonnes of 2010. 
• Energy: Increased participation of renewable energy to 79% by 2030 from 39% in 2010.Increased power generation to 13,387 MW electricity sector by 2030, compared to 1,625 MW by 2010.
• Forests and agriculture: Zero illegal deforestation by 2020. Increased the surface of forested and reforested areas to 4.5 million hectares by 2030.</t>
  </si>
  <si>
    <t>• Reduction of fuel wood consumption - by 27% - 66%
• 85% renewable energy by 2030 by implementing hydropower, solar, wind and biomass, and reduction of transmission and distribution losses. 
• 20% reduction in conventional transportation fuel 
• Reserves and sustainable forest management: reduce greenhouse gas emissions by cumulative 410.5Gg CO2 per year.
• Mangroves: avoiding current emissions of around 11.2Gg CO2 per year and removing additional 2.2 – 35Gg CO2 per year. The expected
cumulative emissions reduction would be up to 379Gg CO2 between
2015 and 2030.</t>
  </si>
  <si>
    <t>85% renewable energy increase</t>
  </si>
  <si>
    <t>As result of the INDC revision submitted in 2015, Argentina improved its contribution by planning unconditional mitigation measures that manage to lower their target to 2030 from 570 to 483 million tCO2eq. The difference of 87 million tCO2eq- between the original contribution and the reviewed one derives from two principal aspects. Firstly, the change to IPCC 2006 methodology allows the improvement of the inventory quality by avoiding therefore the overestimation of the agricultural emissions, giving a difference of 79 million tCO2eq. Secondly, the revision of more than 50 unconditional measures and the incorporation of new ambitious measures to the national contribution imply 8 million tCO2eq of additional reduction. (...) Argentina has also calculated the impact of conditional measures, which if jointly implemented could bring emissions to 369 million tCO2eq for 2030. (...) If all conditional measures were implemented jointly to the unconditional ones, Argentina would reduce a total of 223 million tCO2eq with respect to the 2030 baseline scenario.</t>
  </si>
  <si>
    <t>Change in NDC mitigation target</t>
  </si>
  <si>
    <t xml:space="preserve"> </t>
  </si>
  <si>
    <t xml:space="preserve">The list of mitigation types references mitigation targets of countries' NDCs into five categories, according to the methodology used by the Synthesis report on the aggregate effect of the intended nationally determined contributions (UNFCCC, 2015). </t>
  </si>
  <si>
    <t xml:space="preserve">The mitigation summary column is comprised each NDC’s paragraphs disclosing the Party’s mitigation target. The original text is being used, although sometimes relevant segments of the NDC text had to be put together by the authors.  </t>
  </si>
  <si>
    <t>NDC Master Sheet</t>
  </si>
  <si>
    <t>NDC Change Tracker</t>
  </si>
  <si>
    <t xml:space="preserve">As NDCs refer to market mechanisms in various and different ways, the original text of relevant sections of each NDC is contained in this column. </t>
  </si>
  <si>
    <t>Parties have ratified the Paris Agreement</t>
  </si>
  <si>
    <t>Note: Cells containing substantial changes compared to the previous NDC submission are highlighted in:</t>
  </si>
  <si>
    <t>Many Parties mentioned, in their NDC, the financial resources needed to reach their commitments. The amount disclosed represents the investment costs that will be needed in countries respective commitment period to implement their NDC's target. This section shows countries who have expressed a quantified financial need. Therefore, countries with no mention of financial needs in this database may require international support but have not assessed its exact amount.</t>
  </si>
  <si>
    <t xml:space="preserve">This column discloses the Parties’ needs of technology transfer. It identifies technologies that were highlighted as needed in the NDCs. The omission of technology does not mean that other technologies are not needed by Parties. </t>
  </si>
  <si>
    <t>Authors</t>
  </si>
  <si>
    <t>Financial Needs</t>
  </si>
  <si>
    <t>This section sets up a list of different types of market mechanisms. Each type of mechanism is marked with the intention of the Parties of using them: 
• “Yes”: the Party is expressing in its NDC the intention of using the mechanism. This means that the country can be either a buyer of international credits in order to reach its domestic target or a seller of credits and host of projects funded through market mechanisms.
• “Yes, but not mentioned in the INDC”: this information is provided according to the authors' knowledge, in order to show the wider landscape of market mechanisms even when not mentioned in the NDC.
• “No”: the Party states its intention of not using the mechanism.
• “N/A”: the Party does not provide information on the mechanism in the NDC.</t>
  </si>
  <si>
    <t>Explanatory notes - UNFCCC Status</t>
  </si>
  <si>
    <t>100% increase of renewable energy share</t>
  </si>
  <si>
    <t xml:space="preserve">• Renewable energy: Integration of renewable energy in the power system of the Sudan, target of 20% by 2030
• Energy efficiency: contributions are estimated to result in energy saving in the order of 6500 GWh.
• Electricity thermal generation using Natural Gas: Production of 2300 MW using natural gas in different areas in the country
• Afforestation and reforestation: goal of 25% forest coverage from the total area of theSudan by 2030.
• Waste: to ensure that no waste is sent to the landfill. </t>
  </si>
  <si>
    <t>20% renewable energy target</t>
  </si>
  <si>
    <t>Ghana's emission reduction goal is to unconditionally lower its GHG emissions by 15 percent relative to a business-as-usual (BAU) scenario emission of 73.95MtCO2e by 2030. An additional 30 percent emission reduction is attainable on condition that external support is made available to Ghana to cover the full cost of implementing the mitigation action (...). With this external support, a total emission reduction of 45% below the BAU emission levels can be achieved by 2030.</t>
  </si>
  <si>
    <t xml:space="preserve">The  emissions reduction,  which  constitutes  a  reduction  of  255 
MtCO2e  or  64%  compared  to  ‘business-as-usual’ (BAU) emissions in 2030, includes  90  Mt  CO2e  from  agriculture;  130  Mt  CO2e from 
forestry; 20 Mt CO2e from industry; 10 Mt CO2e from transport; and 5 
Mt CO2e from buildings. This does not include the reduction of 19 Mt CO2e in neighbouring countries due to the export of electric power to them from Ethiopia. </t>
  </si>
  <si>
    <t>By means of unconditional measures, the Republic of Djibouti is committed to preventing 1.8 Mt CO2e of future GHG emissions, thus reducing its emissions by 40% compared to the business-as-usual
scenario. The implementation of conditional measures would enable a further reduction in CO2e emissions by 0.9 Mt, or 20% of GHG emissions compared to the business-as-usual scenario for 2030. In this way, the conditional mitigation scenario would enable the Republic of Djibouti to maintain its volume of emissions at a level equivalent to that of 2010.</t>
  </si>
  <si>
    <t>Baseline Year</t>
  </si>
  <si>
    <t>[Translated] The measures envisaged in the Energy and Agriculture sectors are likely to contribute to reducing cumulative GHG emissions (excluding LULUCF) by approximately 49.49 MtE CO2 compared to the business-as-usual scenario, corresponding to a reduction of 16.17% over the period 2021-2030 (figure 2), of which 12.55% conditional contribution and 3.62% unconditional contribution.</t>
  </si>
  <si>
    <t xml:space="preserve">When a country mentions a price range for its financial needs, the highest value has been selected. Similarly, when are mentioned the investment costs needed for several scenarios, the amount of the most ambitious scenario has been selected. The unit chosen is billion USD. When other units and/or currencies are used in an NDC, the necessary conversions have been made to USD. </t>
  </si>
  <si>
    <t>India would need around USD 206 billion (at 2014-15 prices) between 2015 and 2030 for implementing adaptation actions in agriculture, forestry, fisheries infrastructure, water resources and ecosystems. (...)
Estimates by NITI Aayog (National
Institution for Transforming India) indicate that the mitigation activities for moderate low
carbon development would cost around USD 834 billion till 2030 at 2011 prices. (...) 
A preliminary estimate suggests that at least USD 2.5 trillion (at 2014-15 prices) will be required for meeting India's climate change actions between now and 2030.</t>
  </si>
  <si>
    <t>• New agronomic practices such as conservation agriculture, growing of drought tolerant crops, precision agriculture and agro-forestry
• Construction of multipurpose dams, implementation of water harvesting technologies, capacity
• Building in integrated water resources management (IWRM), catchment management, promotion of irrigated agriculture
• Enhancing capacity to construct watering points, and control of animal population by culling or translocation 
• Planting tree species that are drought tolerant and fast growing such as bamboos</t>
  </si>
  <si>
    <t>Unconditional: Integrated water management infrastructure, which includes the construction, rehabilitation and maintenance of conservancies and canals, and sea defenses, water supply and sanitation, as well as the introduction of new agricultural techniques such as hydroponics and fertigation. 
Conditional:
• Upgrading infrastructure and other assets to protect against flooding.
• Mangrove restoration and hinterland Adaptation Measures.
• Development and implementation of Early Warning Systems.
• Enhanced weather forecasting.
• Development and introduction of crop varieties.</t>
  </si>
  <si>
    <r>
      <t xml:space="preserve">Submissions of NDCs </t>
    </r>
    <r>
      <rPr>
        <sz val="11"/>
        <color theme="1"/>
        <rFont val="ＭＳ Ｐゴシック"/>
        <family val="2"/>
        <scheme val="minor"/>
      </rPr>
      <t>(in number of Parties)</t>
    </r>
  </si>
  <si>
    <t>INDC submitted</t>
  </si>
  <si>
    <t>Target years used in NDC*</t>
  </si>
  <si>
    <t>Type of target year</t>
  </si>
  <si>
    <t>Single year target</t>
  </si>
  <si>
    <t>Multi-year target (budget type)</t>
  </si>
  <si>
    <t>Unspecified target year</t>
  </si>
  <si>
    <r>
      <t>Mentions of adaptation and technology needs in NDCs</t>
    </r>
    <r>
      <rPr>
        <sz val="11"/>
        <color theme="1"/>
        <rFont val="ＭＳ Ｐゴシック"/>
        <family val="2"/>
        <scheme val="minor"/>
      </rPr>
      <t xml:space="preserve"> (in number of Parties)</t>
    </r>
  </si>
  <si>
    <t>Intention to use of market mechanisms mentioned in NDCs*</t>
  </si>
  <si>
    <t>Number of Parties</t>
  </si>
  <si>
    <t>Quantified Financial Needs Expressed in NDCs</t>
  </si>
  <si>
    <t>Mitigation targets' baseline years in NDC</t>
  </si>
  <si>
    <t>Conditional mitigation targets
1. By 2020, establish efficiency standards for the implementation of all vehicles and appliances.
2. By 2020, finalize the technical studies with the intention to construct and operationalize a waste to energy (WTE) plant by 2025.
3. By 2030, achieve an energy matrix with 50MW of electricity from renewable sources both on and off-grid in the public and private sectors.
4. By 2030, all remaining wetlands and watershed areas with carbon sequestration potential are protected as carbon sinks.</t>
  </si>
  <si>
    <t>Adaptation measures</t>
  </si>
  <si>
    <t>Specific technology needs</t>
  </si>
  <si>
    <t>* Some Parties use several target years, and are therefore counted more than one time.</t>
  </si>
  <si>
    <t xml:space="preserve">• Revisions in the accounting of countries' mitigation target years.
• Improvement of the Figure 6 on total amounts of financial needs expressed in NDCs </t>
  </si>
  <si>
    <t>Information in this database is based on the English versions of each NDC that were submitted to the UNFCCC. When an English version was not available, the text is manually translated by the authors with the mention [translated]. 
The maps used in the NDC in Maps sheet are for illustrative purposes only. The boundaries, colors, denominations and any other information shown on the maps reflect solely the intention of the authors to facilitate communication and do not imply, on the part of the Institute for Global Environmental Strategies, any statement on the legal status of any territory, or any endorsement of national boundaries. 
Whilst information in this database is believed to be true and accurate at the date of going to press, neither the editor nor publisher can accept any legal responsibility or liability for any errors or omissions that may have been made. 
For any queries relating to this database, please contact ce-info@iges.or.jp 
All copyrights are reserved. The source must be clearly stated when this database is reproduced or transmitted in any form or by any means.</t>
  </si>
  <si>
    <r>
      <t xml:space="preserve">Figure 2: Status of Ratification of the Paris Agreement </t>
    </r>
    <r>
      <rPr>
        <sz val="12"/>
        <color theme="0"/>
        <rFont val="ＭＳ Ｐゴシック"/>
        <family val="2"/>
        <scheme val="minor"/>
      </rPr>
      <t>(in number of Parties)</t>
    </r>
  </si>
  <si>
    <r>
      <t xml:space="preserve">Figure 1: INDC and NDC submissions </t>
    </r>
    <r>
      <rPr>
        <sz val="12"/>
        <color theme="0"/>
        <rFont val="ＭＳ Ｐゴシック"/>
        <family val="2"/>
        <scheme val="minor"/>
      </rPr>
      <t>(in number of Parties)</t>
    </r>
  </si>
  <si>
    <r>
      <t xml:space="preserve">Table of Contents </t>
    </r>
    <r>
      <rPr>
        <sz val="12"/>
        <color theme="0"/>
        <rFont val="ＭＳ Ｐゴシック"/>
        <family val="2"/>
        <scheme val="minor"/>
      </rPr>
      <t>(links to sheets)</t>
    </r>
  </si>
  <si>
    <t>20% increase in renewable energies, 50% reduction in dependency to fossil fuels</t>
  </si>
  <si>
    <t>2020 and 2050</t>
  </si>
  <si>
    <t>30% increase in renewable energies</t>
  </si>
  <si>
    <t>• To increase forest cover to 70% of land area (i.e. to 16.58 million hectares) by 2020.  
• To increase the share of renewable energy to 30% of energy consumption by 2025. 
• To make electricity available to 90% of households in rural area by the year 2020. 
• Approximately total installed capacity of the hydropower plants will be 5,500 MW by 2020. In addition, 20,000 MW of additional hydroelectric capacity is planned for construction after 2020.</t>
  </si>
  <si>
    <t>• Energy industries, manufacturing industries, transport, and other sectors: Cambodia intends to undertake actions as listed in Table 1, the impact of which is expected to be a maximum reduction of 3,100 Gg CO2eq compared to baseline emissions of 11,600 Gg CO2eq by 2030.
•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</si>
  <si>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t>
  </si>
  <si>
    <t>Alexis R. Rocamora
Eri Ikeda
Yuji Mizuno</t>
  </si>
  <si>
    <t>Apr-18</t>
  </si>
  <si>
    <t>Annex country type</t>
  </si>
  <si>
    <t>FINANCIAL NEEDS</t>
  </si>
  <si>
    <t>TECHNOLOGY NEEDS</t>
  </si>
  <si>
    <t>Type of coverage</t>
  </si>
  <si>
    <t>Sectoral</t>
  </si>
  <si>
    <t>CH4</t>
  </si>
  <si>
    <t>CO2</t>
  </si>
  <si>
    <t>N2O</t>
  </si>
  <si>
    <t>PFCs</t>
  </si>
  <si>
    <t>SF6</t>
  </si>
  <si>
    <t>Economy-wide</t>
  </si>
  <si>
    <t>NF3</t>
  </si>
  <si>
    <t>Mention of Specific Technology Transfer Needs</t>
  </si>
  <si>
    <t>Mention of Quantified Financial Needs</t>
  </si>
  <si>
    <t>International</t>
  </si>
  <si>
    <t>Regional</t>
  </si>
  <si>
    <t>Bilateral</t>
  </si>
  <si>
    <t>National Trading Scheme</t>
  </si>
  <si>
    <t>Market Mechanism Type</t>
  </si>
  <si>
    <t>Detailed Climate Pledge</t>
  </si>
  <si>
    <t>Mitigation</t>
  </si>
  <si>
    <t>Adaptation</t>
  </si>
  <si>
    <t>Budget type</t>
  </si>
  <si>
    <t>Sectoral scope</t>
  </si>
  <si>
    <t>Covered gases</t>
  </si>
  <si>
    <t>Kyoto Protocol</t>
  </si>
  <si>
    <t>Signature</t>
  </si>
  <si>
    <t>Ratification</t>
  </si>
  <si>
    <t>Paris Agreement</t>
  </si>
  <si>
    <t>USE OF MARKET MECHANISMS</t>
  </si>
  <si>
    <t>Submission date</t>
  </si>
  <si>
    <t>Detailed Mitigation Pledge</t>
  </si>
  <si>
    <t>JCM</t>
  </si>
  <si>
    <t>Mention of Market Mechanisms</t>
  </si>
  <si>
    <t>REFERENCES</t>
  </si>
  <si>
    <t>URL</t>
  </si>
  <si>
    <r>
      <t>Financial needs</t>
    </r>
    <r>
      <rPr>
        <sz val="12"/>
        <rFont val="ＭＳ Ｐゴシック"/>
        <family val="2"/>
        <scheme val="minor"/>
      </rPr>
      <t xml:space="preserve"> (in billion USD)</t>
    </r>
  </si>
  <si>
    <t>Energy</t>
  </si>
  <si>
    <t>Agriculture</t>
  </si>
  <si>
    <t>Transport</t>
  </si>
  <si>
    <t>Waste</t>
  </si>
  <si>
    <t>LULUCF</t>
  </si>
  <si>
    <t>Industry</t>
  </si>
  <si>
    <t>Type of market mechanism**</t>
  </si>
  <si>
    <t>May-18</t>
  </si>
  <si>
    <t xml:space="preserve">Implementation of Policies’ and Programmes’ actions: 1. NCCAMS (2013 to 2030); 2. Energy Strategy;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10. Renewable Energy Atlas for Mozambique; 11. Project to build and manage two solid waste landfills with the recovery of methane; and 12. Project of Urban Mobility in the Municipality of Maputo. </t>
  </si>
  <si>
    <t>• 3 new columns summarizing the total amounts of financial needs by country (mitigation, adaptation and total amount)
• New column presenting the share of global GHG emissions by country
• New map presenting countries that mention quantified financial needs and specific technology transfer needs in their INDC/NDC
• 20 new first NDCs</t>
  </si>
  <si>
    <t>• Change of name from "INDC and Market Mechanisms database" to "IGES INDC &amp; NDC database"
• New cover page
• All countries flags added
• New sheet presenting INDC and NDCs in Maps
• New column for adaptation summary
• New column for financial needs' mention in INDC (and respective charts and tables)
• New column for technology transfer needs espressed in INDC
• New column in market mechanisms for the use of National/Sub-National Trading Scheme
• New categorisation of the market mechanisms.</t>
  </si>
  <si>
    <t>HFCs</t>
  </si>
  <si>
    <t>NDC MITIGATION COVERAGE</t>
  </si>
  <si>
    <t>St. Vincent and the Grenadines considers the use of instruments for achieving and financing flexibly part of its mitigation target. Therefore St. Vincent and the Grenadines supports the inclusion of the International Carbon Markets and mechanisms such as the CDM in a post-2020 agreement on climate change including the use of the mitigation outcome pre-2020. We propose that such an instrument, together with an appropriate accounting system (MRV), is used to help finance low carbon and climate resilient infrastructure investments.</t>
  </si>
  <si>
    <r>
      <t xml:space="preserve">Figure 3: Types of NDC mitigation coverage </t>
    </r>
    <r>
      <rPr>
        <sz val="12"/>
        <color theme="0"/>
        <rFont val="ＭＳ Ｐゴシック"/>
        <family val="2"/>
        <scheme val="minor"/>
      </rPr>
      <t>(in number of Parties)</t>
    </r>
  </si>
  <si>
    <r>
      <t xml:space="preserve">Figure 4: Sectors covered by NDC mitigation targets </t>
    </r>
    <r>
      <rPr>
        <sz val="12"/>
        <color theme="0"/>
        <rFont val="ＭＳ Ｐゴシック"/>
        <family val="2"/>
        <scheme val="minor"/>
      </rPr>
      <t>(in number of Parties)</t>
    </r>
  </si>
  <si>
    <r>
      <t xml:space="preserve">Figure 5: Types of GHG covered by mitigation targets </t>
    </r>
    <r>
      <rPr>
        <sz val="12"/>
        <color theme="0"/>
        <rFont val="ＭＳ Ｐゴシック"/>
        <family val="2"/>
        <scheme val="minor"/>
      </rPr>
      <t>(in number of Parties)</t>
    </r>
  </si>
  <si>
    <r>
      <t xml:space="preserve">Figure 6: Types of Mitigation Targets in NDCs </t>
    </r>
    <r>
      <rPr>
        <sz val="12"/>
        <color theme="0"/>
        <rFont val="ＭＳ Ｐゴシック"/>
        <family val="2"/>
        <scheme val="minor"/>
      </rPr>
      <t>(in number of Parties)</t>
    </r>
  </si>
  <si>
    <r>
      <t xml:space="preserve">Figure 7: Baselines used for Mitigation Pledges </t>
    </r>
    <r>
      <rPr>
        <sz val="12"/>
        <color theme="0"/>
        <rFont val="ＭＳ Ｐゴシック"/>
        <family val="2"/>
        <scheme val="minor"/>
      </rPr>
      <t>(in number of Parties)</t>
    </r>
  </si>
  <si>
    <r>
      <t xml:space="preserve">Figure 8: Target years of Mitigation Pledges </t>
    </r>
    <r>
      <rPr>
        <sz val="12"/>
        <color theme="0"/>
        <rFont val="ＭＳ Ｐゴシック"/>
        <family val="2"/>
        <scheme val="minor"/>
      </rPr>
      <t>(in number of Parties)</t>
    </r>
  </si>
  <si>
    <r>
      <t xml:space="preserve">Figure 9: Type of Target Year </t>
    </r>
    <r>
      <rPr>
        <sz val="12"/>
        <color theme="0"/>
        <rFont val="ＭＳ Ｐゴシック"/>
        <family val="2"/>
        <scheme val="minor"/>
      </rPr>
      <t>(in number of Parties)</t>
    </r>
  </si>
  <si>
    <r>
      <t xml:space="preserve">Figure 10: Total amounts of financial needs expressed in NDCs </t>
    </r>
    <r>
      <rPr>
        <sz val="12"/>
        <color theme="0"/>
        <rFont val="ＭＳ Ｐゴシック"/>
        <family val="2"/>
        <scheme val="minor"/>
      </rPr>
      <t>(in billion USD)</t>
    </r>
  </si>
  <si>
    <r>
      <t xml:space="preserve">Figure 11: Amounts of financial needs expressed in NDCs by region </t>
    </r>
    <r>
      <rPr>
        <sz val="12"/>
        <color theme="0"/>
        <rFont val="ＭＳ Ｐゴシック"/>
        <family val="2"/>
        <scheme val="minor"/>
      </rPr>
      <t>(in billion USD)</t>
    </r>
  </si>
  <si>
    <r>
      <t xml:space="preserve">Figure 12: Use of Market Mechanism </t>
    </r>
    <r>
      <rPr>
        <sz val="12"/>
        <color theme="0"/>
        <rFont val="ＭＳ Ｐゴシック"/>
        <family val="2"/>
        <scheme val="minor"/>
      </rPr>
      <t>(in number of Parties)</t>
    </r>
  </si>
  <si>
    <t>Type of coverage*</t>
  </si>
  <si>
    <t xml:space="preserve">* "Economy-wide" NDCs refer to those that cover sectors and gases that are responsible for the large majority of their country's GHG emissions. They are not necessarily the NDCs with the highest number of sectors and gases covered. </t>
  </si>
  <si>
    <t>PA not signed</t>
  </si>
  <si>
    <t>PA signed but not ratified</t>
  </si>
  <si>
    <t>PA ratified</t>
  </si>
  <si>
    <t>Change in mitigation INDC-NDC</t>
  </si>
  <si>
    <t>• Addition of a new category of data concerning NDC mitigation coverage: type of coverage, economic sectors and GHG covered.
• Addition of respective table and charts for NDC coverage
• Improvement of data visualization and headings structure</t>
  </si>
  <si>
    <r>
      <t>Table 1: Overall Summary Table</t>
    </r>
    <r>
      <rPr>
        <sz val="12"/>
        <color theme="0"/>
        <rFont val="ＭＳ Ｐゴシック"/>
        <family val="2"/>
        <scheme val="minor"/>
      </rPr>
      <t/>
    </r>
  </si>
  <si>
    <t>ANALYTICS</t>
  </si>
  <si>
    <t>Analytics</t>
  </si>
  <si>
    <t>**Are counted in the following rows not only countries that claim their intention to use or to consider the use of market mechanisms, but also countries that actually use market mechanisms (to the extend of the authors' knowledge) but do not mention it in their NDC.</t>
  </si>
  <si>
    <t>**Additionally, since many countries use more than one type of market mechanism, the total for countries using market mechanisms exceeds the actual total number of countries</t>
  </si>
  <si>
    <t>Eri Ikeda
Yuji Mizuno</t>
    <phoneticPr fontId="7"/>
  </si>
  <si>
    <t>N/A</t>
    <phoneticPr fontId="7"/>
  </si>
  <si>
    <t>2021/4/1 (FY2021)</t>
    <phoneticPr fontId="7"/>
  </si>
  <si>
    <t>2031/3/31 (FY2030)</t>
    <phoneticPr fontId="7"/>
  </si>
  <si>
    <t>Start        year</t>
    <phoneticPr fontId="7"/>
  </si>
  <si>
    <t>End               year</t>
    <phoneticPr fontId="7"/>
  </si>
  <si>
    <t>2030, 2050</t>
    <phoneticPr fontId="7"/>
  </si>
  <si>
    <t>Implementation period</t>
    <phoneticPr fontId="7"/>
  </si>
  <si>
    <t>Start: 2020, End: 2030</t>
    <phoneticPr fontId="7"/>
  </si>
  <si>
    <t>Start: 2021, End: 2030</t>
    <phoneticPr fontId="7"/>
  </si>
  <si>
    <t>Start: 2020, End: 2025</t>
    <phoneticPr fontId="7"/>
  </si>
  <si>
    <t>Start: 2021, End: 2025</t>
    <phoneticPr fontId="7"/>
  </si>
  <si>
    <t>Start: N/A,  End: N/A</t>
    <phoneticPr fontId="7"/>
  </si>
  <si>
    <t>Other combinations</t>
    <phoneticPr fontId="7"/>
  </si>
  <si>
    <t>Sub-Saharan Africa</t>
    <phoneticPr fontId="7"/>
  </si>
  <si>
    <t>Eastern Europe &amp; Central Asia</t>
    <phoneticPr fontId="7"/>
  </si>
  <si>
    <t>Latin America &amp; the Caribbean</t>
    <phoneticPr fontId="7"/>
  </si>
  <si>
    <r>
      <t xml:space="preserve">Figure 13: Implementation period of NDC </t>
    </r>
    <r>
      <rPr>
        <sz val="12"/>
        <color theme="0"/>
        <rFont val="ＭＳ Ｐゴシック"/>
        <family val="2"/>
        <scheme val="minor"/>
      </rPr>
      <t>(in number of Parties)</t>
    </r>
    <phoneticPr fontId="7"/>
  </si>
  <si>
    <t>Sub-total</t>
    <phoneticPr fontId="7"/>
  </si>
  <si>
    <t xml:space="preserve">Oct-10 </t>
    <phoneticPr fontId="7"/>
  </si>
  <si>
    <t>• Addition of a new category of data concerning the period of implementation for the 1st NDC
・Addition of the ratification date for 6 countries (Kuwait, Liberia, Mozambique, Tanzania, San Marino, and Colombia), and subsequent change in the numbers of Parties that ratified the Paris Agreement
・Added Table 6 and Figure 13 (Implementation of period (in number of Parties)) in Analytics sheet</t>
    <phoneticPr fontId="7"/>
  </si>
  <si>
    <t xml:space="preserve">Nov-14 </t>
    <phoneticPr fontId="7"/>
  </si>
  <si>
    <t>Peak of carbon emissions</t>
    <phoneticPr fontId="7"/>
  </si>
  <si>
    <t>Carbon intensity reduction</t>
    <phoneticPr fontId="7"/>
  </si>
  <si>
    <t>• Modify China's NDC
1) Added comment on "Peak of carbon emissions" in Mitigation type
2) Changed the status of coverage of gases - CH4 and N2O
• Changed the numbers (of Parties) for CH4 and N2O in Table 2
・Deleted "Share of GHG emissions (IEA data)" from Table 2</t>
    <phoneticPr fontId="7"/>
  </si>
  <si>
    <t>Covered gases</t>
    <phoneticPr fontId="7"/>
  </si>
  <si>
    <t>2025, 2030</t>
    <phoneticPr fontId="7"/>
  </si>
  <si>
    <t>FIRST NDC</t>
    <phoneticPr fontId="7"/>
  </si>
  <si>
    <t>RMI commits to a quantified economy-wide target to reduce its emissions of greenhouse gases (GHG) to at least 32% below 2010 levels by 2025 and to at least 45% below 2010 levels by 2030. RMI communicates, as an indicative target, its intention to reduce its emissions of GHGs by at least 58% below 2010 levels by 2035 and an aspiration to achieve net zero GHG emissions by 2050 at the latest.</t>
    <phoneticPr fontId="7"/>
  </si>
  <si>
    <t>N/A</t>
    <phoneticPr fontId="7"/>
  </si>
  <si>
    <t>North Africa &amp; the Middle East</t>
    <phoneticPr fontId="7"/>
  </si>
  <si>
    <t>Oceania</t>
    <phoneticPr fontId="7"/>
  </si>
  <si>
    <t>Sub-Saharan Africa</t>
    <phoneticPr fontId="7"/>
  </si>
  <si>
    <t>Eastern Europe &amp; Central Asia</t>
    <phoneticPr fontId="7"/>
  </si>
  <si>
    <t>Europe</t>
    <phoneticPr fontId="7"/>
  </si>
  <si>
    <t>Latin America &amp; the Caribbean</t>
    <phoneticPr fontId="7"/>
  </si>
  <si>
    <t>Northern America</t>
    <phoneticPr fontId="7"/>
  </si>
  <si>
    <t>Policies and actions</t>
    <phoneticPr fontId="7"/>
  </si>
  <si>
    <t>Annex I</t>
    <phoneticPr fontId="7"/>
  </si>
  <si>
    <t>Non-Annex I</t>
    <phoneticPr fontId="7"/>
  </si>
  <si>
    <t>CO2</t>
    <phoneticPr fontId="7"/>
  </si>
  <si>
    <t>CH4</t>
    <phoneticPr fontId="7"/>
  </si>
  <si>
    <t>N2O</t>
    <phoneticPr fontId="7"/>
  </si>
  <si>
    <t>HFCs</t>
    <phoneticPr fontId="7"/>
  </si>
  <si>
    <t>PFCs</t>
    <phoneticPr fontId="7"/>
  </si>
  <si>
    <t>SF6</t>
    <phoneticPr fontId="7"/>
  </si>
  <si>
    <t>NF3</t>
    <phoneticPr fontId="7"/>
  </si>
  <si>
    <t>All</t>
    <phoneticPr fontId="7"/>
  </si>
  <si>
    <t>Yes</t>
    <phoneticPr fontId="7"/>
  </si>
  <si>
    <t>Economy-wide</t>
    <phoneticPr fontId="7"/>
  </si>
  <si>
    <t>The government of Eritrea is committed to reduce the CO2 emissions from fossil fuels by 4.2% in 2020, 6.2% by 2025 and 12.0% by 2030 compared to the projected BAU of the reference year of 2010. If additional support is availed, it can further be reduced by 12.6% in 2020, 24.9% by 2025 and 38.5 by the year 2030.</t>
    <phoneticPr fontId="7"/>
  </si>
  <si>
    <t>・Development and establishment of new enclosure areas over 750,000 ha
・Promotion of Conservation Agriculture (Climate Smart Agriculture) in 5% of the cultivable land
・Development and promotion of irrigation scheme by 170, 000 ha
・Afforestation program will cover over 36,000 ha
・Development of terrestrial and marine protected area of over 1.5 million ha
・Construction of 90 new dams and 120 ponds; Safe drinking water supply will increase from 75% to 100%;
・Desalination of sea water for domestic and economic sectors in 15 coastal towns and villages and 7 islands
・Wastewater treatment plant established to treat 3 million m3 of water/year
・Rehabilitations degraded land program for agriculture over 250,000 ha
・Livestock productivity increased by 75%; Crop production of pulses will cover 25% of total cultivable land
・Sustainable Land Management practiced will be implemented in 15% of Eritrean the total land covered
・Prevalence of climate change related public health problems and diseases will be prevented and reduced by 90%.</t>
    <phoneticPr fontId="7"/>
  </si>
  <si>
    <t>GHG Emissions in different types of gas (Noted in NDCs, Numbers of Parties)</t>
    <phoneticPr fontId="7"/>
  </si>
  <si>
    <t>SF6</t>
    <phoneticPr fontId="7"/>
  </si>
  <si>
    <t>North Africa &amp; the Middle East</t>
    <phoneticPr fontId="7"/>
  </si>
  <si>
    <t>Sub-Saharan Africa</t>
    <phoneticPr fontId="7"/>
  </si>
  <si>
    <t>Europe</t>
    <phoneticPr fontId="7"/>
  </si>
  <si>
    <t>Latin America &amp; the Caribbean</t>
    <phoneticPr fontId="7"/>
  </si>
  <si>
    <t>Northern America</t>
    <phoneticPr fontId="7"/>
  </si>
  <si>
    <t>NDCs submitted, not INDCs</t>
    <phoneticPr fontId="7"/>
  </si>
  <si>
    <t>NDCs not submitted, but INDCs</t>
    <phoneticPr fontId="7"/>
  </si>
  <si>
    <t>NDCs and INDCs submitted</t>
    <phoneticPr fontId="7"/>
  </si>
  <si>
    <t>NDCs and INDCs not submitted</t>
    <phoneticPr fontId="7"/>
  </si>
  <si>
    <t>North Africa &amp; the Middle East</t>
    <phoneticPr fontId="7"/>
  </si>
  <si>
    <t>Northern America</t>
    <phoneticPr fontId="7"/>
  </si>
  <si>
    <t>Oceania</t>
    <phoneticPr fontId="7"/>
  </si>
  <si>
    <t>Asia</t>
    <phoneticPr fontId="7"/>
  </si>
  <si>
    <t>Albania</t>
    <phoneticPr fontId="7"/>
  </si>
  <si>
    <t>Afghanistan</t>
    <phoneticPr fontId="7"/>
  </si>
  <si>
    <t>Algeria</t>
    <phoneticPr fontId="7"/>
  </si>
  <si>
    <t>Andorra</t>
    <phoneticPr fontId="7"/>
  </si>
  <si>
    <t>Angola</t>
    <phoneticPr fontId="7"/>
  </si>
  <si>
    <t>Antigua and Barbuda</t>
    <phoneticPr fontId="7"/>
  </si>
  <si>
    <t>Argentina</t>
    <phoneticPr fontId="7"/>
  </si>
  <si>
    <t>Australia</t>
    <phoneticPr fontId="7"/>
  </si>
  <si>
    <t>Azerbaijan</t>
    <phoneticPr fontId="7"/>
  </si>
  <si>
    <t>Bahamas</t>
    <phoneticPr fontId="7"/>
  </si>
  <si>
    <t>Bahrain</t>
    <phoneticPr fontId="7"/>
  </si>
  <si>
    <t>Bangladesh</t>
    <phoneticPr fontId="7"/>
  </si>
  <si>
    <t>Armenia</t>
    <phoneticPr fontId="7"/>
  </si>
  <si>
    <t>Barbados</t>
    <phoneticPr fontId="7"/>
  </si>
  <si>
    <t>Belarus</t>
    <phoneticPr fontId="7"/>
  </si>
  <si>
    <t>Belize</t>
    <phoneticPr fontId="7"/>
  </si>
  <si>
    <t>Benin</t>
    <phoneticPr fontId="7"/>
  </si>
  <si>
    <t>Bhutan</t>
    <phoneticPr fontId="7"/>
  </si>
  <si>
    <t>Bolivia (Plurinational State of)</t>
    <phoneticPr fontId="7"/>
  </si>
  <si>
    <t>Bosnia and Herzegovina</t>
    <phoneticPr fontId="7"/>
  </si>
  <si>
    <t>Botswana</t>
    <phoneticPr fontId="7"/>
  </si>
  <si>
    <t>Brazil</t>
    <phoneticPr fontId="7"/>
  </si>
  <si>
    <t>Brunei Darussalam</t>
    <phoneticPr fontId="7"/>
  </si>
  <si>
    <t>Burkina Faso</t>
    <phoneticPr fontId="7"/>
  </si>
  <si>
    <t>Burundi</t>
    <phoneticPr fontId="7"/>
  </si>
  <si>
    <t>Cambodia</t>
    <phoneticPr fontId="7"/>
  </si>
  <si>
    <t>Cameroon</t>
    <phoneticPr fontId="7"/>
  </si>
  <si>
    <t>Canada</t>
    <phoneticPr fontId="7"/>
  </si>
  <si>
    <t>Central African Republic</t>
    <phoneticPr fontId="7"/>
  </si>
  <si>
    <t>Chad</t>
    <phoneticPr fontId="7"/>
  </si>
  <si>
    <t>Chile</t>
    <phoneticPr fontId="7"/>
  </si>
  <si>
    <t>China</t>
    <phoneticPr fontId="7"/>
  </si>
  <si>
    <t>Colombia</t>
    <phoneticPr fontId="7"/>
  </si>
  <si>
    <t>Comoros</t>
    <phoneticPr fontId="7"/>
  </si>
  <si>
    <t>Cook Islands</t>
    <phoneticPr fontId="7"/>
  </si>
  <si>
    <t xml:space="preserve">Costa Rica
</t>
    <phoneticPr fontId="7"/>
  </si>
  <si>
    <t>Côte d'Ivoire</t>
    <phoneticPr fontId="7"/>
  </si>
  <si>
    <t xml:space="preserve">Cuba
</t>
    <phoneticPr fontId="7"/>
  </si>
  <si>
    <t xml:space="preserve">Djibouti
</t>
    <phoneticPr fontId="7"/>
  </si>
  <si>
    <t>Dominica</t>
    <phoneticPr fontId="7"/>
  </si>
  <si>
    <t>Dominican Republic</t>
    <phoneticPr fontId="7"/>
  </si>
  <si>
    <t>Egypt</t>
    <phoneticPr fontId="7"/>
  </si>
  <si>
    <t>El Salvador</t>
    <phoneticPr fontId="7"/>
  </si>
  <si>
    <t>Ecuador</t>
    <phoneticPr fontId="7"/>
  </si>
  <si>
    <t>Eritrea</t>
    <phoneticPr fontId="7"/>
  </si>
  <si>
    <t>Austria</t>
    <phoneticPr fontId="7"/>
  </si>
  <si>
    <t>Belgium</t>
    <phoneticPr fontId="7"/>
  </si>
  <si>
    <t>Bulgaria</t>
    <phoneticPr fontId="7"/>
  </si>
  <si>
    <t>Croatia</t>
    <phoneticPr fontId="7"/>
  </si>
  <si>
    <t>Cyprus</t>
    <phoneticPr fontId="7"/>
  </si>
  <si>
    <t>Czech Republic</t>
    <phoneticPr fontId="7"/>
  </si>
  <si>
    <t>Denmark</t>
    <phoneticPr fontId="7"/>
  </si>
  <si>
    <t>Estonia</t>
    <phoneticPr fontId="7"/>
  </si>
  <si>
    <t>Finland</t>
    <phoneticPr fontId="7"/>
  </si>
  <si>
    <t>Germany</t>
    <phoneticPr fontId="7"/>
  </si>
  <si>
    <t xml:space="preserve">Hungary
</t>
    <phoneticPr fontId="7"/>
  </si>
  <si>
    <t>Ireland</t>
    <phoneticPr fontId="7"/>
  </si>
  <si>
    <t>Italy</t>
    <phoneticPr fontId="7"/>
  </si>
  <si>
    <t>Latvia</t>
    <phoneticPr fontId="7"/>
  </si>
  <si>
    <t>Lithuania</t>
    <phoneticPr fontId="7"/>
  </si>
  <si>
    <t>Luxembourg</t>
    <phoneticPr fontId="7"/>
  </si>
  <si>
    <t>Malta</t>
    <phoneticPr fontId="7"/>
  </si>
  <si>
    <t>Netherlands</t>
    <phoneticPr fontId="7"/>
  </si>
  <si>
    <t>Poland</t>
    <phoneticPr fontId="7"/>
  </si>
  <si>
    <t>Portugal</t>
    <phoneticPr fontId="7"/>
  </si>
  <si>
    <t>Romania</t>
    <phoneticPr fontId="7"/>
  </si>
  <si>
    <t>Slovakia</t>
    <phoneticPr fontId="7"/>
  </si>
  <si>
    <t>Slovenia</t>
    <phoneticPr fontId="7"/>
  </si>
  <si>
    <t>Spain</t>
    <phoneticPr fontId="7"/>
  </si>
  <si>
    <t>Sweden</t>
    <phoneticPr fontId="7"/>
  </si>
  <si>
    <t>Fiji</t>
    <phoneticPr fontId="7"/>
  </si>
  <si>
    <t>Gabon</t>
    <phoneticPr fontId="7"/>
  </si>
  <si>
    <t>Gambia</t>
    <phoneticPr fontId="7"/>
  </si>
  <si>
    <t>Georgia</t>
    <phoneticPr fontId="7"/>
  </si>
  <si>
    <t>Ghana</t>
    <phoneticPr fontId="7"/>
  </si>
  <si>
    <t>Grenada</t>
    <phoneticPr fontId="7"/>
  </si>
  <si>
    <t>Guatemala</t>
    <phoneticPr fontId="7"/>
  </si>
  <si>
    <t>Guinea</t>
    <phoneticPr fontId="7"/>
  </si>
  <si>
    <t>Guyana</t>
    <phoneticPr fontId="7"/>
  </si>
  <si>
    <t>Haiti</t>
    <phoneticPr fontId="7"/>
  </si>
  <si>
    <t>Honduras</t>
    <phoneticPr fontId="7"/>
  </si>
  <si>
    <t>Iceland</t>
    <phoneticPr fontId="7"/>
  </si>
  <si>
    <t>India</t>
    <phoneticPr fontId="7"/>
  </si>
  <si>
    <t>Indonesia</t>
    <phoneticPr fontId="7"/>
  </si>
  <si>
    <t>Iran (Islamic Republic of)</t>
    <phoneticPr fontId="7"/>
  </si>
  <si>
    <t>Iraq</t>
    <phoneticPr fontId="7"/>
  </si>
  <si>
    <t>Israel</t>
    <phoneticPr fontId="7"/>
  </si>
  <si>
    <t>Jamaica</t>
    <phoneticPr fontId="7"/>
  </si>
  <si>
    <t>Japan</t>
    <phoneticPr fontId="7"/>
  </si>
  <si>
    <t>Jordan</t>
    <phoneticPr fontId="7"/>
  </si>
  <si>
    <t>Kazakhstan</t>
    <phoneticPr fontId="7"/>
  </si>
  <si>
    <t>Kenya</t>
    <phoneticPr fontId="7"/>
  </si>
  <si>
    <t>Kiribati</t>
    <phoneticPr fontId="7"/>
  </si>
  <si>
    <t>Kuwait</t>
    <phoneticPr fontId="7"/>
  </si>
  <si>
    <t>Lao People's Democratic Republic</t>
    <phoneticPr fontId="7"/>
  </si>
  <si>
    <t>Lesotho</t>
    <phoneticPr fontId="7"/>
  </si>
  <si>
    <t>Liberia</t>
    <phoneticPr fontId="7"/>
  </si>
  <si>
    <t>Libya</t>
    <phoneticPr fontId="7"/>
  </si>
  <si>
    <t>Liechtenstein</t>
    <phoneticPr fontId="7"/>
  </si>
  <si>
    <t>Madagascar</t>
    <phoneticPr fontId="7"/>
  </si>
  <si>
    <t>Malawi</t>
    <phoneticPr fontId="7"/>
  </si>
  <si>
    <t>Malaysia</t>
    <phoneticPr fontId="7"/>
  </si>
  <si>
    <t>Maldives</t>
    <phoneticPr fontId="7"/>
  </si>
  <si>
    <t>Mali</t>
    <phoneticPr fontId="7"/>
  </si>
  <si>
    <t>Marshall Islands</t>
    <phoneticPr fontId="7"/>
  </si>
  <si>
    <t>Mauritania</t>
    <phoneticPr fontId="7"/>
  </si>
  <si>
    <t>Mauritius</t>
    <phoneticPr fontId="7"/>
  </si>
  <si>
    <t>Mexico</t>
    <phoneticPr fontId="7"/>
  </si>
  <si>
    <t>Micronesia (Federated States of)</t>
    <phoneticPr fontId="7"/>
  </si>
  <si>
    <t>Monaco</t>
    <phoneticPr fontId="7"/>
  </si>
  <si>
    <t>Mongolia</t>
    <phoneticPr fontId="7"/>
  </si>
  <si>
    <t>Montenegro</t>
    <phoneticPr fontId="7"/>
  </si>
  <si>
    <t>Morocco</t>
    <phoneticPr fontId="7"/>
  </si>
  <si>
    <t>Mozambique</t>
    <phoneticPr fontId="7"/>
  </si>
  <si>
    <t>Myanmar</t>
    <phoneticPr fontId="7"/>
  </si>
  <si>
    <t>Namibia</t>
    <phoneticPr fontId="7"/>
  </si>
  <si>
    <t>Nauru</t>
    <phoneticPr fontId="7"/>
  </si>
  <si>
    <t>Nepal</t>
    <phoneticPr fontId="7"/>
  </si>
  <si>
    <t>New Zealand</t>
    <phoneticPr fontId="7"/>
  </si>
  <si>
    <t>Nicaragua</t>
    <phoneticPr fontId="7"/>
  </si>
  <si>
    <t>Niger</t>
    <phoneticPr fontId="7"/>
  </si>
  <si>
    <t>Nigeria</t>
    <phoneticPr fontId="7"/>
  </si>
  <si>
    <t>Niue</t>
    <phoneticPr fontId="7"/>
  </si>
  <si>
    <t>Norway</t>
    <phoneticPr fontId="7"/>
  </si>
  <si>
    <t>Oman</t>
    <phoneticPr fontId="7"/>
  </si>
  <si>
    <t>Pakistan</t>
    <phoneticPr fontId="7"/>
  </si>
  <si>
    <t>Qatar</t>
    <phoneticPr fontId="7"/>
  </si>
  <si>
    <t>Russian Federation</t>
    <phoneticPr fontId="7"/>
  </si>
  <si>
    <t>Rwanda</t>
    <phoneticPr fontId="7"/>
  </si>
  <si>
    <t>Saint Lucia</t>
    <phoneticPr fontId="7"/>
  </si>
  <si>
    <t>Saint Vincent and the Grenadines</t>
    <phoneticPr fontId="7"/>
  </si>
  <si>
    <t>Samoa</t>
    <phoneticPr fontId="7"/>
  </si>
  <si>
    <t>San Marino</t>
    <phoneticPr fontId="7"/>
  </si>
  <si>
    <t>Sao Tome and Principe</t>
    <phoneticPr fontId="7"/>
  </si>
  <si>
    <t>Saudi Arabia</t>
    <phoneticPr fontId="7"/>
  </si>
  <si>
    <t>Senegal</t>
    <phoneticPr fontId="7"/>
  </si>
  <si>
    <t>Serbia</t>
    <phoneticPr fontId="7"/>
  </si>
  <si>
    <t>Seychelles</t>
    <phoneticPr fontId="7"/>
  </si>
  <si>
    <t>Sierra Leone</t>
    <phoneticPr fontId="7"/>
  </si>
  <si>
    <t>Singapore</t>
    <phoneticPr fontId="7"/>
  </si>
  <si>
    <t>Solomon Islands</t>
    <phoneticPr fontId="7"/>
  </si>
  <si>
    <t>Somalia</t>
    <phoneticPr fontId="7"/>
  </si>
  <si>
    <t>South Africa</t>
    <phoneticPr fontId="7"/>
  </si>
  <si>
    <t>Sri Lanka</t>
    <phoneticPr fontId="7"/>
  </si>
  <si>
    <t>Sudan</t>
    <phoneticPr fontId="7"/>
  </si>
  <si>
    <t>Switzerland</t>
    <phoneticPr fontId="7"/>
  </si>
  <si>
    <t>Tajikistan</t>
    <phoneticPr fontId="7"/>
  </si>
  <si>
    <t>Thailand</t>
    <phoneticPr fontId="7"/>
  </si>
  <si>
    <t>Timor-Leste (East Timor)</t>
    <phoneticPr fontId="7"/>
  </si>
  <si>
    <t>Togo</t>
    <phoneticPr fontId="7"/>
  </si>
  <si>
    <t>Tonga</t>
    <phoneticPr fontId="7"/>
  </si>
  <si>
    <t>Trinidad and Tobago</t>
    <phoneticPr fontId="7"/>
  </si>
  <si>
    <t>Tunisia</t>
    <phoneticPr fontId="7"/>
  </si>
  <si>
    <t>Turkmenistan</t>
    <phoneticPr fontId="7"/>
  </si>
  <si>
    <t>United States of America (USA)</t>
    <phoneticPr fontId="7"/>
  </si>
  <si>
    <t>Uruguay</t>
    <phoneticPr fontId="7"/>
  </si>
  <si>
    <t>Uzbekistan</t>
    <phoneticPr fontId="7"/>
  </si>
  <si>
    <t>Vanuatu</t>
    <phoneticPr fontId="7"/>
  </si>
  <si>
    <t>Viet Nam</t>
    <phoneticPr fontId="7"/>
  </si>
  <si>
    <t>Yemen</t>
    <phoneticPr fontId="7"/>
  </si>
  <si>
    <t>Zambia</t>
    <phoneticPr fontId="7"/>
  </si>
  <si>
    <t>Zimbabwe</t>
    <phoneticPr fontId="7"/>
  </si>
  <si>
    <t>Tuvalu</t>
    <phoneticPr fontId="7"/>
  </si>
  <si>
    <t>Uganda</t>
    <phoneticPr fontId="7"/>
  </si>
  <si>
    <t>Ukraine</t>
    <phoneticPr fontId="7"/>
  </si>
  <si>
    <t>Philippines</t>
    <phoneticPr fontId="7"/>
  </si>
  <si>
    <t>Peru</t>
    <phoneticPr fontId="7"/>
  </si>
  <si>
    <t>Panama</t>
    <phoneticPr fontId="7"/>
  </si>
  <si>
    <t>Palau</t>
    <phoneticPr fontId="7"/>
  </si>
  <si>
    <t>Ethiopia</t>
    <phoneticPr fontId="7"/>
  </si>
  <si>
    <t>Uruguay</t>
    <phoneticPr fontId="7"/>
  </si>
  <si>
    <t>Marshall Islands</t>
    <phoneticPr fontId="7"/>
  </si>
  <si>
    <t>Eritrea</t>
    <phoneticPr fontId="7"/>
  </si>
  <si>
    <t>Benin</t>
    <phoneticPr fontId="7"/>
  </si>
  <si>
    <t>Belize</t>
    <phoneticPr fontId="7"/>
  </si>
  <si>
    <t>Argentina</t>
    <phoneticPr fontId="7"/>
  </si>
  <si>
    <t>Yes</t>
    <phoneticPr fontId="7"/>
  </si>
  <si>
    <t>Canada</t>
    <phoneticPr fontId="7"/>
  </si>
  <si>
    <t>Morocco</t>
    <phoneticPr fontId="7"/>
  </si>
  <si>
    <t>Kyrgyzstan</t>
    <phoneticPr fontId="7"/>
  </si>
  <si>
    <t>Lebanon</t>
    <phoneticPr fontId="7"/>
  </si>
  <si>
    <t>South Sudan</t>
    <phoneticPr fontId="7"/>
  </si>
  <si>
    <t>Suriname</t>
    <phoneticPr fontId="7"/>
  </si>
  <si>
    <t>Guinea-Bissau</t>
    <phoneticPr fontId="7"/>
  </si>
  <si>
    <t>2002/12/17
[withdrawal: 2012/12/15]</t>
    <phoneticPr fontId="7"/>
  </si>
  <si>
    <t>https://www4.unfccc.int/sites/submissions/INDC/Published%20Documents/Uzbekistan/1/INDC%20Uzbekistan%2018-04-2017_Eng_20170419093154_171926.pdf</t>
    <phoneticPr fontId="7"/>
  </si>
  <si>
    <t>https://www4.unfccc.int/sites/submissions/INDC/Published%20Documents/Timor-Leste%20(East%20Timor)/1/INDC%20%20TL_Final_Scanned_copy20Feb-2017.compressed.pdf</t>
    <phoneticPr fontId="7"/>
  </si>
  <si>
    <t>https://www4.unfccc.int/sites/submissions/INDC/Published%20Documents/Pakistan/1/Pak-INDC.pdf</t>
    <phoneticPr fontId="7"/>
  </si>
  <si>
    <t>N/A</t>
    <phoneticPr fontId="7"/>
  </si>
  <si>
    <t>https://www4.unfccc.int/sites/submissions/INDC/Published%20Documents/Democratic%20People's%20Republic%20of%20Korea/1/DPRK-INDC%20by%202030.pdf</t>
    <phoneticPr fontId="7"/>
  </si>
  <si>
    <t>https://www4.unfccc.int/sites/submissions/INDC/Published%20Documents/Sri%20Lanka/1/Resubmission%20of%20INDCs%20for%20Sri%20Lanka.xps</t>
    <phoneticPr fontId="7"/>
  </si>
  <si>
    <t>https://www4.unfccc.int/sites/submissions/INDC/Published%20Documents/Panama/1/Panama_NDC.pdf</t>
    <phoneticPr fontId="7"/>
  </si>
  <si>
    <t>https://www4.unfccc.int/sites/submissions/INDC/Published%20Documents/Nepal/1/Nepal_INDC_08Feb_2016.pdf</t>
    <phoneticPr fontId="7"/>
  </si>
  <si>
    <t>https://www4.unfccc.int/sites/submissions/INDC/Published%20Documents/Malaysia/1/INDC%20Malaysia%20Final%2027%20November%202015%20Revised%20Final%20UNFCCC.pdf</t>
    <phoneticPr fontId="7"/>
  </si>
  <si>
    <t>https://www4.unfccc.int/sites/submissions/INDC/Published%20Documents/Chile/1/INDC%20Chile%20english%20version.pdf</t>
    <phoneticPr fontId="7"/>
  </si>
  <si>
    <t>https://www4.unfccc.int/sites/submissions/INDC/Published%20Documents/Venezuela/1/Venezuela%20Diciembre%202015%20(final).pdf</t>
    <phoneticPr fontId="7"/>
  </si>
  <si>
    <t>Saint Kitts and Nevis</t>
    <phoneticPr fontId="7"/>
  </si>
  <si>
    <t>https://www4.unfccc.int/sites/submissions/INDC/Published%20Documents/Saint%20Kitts%20and%20Nevis/1/St.%20Kitts%20and%20Nevis%20INDC.pdf</t>
    <phoneticPr fontId="7"/>
  </si>
  <si>
    <t>https://www4.unfccc.int/sites/submissions/INDC/Published%20Documents/Tonga/1/Tonga%20INDC.pdf</t>
    <phoneticPr fontId="7"/>
  </si>
  <si>
    <t>https://www4.unfccc.int/sites/submissions/INDC/Published%20Documents/Rwanda/1/INDC_Rwanda_Nov.2015.pdf</t>
    <phoneticPr fontId="7"/>
  </si>
  <si>
    <t>https://www4.unfccc.int/sites/submissions/INDC/Published%20Documents/Brunei/1/Brunei%20Darussalam%20INDC_FINAL_30%20November%202015.pdf</t>
    <phoneticPr fontId="7"/>
  </si>
  <si>
    <t>https://www4.unfccc.int/sites/submissions/INDC/Published%20Documents/Angola/1/INDC%20Angola%20deposito.pdf</t>
    <phoneticPr fontId="7"/>
  </si>
  <si>
    <t>https://www4.unfccc.int/sites/submissions/INDC/Published%20Documents/Palau/1/Palau_INDC.Final%20Copy.pdf</t>
    <phoneticPr fontId="7"/>
  </si>
  <si>
    <t>https://www4.unfccc.int/sites/submissions/INDC/Published%20Documents/Nigeria/1/Approved%20Nigeria's%20INDC_271115.pdf</t>
    <phoneticPr fontId="7"/>
  </si>
  <si>
    <t>https://www4.unfccc.int/sites/submissions/INDC/Published%20Documents/Tuvalu/1/TUVALU%20INDC.pdf</t>
    <phoneticPr fontId="7"/>
  </si>
  <si>
    <t>https://www4.unfccc.int/sites/submissions/INDC/Published%20Documents/Jamaica/1/Jamaica's%20INDC_2015-11-25.pdf</t>
    <phoneticPr fontId="7"/>
  </si>
  <si>
    <t>https://www4.unfccc.int/sites/submissions/INDC/Published%20Documents/Niue/1/Niue%20INDC%20Final.pdf</t>
    <phoneticPr fontId="7"/>
  </si>
  <si>
    <t>https://www4.unfccc.int/sites/submissions/INDC/Published%20Documents/New%20Zealand/1/New%20Zealand%20INDC%202015.pdf</t>
    <phoneticPr fontId="7"/>
  </si>
  <si>
    <t>https://www4.unfccc.int/sites/submissions/INDC/Published%20Documents/Kuwait/1/Kuwait_INDCs_English_Version.pdf</t>
    <phoneticPr fontId="7"/>
  </si>
  <si>
    <t>https://www4.unfccc.int/sites/submissions/INDC/Published%20Documents/Bahrain/1/INDC_Kingdom_of_Bahrain.pdf</t>
    <phoneticPr fontId="7"/>
  </si>
  <si>
    <t>https://www4.unfccc.int/sites/submissions/INDC/Published%20Documents/Micronesia/1/INDC%20Federated%20States%20of%20MICRONESIA.pdf</t>
    <phoneticPr fontId="7"/>
  </si>
  <si>
    <t>https://www4.unfccc.int/sites/submissions/INDC/Published%20Documents/Yemen/1/Yemen%20INDC%2021%20Nov.%202015.pdf</t>
    <phoneticPr fontId="7"/>
  </si>
  <si>
    <t>https://www4.unfccc.int/sites/submissions/INDC/Published%20Documents/Cuba/1/Republic%20of%20Cuba-INDCs-Nov2015.pdf</t>
    <phoneticPr fontId="7"/>
  </si>
  <si>
    <t>https://www4.unfccc.int/sites/submissions/INDC/Published%20Documents/Samoa/1/Samoa%20INDC_Submission%20to%20UNFCCC.pdf</t>
    <phoneticPr fontId="7"/>
  </si>
  <si>
    <t>https://www4.unfccc.int/sites/submissions/INDC/Published%20Documents/South%20Sudan/1/South%20Sudan%20Intended%20Nationally%20Determined%20%20%20%20Contribution.pdf</t>
    <phoneticPr fontId="7"/>
  </si>
  <si>
    <t>https://www4.unfccc.int/sites/submissions/INDC/Published%20Documents/Guyana/1/Guyana's%20revised%20iNDC%20-%20Final.pdf</t>
    <phoneticPr fontId="7"/>
  </si>
  <si>
    <t>https://www4.unfccc.int/sites/submissions/INDC/Published%20Documents/Iran/1/INDC%20Iran%20Final%20Text.pdf</t>
    <phoneticPr fontId="7"/>
  </si>
  <si>
    <t>https://www4.unfccc.int/sites/submissions/INDC/Published%20Documents/Qatar/1/Qatar%20INDCs%20Report%20-English.pdf</t>
    <phoneticPr fontId="7"/>
  </si>
  <si>
    <t>https://www4.unfccc.int/sites/submissions/INDC/Published%20Documents/Cook%20Islands/1/Cook%20Islands%20INDCsFINAL7Nov.pdf</t>
    <phoneticPr fontId="7"/>
  </si>
  <si>
    <t>https://www4.unfccc.int/sites/submissions/INDC/Published%20Documents/Saint%20Lucia/1/Saint%20Lucia's%20INDC%2018th%20November%202015.pdf</t>
    <phoneticPr fontId="7"/>
  </si>
  <si>
    <t>https://www4.unfccc.int/sites/submissions/INDC/Published%20Documents/Saint%20Vincent%20and%20Grenadines/1/SVG_INDC_Final.pdf</t>
    <phoneticPr fontId="7"/>
  </si>
  <si>
    <t>https://www4.unfccc.int/sites/submissions/INDC/Published%20Documents/Bahamas/1/Bahamas%20INDC%20Submission.pdf</t>
    <phoneticPr fontId="7"/>
  </si>
  <si>
    <t>https://www4.unfccc.int/sites/submissions/INDC/Published%20Documents/Somalia/1/Somalia's%20INDCs.pdf</t>
    <phoneticPr fontId="7"/>
  </si>
  <si>
    <t>https://www4.unfccc.int/sites/submissions/INDC/Published%20Documents/Nauru/1/Nauru%20INDC%20Submission_Final.pdf</t>
    <phoneticPr fontId="7"/>
  </si>
  <si>
    <t>https://www4.unfccc.int/sites/submissions/INDC/Published%20Documents/El%20Salvador/1/EL%20SALVADOR-INTENDED%20NATIONALLY%20DETERMINED%20CONTRIBUTION.pdf</t>
    <phoneticPr fontId="7"/>
  </si>
  <si>
    <t>https://www4.unfccc.int/sites/submissions/INDC/Published%20Documents/Egypt/1/Egyptian%20INDC.pdf</t>
    <phoneticPr fontId="7"/>
  </si>
  <si>
    <t>[Translated]  On this contribution, in October 2016, El Salvador established a goal of 46% reduction of GHG emissions with respect to growth without specific mitigation actions or "Business as usual" (BAU) for the year 2025. It could achieve a additional percentage of 15%, conditional on financial support for the development of an additional 92 MW from geothermal generation to start operations in the year 2020.</t>
    <phoneticPr fontId="7"/>
  </si>
  <si>
    <t>Relative emission reduction</t>
    <phoneticPr fontId="7"/>
  </si>
  <si>
    <t>https://www4.unfccc.int/sites/submissions/INDC/Published%20Documents/Iraq/1/INDC-Iraq.pdf</t>
    <phoneticPr fontId="7"/>
  </si>
  <si>
    <t>https://www4.unfccc.int/sites/submissions/INDC/Published%20Documents/Sudan/1/28Oct15-Sudan%20INDC.pdf</t>
    <phoneticPr fontId="7"/>
  </si>
  <si>
    <t>https://www4.unfccc.int/sites/submissions/INDC/Published%20Documents/Saudi%20Arabia/1/KSA-INDCs%20English.pdf</t>
    <phoneticPr fontId="7"/>
  </si>
  <si>
    <t>https://www4.unfccc.int/sites/submissions/INDC/Published%20Documents/Fiji/1/FIJI_iNDC_Final_051115.pdf</t>
    <phoneticPr fontId="7"/>
  </si>
  <si>
    <t>https://www4.unfccc.int/sites/submissions/INDC/Published%20Documents/Burundi/1/Burundi_INDC-english%20version.pdf</t>
    <phoneticPr fontId="7"/>
  </si>
  <si>
    <t>https://www4.unfccc.int/sites/submissions/INDC/Published%20Documents/Uganda/1/INDC%20Uganda%20final%20%2014%20October%20%202015,%20minor%20correction,28.10.15.pdf</t>
    <phoneticPr fontId="7"/>
  </si>
  <si>
    <t>https://www4.unfccc.int/sites/submissions/INDC/Published%20Documents/Djibouti/1/INDC-Djibouti_ENG.pdf</t>
    <phoneticPr fontId="7"/>
  </si>
  <si>
    <t>https://www4.unfccc.int/sites/submissions/INDC/Published%20Documents/Suriname/1/INDC-2-Suriname%20300915.pdf</t>
    <phoneticPr fontId="7"/>
  </si>
  <si>
    <t>https://www4.unfccc.int/sites/submissions/INDC/Published%20Documents/United%20Arab%20Emirates/1/UAE%20INDC%20-%2022%20October.pdf</t>
    <phoneticPr fontId="7"/>
  </si>
  <si>
    <t>BAU</t>
    <phoneticPr fontId="7"/>
  </si>
  <si>
    <t>https://www4.unfccc.int/sites/submissions/INDC/Published%20Documents/Togo/1/INDC%20Togo_english%20version.pdf</t>
    <phoneticPr fontId="7"/>
  </si>
  <si>
    <t>https://www4.unfccc.int/sites/submissions/INDC/Published%20Documents/Trinidad%20and%20Tobago/1/Trinidad%20and%20Tobago%20Final%20INDC.pdf</t>
    <phoneticPr fontId="7"/>
  </si>
  <si>
    <t>https://www4.unfccc.int/sites/submissions/INDC/Published%20Documents/Guinea/1/INDC_Guinea_english_version%20UNFCCC_20151016170448_232956.docx</t>
    <phoneticPr fontId="7"/>
  </si>
  <si>
    <t>https://www4.unfccc.int/sites/submissions/INDC/Published%20Documents/Oman/1/OMAN%20INDCs.pdf</t>
    <phoneticPr fontId="7"/>
  </si>
  <si>
    <t>https://www4.unfccc.int/sites/submissions/INDC/Published%20Documents/Antigua%20and%20Barbuda/1/INDC_Antigua_Barbuda.pdf</t>
    <phoneticPr fontId="7"/>
  </si>
  <si>
    <t>https://www4.unfccc.int/sites/submissions/INDC/Published%20Documents/Afghanistan/1/INDC_AFG_Paper_En_20150927_.docx%20FINAL.pdf</t>
    <phoneticPr fontId="7"/>
  </si>
  <si>
    <t>https://www4.unfccc.int/sites/submissions/INDC/Published%20Documents/Ecuador/1/Ecuador%20INDC%2001-10-2015%20-%20english%20unofficial%20translation.pdf</t>
    <phoneticPr fontId="7"/>
  </si>
  <si>
    <t>https://www4.unfccc.int/sites/submissions/INDC/Published%20Documents/Bolivia/1/INDC-Bolivia-english.pdf</t>
    <phoneticPr fontId="7"/>
  </si>
  <si>
    <t>https://www4.unfccc.int/sites/submissions/INDC/Published%20Documents/Bosnia-Herzegovina/1/INDC%20Bosnia%20and%20Herzegovina.pdf</t>
    <phoneticPr fontId="7"/>
  </si>
  <si>
    <t>https://www4.unfccc.int/sites/submissions/INDC/Published%20Documents/Malawi/1/MALAWI%20INDC%20SUBMITTED%20TO%20UNFCCC%20REV%20pdf.pdf</t>
    <phoneticPr fontId="7"/>
  </si>
  <si>
    <t>https://www4.unfccc.int/sites/submissions/INDC/Published%20Documents/Argentina/1/Argentina%20INDC%20Non-Official%20Translation.pdf</t>
    <phoneticPr fontId="7"/>
  </si>
  <si>
    <t>https://www4.unfccc.int/sites/submissions/INDC/Published%20Documents/Mozambique/1/MOZ_INDC_Final_Version.pdf</t>
    <phoneticPr fontId="7"/>
  </si>
  <si>
    <t>https://www4.unfccc.int/sites/submissions/INDC/Published%20Documents/India/1/INDIA%20INDC%20TO%20UNFCCC.pdf</t>
    <phoneticPr fontId="7"/>
  </si>
  <si>
    <t>https://www4.unfccc.int/sites/submissions/INDC/Published%20Documents/Belize/1/Belize%20INDCS.pdf</t>
    <phoneticPr fontId="7"/>
  </si>
  <si>
    <t>https://www4.unfccc.int/sites/submissions/INDC/Published%20Documents/Algeria/1/Algeria%20-%20INDC%20(English%20unofficial%20translation)%20September%2003,2015.pdf</t>
    <phoneticPr fontId="7"/>
  </si>
  <si>
    <t>https://www4.unfccc.int/sites/submissions/INDC/Published%20Documents/Paraguay/1/Documento%20INDC%20Paraguay%2001-10-15.pdf</t>
    <phoneticPr fontId="7"/>
  </si>
  <si>
    <t>https://www4.unfccc.int/sites/submissions/INDC/Published%20Documents/Botswana/1/BOTSWANA.pdf</t>
    <phoneticPr fontId="7"/>
  </si>
  <si>
    <t>https://www4.unfccc.int/sites/submissions/INDC/Published%20Documents/Chad/1/INDC%20Chad_Official%20version_English.pdf</t>
    <phoneticPr fontId="7"/>
  </si>
  <si>
    <t>https://www4.unfccc.int/sites/submissions/INDC/Published%20Documents/Sierra%20Leone/1/Sierra%20Leone%20INDC%20Submission%20to%20UNFCCC%20Secretariat%20%2001102015.doc</t>
    <phoneticPr fontId="7"/>
  </si>
  <si>
    <t>https://www4.unfccc.int/sites/submissions/INDC/Published%20Documents/Honduras/1/Honduras%20INDC_esp.pdf</t>
    <phoneticPr fontId="7"/>
  </si>
  <si>
    <t>https://www4.unfccc.int/sites/submissions/INDC/Published%20Documents/Thailand/1/Thailand_INDC.pdf</t>
    <phoneticPr fontId="7"/>
  </si>
  <si>
    <t>https://www4.unfccc.int/sites/submissions/INDC/Published%20Documents/Laos/1/Lao%20PDR%20INDC.pdf</t>
    <phoneticPr fontId="7"/>
  </si>
  <si>
    <t>https://www4.unfccc.int/sites/submissions/INDC/Published%20Documents/Philippines/1/Philippines%20-%20Final%20INDC%20submission.pdf</t>
    <phoneticPr fontId="7"/>
  </si>
  <si>
    <t>https://www4.unfccc.int/sites/submissions/INDC/Published%20Documents/Cameroon/1/CPDN%20CMR%20Final.pdf</t>
    <phoneticPr fontId="7"/>
  </si>
  <si>
    <t>https://www4.unfccc.int/sites/submissions/INDC/Published%20Documents/San%20Marino/1/SAN%20MARINO%20INDC%20EN.pdf</t>
    <phoneticPr fontId="7"/>
  </si>
  <si>
    <t>https://www4.unfccc.int/sites/submissions/INDC/Published%20Documents/Turkey/1/The_INDC_of_TURKEY_v.15.19.30.pdf</t>
    <phoneticPr fontId="7"/>
  </si>
  <si>
    <t>https://www4.unfccc.int/sites/submissions/INDC/Published%20Documents/Papua%20New%20Guinea/1/PNG_INDC%20to%20the%20UNFCCC.pdf</t>
    <phoneticPr fontId="7"/>
  </si>
  <si>
    <t>https://www4.unfccc.int/sites/submissions/INDC/Published%20Documents/Gambia/1/The%20INDC%20OF%20THE%20GAMBIA.pdf</t>
    <phoneticPr fontId="7"/>
  </si>
  <si>
    <t>https://www4.unfccc.int/sites/submissions/INDC/Published%20Documents/Liberia/1/INDC%20Final%20Submission%20Sept%2030%202015.002.pdf</t>
    <phoneticPr fontId="7"/>
  </si>
  <si>
    <t>https://www4.unfccc.int/sites/submissions/INDC/Published%20Documents/Tajikistan/1/INDC-TJK%20final%20ENG.pdf</t>
    <phoneticPr fontId="7"/>
  </si>
  <si>
    <t>https://www4.unfccc.int/sites/submissions/INDC/Published%20Documents/Lesotho/1/Lesotho's%20INDC%20Report%20%20-%20September%202015.pdf</t>
    <phoneticPr fontId="7"/>
  </si>
  <si>
    <t>https://www4.unfccc.int/sites/submissions/INDC/Published%20Documents/Cambodia/1/Cambodia's%20INDC%20to%20the%20UNFCCC.pdf</t>
    <phoneticPr fontId="7"/>
  </si>
  <si>
    <t>https://www4.unfccc.int/sites/submissions/INDC/Published%20Documents/Bhutan/1/Bhutan-INDC-20150930.pdf</t>
    <phoneticPr fontId="7"/>
  </si>
  <si>
    <t>https://www4.unfccc.int/sites/submissions/INDC/Published%20Documents/Costa%20Rica/1/INDC%20Costa%20Rica%20Version%202%200%20final%20ENG.pdf</t>
    <phoneticPr fontId="7"/>
  </si>
  <si>
    <t>https://www4.unfccc.int/sites/submissions/INDC/Published%20Documents/Zimbabwe/1/Zimbabwe%20Intended%20Nationally%20Determined%20Contribution%202015.pdf</t>
    <phoneticPr fontId="7"/>
  </si>
  <si>
    <t>https://www4.unfccc.int/sites/submissions/INDC/Published%20Documents/Turkmenistan/1/INDC_Turkmenistan.pdf</t>
    <phoneticPr fontId="7"/>
  </si>
  <si>
    <t>https://www4.unfccc.int/sites/submissions/INDC/Published%20Documents/Solomon%20Islands/1/SOLOMON%20ISLANDS%20INDC.pdf</t>
    <phoneticPr fontId="7"/>
  </si>
  <si>
    <t>https://www4.unfccc.int/sites/submissions/INDC/Published%20Documents/Jordan/1/Jordan%20INDCs%20Final.pdf</t>
    <phoneticPr fontId="7"/>
  </si>
  <si>
    <t>https://www4.unfccc.int/sites/submissions/INDC/Published%20Documents/Cabo%20Verde/1/Cabo_Verde_INDC_.pdf</t>
    <phoneticPr fontId="7"/>
  </si>
  <si>
    <t>https://www4.unfccc.int/sites/submissions/INDC/Published%20Documents/Grenada/1/Grenada%20INDC.pdf</t>
    <phoneticPr fontId="7"/>
  </si>
  <si>
    <t>https://www4.unfccc.int/sites/submissions/INDC/Published%20Documents/Barbados/1/Barbados%20INDC%20FINAL%20September%20%2028,%202015.pdf</t>
    <phoneticPr fontId="7"/>
  </si>
  <si>
    <t>https://www4.unfccc.int/sites/submissions/INDC/Published%20Documents/Viet%20Nam/1/VIETNAM'S%20INDC.pdf</t>
    <phoneticPr fontId="7"/>
  </si>
  <si>
    <t>https://www4.unfccc.int/sites/submissions/INDC/Published%20Documents/Mauritania/1/INDC%20MAURITANIA.pdf</t>
    <phoneticPr fontId="7"/>
  </si>
  <si>
    <t>https://www4.unfccc.int/sites/submissions/INDC/Published%20Documents/Guinea%20Bissau/1/GUINEA-BISSAU_INDC_Version%20to%20the%20UNFCCC%20(eng).pdf</t>
    <phoneticPr fontId="7"/>
  </si>
  <si>
    <t>https://www4.unfccc.int/sites/submissions/INDC/Published%20Documents/C%C3%B4te%20d'Ivoire/1/Document_INDC_CI_22092015.pdf</t>
    <phoneticPr fontId="7"/>
  </si>
  <si>
    <t>https://www4.unfccc.int/sites/submissions/INDC/Published%20Documents/Benin/1/INDC%20BENIN%20%20Version%20finale%20revue%20septembre%202015.pdf</t>
    <phoneticPr fontId="7"/>
  </si>
  <si>
    <t>https://www4.unfccc.int/sites/submissions/INDC/Published%20Documents/Lebanon/1/Republic%20of%20Lebanon%20-%20INDC%20-%20September%202015.pdf</t>
    <phoneticPr fontId="7"/>
  </si>
  <si>
    <t>https://www4.unfccc.int/sites/submissions/INDC/Published%20Documents/Ukraine/1/150930_Ukraine_INDC.pdf</t>
    <phoneticPr fontId="7"/>
  </si>
  <si>
    <t>https://www4.unfccc.int/sites/submissions/INDC/Published%20Documents/Haiti/1/CPDN_Republique%20d'Haiti.pdf</t>
    <phoneticPr fontId="7"/>
  </si>
  <si>
    <t>https://www4.unfccc.int/sites/submissions/INDC/Published%20Documents/Sao%20Tome%20and%20Principe/1/Short_STP_INDC%20_Ingles_30.09.pdf</t>
    <phoneticPr fontId="7"/>
  </si>
  <si>
    <t>https://www4.unfccc.int/sites/submissions/INDC/Published%20Documents/Guatemala/1/Gobierno%20de%20Guatemala%20INDC-UNFCCC%20Sept%202015.pdf</t>
    <phoneticPr fontId="7"/>
  </si>
  <si>
    <t>https://www4.unfccc.int/sites/submissions/INDC/Published%20Documents/Israel/1/Israel%20INDC.pdf</t>
    <phoneticPr fontId="7"/>
  </si>
  <si>
    <t>https://www4.unfccc.int/sites/submissions/INDC/Published%20Documents/Dominica/1/Commonwealth%20of%20Dominica-%20Intended%20Nationally%20Determined%20Contributions%20(INDC).pdf</t>
    <phoneticPr fontId="7"/>
  </si>
  <si>
    <t>https://www4.unfccc.int/sites/submissions/INDC/Published%20Documents/Congo/1/INDC_Congo_RAPPORT.pdf</t>
    <phoneticPr fontId="7"/>
  </si>
  <si>
    <t>https://www4.unfccc.int/sites/submissions/INDC/Published%20Documents/Azerbaijan/1/INDC%20Azerbaijan.pdf</t>
    <phoneticPr fontId="7"/>
  </si>
  <si>
    <t>https://www4.unfccc.int/sites/submissions/INDC/Published%20Documents/United%20Republic%20of%20Tanzania%E2%80%8B/1/INDCs_The%20United%20Republic%20of%20Tanzania.pdf</t>
    <phoneticPr fontId="7"/>
  </si>
  <si>
    <t>https://www4.unfccc.int/sites/submissions/INDC/Published%20Documents/Swaziland/1/Swaziland's%20INDC.pdf</t>
    <phoneticPr fontId="7"/>
  </si>
  <si>
    <t>https://www4.unfccc.int/sites/submissions/INDC/Published%20Documents/Zambia/1/FINAL+ZAMBIA'S+INDC_1.pdf</t>
    <phoneticPr fontId="7"/>
  </si>
  <si>
    <t>https://www4.unfccc.int/sites/submissions/INDC/Published%20Documents/Namibia/1/INDC%20of%20Namibia%20Final%20pdf.pdf</t>
    <phoneticPr fontId="7"/>
  </si>
  <si>
    <t>https://www4.unfccc.int/sites/submissions/INDC/Published%20Documents/Uruguay/1/INDC%20Uruguay%20(English-unofficial%20translation).pdf</t>
    <phoneticPr fontId="7"/>
  </si>
  <si>
    <t>https://www4.unfccc.int/sites/submissions/INDC/Published%20Documents/Kyrgyzstan/1/Kyrgyzstan%20INDC%20_ENG_%20final.pdf</t>
    <phoneticPr fontId="7"/>
  </si>
  <si>
    <t>https://www4.unfccc.int/sites/submissions/INDC/Published%20Documents/Armenia/1/INDC-Armenia.pdf</t>
    <phoneticPr fontId="7"/>
  </si>
  <si>
    <t>https://www4.unfccc.int/sites/submissions/INDC/Published%20Documents/Mali/1/CPDN_MALI_VFsegal.pdf</t>
    <phoneticPr fontId="7"/>
  </si>
  <si>
    <t>https://www4.unfccc.int/sites/submissions/INDC/Published%20Documents/Vanuatu/1/VANUATU%20%20INDC%20UNFCCC%20Submission.pdf</t>
    <phoneticPr fontId="7"/>
  </si>
  <si>
    <t>https://www4.unfccc.int/sites/submissions/INDC/Published%20Documents/Peru/1/iNDC%20Per%C3%BA%20english.pdf</t>
    <phoneticPr fontId="7"/>
  </si>
  <si>
    <t>https://www4.unfccc.int/sites/submissions/INDC/Published%20Documents/Kazakhstan/1/INDC%20Kz_eng.pdf</t>
    <phoneticPr fontId="7"/>
  </si>
  <si>
    <t>https://www4.unfccc.int/sites/submissions/INDC/Published%20Documents/Maldives/1/Maldives%20INDC%20.pdf</t>
    <phoneticPr fontId="7"/>
  </si>
  <si>
    <t>https://www4.unfccc.int/sites/submissions/INDC/Published%20Documents/Myanmar/1/Myanmar's%20INDC.pdf</t>
    <phoneticPr fontId="7"/>
  </si>
  <si>
    <t>https://www4.unfccc.int/sites/submissions/INDC/Published%20Documents/Mauritius/1/Final%20INDC%20for%20Mauritius%2028%20Sept%202015.pdf</t>
    <phoneticPr fontId="7"/>
  </si>
  <si>
    <t>https://www4.unfccc.int/sites/submissions/INDC/Published%20Documents/Brazil/1/BRAZIL%20iNDC%20english%20FINAL.pdf</t>
    <phoneticPr fontId="7"/>
  </si>
  <si>
    <t>https://www4.unfccc.int/sites/submissions/INDC/Published%20Documents/Central%20African%20Republic/1/CPDN_R%C3%A9publique%20Centrafricaine_EN.pdf</t>
    <phoneticPr fontId="7"/>
  </si>
  <si>
    <t>https://www4.unfccc.int/sites/submissions/INDC/Published%20Documents/Senegal/1/CPDN%20-%20S%C3%A9n%C3%A9gal.pdf</t>
    <phoneticPr fontId="7"/>
  </si>
  <si>
    <t>https://www4.unfccc.int/sites/submissions/INDC/Published%20Documents/Kiribati/1/INDC_KIRIBATI.pdf</t>
    <phoneticPr fontId="7"/>
  </si>
  <si>
    <t>https://www4.unfccc.int/sites/submissions/INDC/Published%20Documents/Republic%20of%20Moldova/1/INDC_Republic_of_Moldova_25.09.2015.pdf</t>
    <phoneticPr fontId="7"/>
  </si>
  <si>
    <t>https://www4.unfccc.int/sites/submissions/INDC/Published%20Documents/South%20Africa/1/South%20Africa.pdf</t>
    <phoneticPr fontId="7"/>
  </si>
  <si>
    <t>https://www4.unfccc.int/sites/submissions/INDC/Published%20Documents/Belarus/1/Belarus_INDC_Eng_25.09.2015.pdf</t>
    <phoneticPr fontId="7"/>
  </si>
  <si>
    <t>https://www4.unfccc.int/sites/submissions/INDC/Published%20Documents/Georgia/1/INDC_of_Georgia.pdf</t>
    <phoneticPr fontId="7"/>
  </si>
  <si>
    <t>https://www4.unfccc.int/sites/submissions/INDC/Published%20Documents/Seychelles/1/INDC%20of%20Seychelles.pdf</t>
    <phoneticPr fontId="7"/>
  </si>
  <si>
    <t>https://www4.unfccc.int/sites/submissions/INDC/Published%20Documents/Bangladesh/1/INDC_2015_of_Bangladesh.pdf</t>
    <phoneticPr fontId="7"/>
  </si>
  <si>
    <t>https://www4.unfccc.int/sites/submissions/INDC/Published%20Documents/Eritrea/1/ERITREA'S%20INDC%20REPORT%20SEP2015.pdf</t>
    <phoneticPr fontId="7"/>
  </si>
  <si>
    <t>https://www4.unfccc.int/sites/submissions/INDC/Published%20Documents/Mongolia/1/150924_INDCs%20of%20Mongolia.pdf</t>
    <phoneticPr fontId="7"/>
  </si>
  <si>
    <t>https://www4.unfccc.int/sites/submissions/INDC/Published%20Documents/Indonesia/1/INDC_REPUBLIC%20OF%20INDONESIA.pdf</t>
    <phoneticPr fontId="7"/>
  </si>
  <si>
    <t>https://www4.unfccc.int/sites/submissions/INDC/Published%20Documents/Madagascar/1/Madagascar%20INDC%20Eng.pdf</t>
    <phoneticPr fontId="7"/>
  </si>
  <si>
    <t>https://www4.unfccc.int/sites/submissions/INDC/Published%20Documents/Albania/1/Albania_INDC_submission%20(1).pdf</t>
    <phoneticPr fontId="7"/>
  </si>
  <si>
    <t>Lesotho</t>
    <phoneticPr fontId="7"/>
  </si>
  <si>
    <t xml:space="preserve">
(a) Unconditional target: 10% reduction in GHG emissions compared to business as usual (BAU) by 2030.
(b) Conditional target: An additional 25% reduction under certain conditions which would bring the total GHG reduction to sum 35% of (a) and (b) below BAU emission levels by 2030
</t>
    <phoneticPr fontId="7"/>
  </si>
  <si>
    <t>1. Improve Resilience of Livestock Production Systems under Extreme Climatic Conditions in Various Livelihood Zones
2. Promoting Sustainable Crop Based Livelihood Systems in Foothills, Lowlands and  the Senqu River Valley
3. Capacity Building and Policy Reform to Integrate Climate Change in Sectoral Development Plans
4. Improvement of an Early Warning System against Climate Induced Disasters and Hazards
5. Securing Village Water Supply for Communities in the Southern Lowlands
6. Management and Reclamation of Degraded and Eroded Land in the Flood Prone Areas (Pilot Project for Western Lowlands)
7. Conservation and Rehabilitation of Degraded Wetlands in the Mountain Areas
8. Improvement of Community Food Security Through the Promotion of Food Processing and Preservation Technologies
9. Strengthening and stabilizing eco-tourism based rural livelihoods
10. Promote Wind, Solar and Biogas Energy Use as a Supplement to Hydropower Energy
11. Stabilizing Community Livelihoods which are Adversely Affected by Climate  Change Through Improvement of Small Scale Industries</t>
    <phoneticPr fontId="7"/>
  </si>
  <si>
    <t>• Lack of tools and techniques hinder adaptation and mitigation to climate change. Limited national research capacity and technical  analysis are some of the key barriers for technology development in Lesotho. There is insufficient technological capacity to undertake effective research on climate change modelling and risks, monitoring of climate change impacts and implementation of adaptation measures. To address these challenges, alliances and cooperation with overseas partners including development partners need to be continued. There is a need to design a national inventory system and to develop a framework for domestic Monitoring Reporting and Verification (MRV) of GHG emissions. There is a further need to access expertise and develop capacities for technology development and transfer.</t>
    <phoneticPr fontId="7"/>
  </si>
  <si>
    <t>(c) Financial Needs: Meeting the conditional target requires an overall investment estimated at 0.59 billion US$ between 2015 and 2030 of which 0.32 billion US$ is conditional upon the following:
• accessing new sources of finance and increased support compared to what was received in previous years to be mobilised through new financial mechanisms such as the Green Climate Fund
• Legally binding Paris Agreement.
• The total annual savings in the conditional scenario is 0.14 billion US$
• As a Least Developed Country (LDC), Lesotho has limited financial resources to implement climate change initiatives. Many adaptation and mitigation actions are limited by the cost and suitability of appropriate technologies. Slow payback of the investment in climate change adaptation actions, and Low public investment and private participation in the adaptation actions.</t>
    <phoneticPr fontId="7"/>
  </si>
  <si>
    <t>https://www4.unfccc.int/sites/submissions/INDC/Published%20Documents/Ghana/1/GH_INDC_2392015.pdf</t>
    <phoneticPr fontId="7"/>
  </si>
  <si>
    <t>https://www4.unfccc.int/sites/submissions/INDC/Published%20Documents/Montenegro/1/INDCSubmission_%20Montenegro.docx</t>
    <phoneticPr fontId="7"/>
  </si>
  <si>
    <t>https://www4.unfccc.int/sites/submissions/INDC/Published%20Documents/Equatorial%20Guinea/1/Rep%C3%BAblica%20de%20Guinea%20Ecuatorial_INDC.doc</t>
    <phoneticPr fontId="7"/>
  </si>
  <si>
    <t>https://www4.unfccc.int/sites/submissions/INDC/Published%20Documents/Comoros/1/INDC_Comores_Version_Francaise.pdf</t>
    <phoneticPr fontId="7"/>
  </si>
  <si>
    <t>https://www4.unfccc.int/sites/submissions/INDC/Published%20Documents/Tunisia/1/INDC-Tunisia-English%20Version.pdf</t>
    <phoneticPr fontId="7"/>
  </si>
  <si>
    <t>https://www4.unfccc.int/sites/submissions/INDC/Published%20Documents/Colombia/1/Colombia%20iNDC%20Unofficial%20translation%20Eng.pdf</t>
    <phoneticPr fontId="7"/>
  </si>
  <si>
    <t>https://www4.unfccc.int/sites/submissions/INDC/Published%20Documents/Dominican%20Republic/1/INDC-DR%20August%202015%20(unofficial%20translation).pdf</t>
    <phoneticPr fontId="7"/>
  </si>
  <si>
    <t>https://www4.unfccc.int/sites/submissions/INDC/Published%20Documents/Democratic%20Republic%20of%20the%20Congo/1/CPDN%20-%20R%C3%A9p%20D%C3%A9m%20du%20Congo.pdf</t>
    <phoneticPr fontId="7"/>
  </si>
  <si>
    <t>https://www4.unfccc.int/sites/submissions/INDC/Published%20Documents/Australia/1/Australias%20Intended%20Nationally%20Determined%20Contribution%20to%20a%20new%20Climate%20Change%20Agreement%20-%20August%202015.pdf</t>
    <phoneticPr fontId="7"/>
  </si>
  <si>
    <t>https://www4.unfccc.int/sites/submissions/INDC/Published%20Documents/The%20former%20Yugoslav%20Republic%20of%20Macedonia/Submission_Republic_of_Macedonia_20150805144001_135181.pdf</t>
    <phoneticPr fontId="7"/>
  </si>
  <si>
    <t>https://www4.unfccc.int/sites/submissions/INDC/Published%20Documents/Monaco/1/Monaco_INDC.pdf</t>
    <phoneticPr fontId="7"/>
  </si>
  <si>
    <t>https://www4.unfccc.int/sites/submissions/INDC/Published%20Documents/Kenya/1/Kenya_INDC_20150723.pdf</t>
    <phoneticPr fontId="7"/>
  </si>
  <si>
    <t>https://www4.unfccc.int/sites/submissions/INDC/Published%20Documents/Marshall%20Islands/1/150721%20RMI%20INDC%20JULY%202015%20FINAL%20SUBMITTED.pdf</t>
    <phoneticPr fontId="7"/>
  </si>
  <si>
    <t>https://www4.unfccc.int/sites/submissions/INDC/Published%20Documents/Japan/1/20150717_Japan's%20INDC.pdf</t>
    <phoneticPr fontId="7"/>
  </si>
  <si>
    <t>https://www4.unfccc.int/sites/submissions/INDC/Published%20Documents/Singapore/1/Singapore%20INDC.pdf</t>
    <phoneticPr fontId="7"/>
  </si>
  <si>
    <t>https://www4.unfccc.int/sites/submissions/INDC/Published%20Documents/Republic%20of%20Korea/1/INDC%20Submission%20by%20the%20Republic%20of%20Korea%20on%20June%2030.pdf</t>
    <phoneticPr fontId="7"/>
  </si>
  <si>
    <t>https://www4.unfccc.int/sites/submissions/INDC/Published%20Documents/China/1/China's%20INDC%20-%20on%2030%20June%202015.pdf</t>
    <phoneticPr fontId="7"/>
  </si>
  <si>
    <t>https://www4.unfccc.int/sites/submissions/INDC/Published%20Documents/Iceland/1/INDC-ICELAND.pdf</t>
    <phoneticPr fontId="7"/>
  </si>
  <si>
    <t>https://www4.unfccc.int/sites/submissions/INDC/Published%20Documents/Serbia/1/Republic_of_Serbia.pdf</t>
    <phoneticPr fontId="7"/>
  </si>
  <si>
    <t>https://www4.unfccc.int/sites/submissions/INDC/Published%20Documents/Ethiopia/1/INDC-Ethiopia-100615.pdf</t>
    <phoneticPr fontId="7"/>
  </si>
  <si>
    <t>https://www4.unfccc.int/sites/submissions/INDC/Published%20Documents/Morocco/1/Morocco%20INDC%20submitted%20to%20UNFCCC%20-%205%20june%202015.pdf</t>
    <phoneticPr fontId="7"/>
  </si>
  <si>
    <t>https://www4.unfccc.int/sites/submissions/INDC/Published%20Documents/Canada/1/INDC%20-%20Canada%20-%20English.pdf</t>
    <phoneticPr fontId="7"/>
  </si>
  <si>
    <t>https://www4.unfccc.int/sites/submissions/INDC/Published%20Documents/Andorra/1/Andorra%20INDC-CPDN.pdf</t>
    <phoneticPr fontId="7"/>
  </si>
  <si>
    <t>https://www4.unfccc.int/sites/submissions/INDC/Published%20Documents/Liechtenstein/1/150422_INDC_FL.pdf</t>
    <phoneticPr fontId="7"/>
  </si>
  <si>
    <t>https://www4.unfccc.int/sites/submissions/INDC/Published%20Documents/Russia/1/Russian%20Submission%20INDC_rus.doc</t>
  </si>
  <si>
    <t>https://www4.unfccc.int/sites/submissions/INDC/Published%20Documents/Gabon/1/20150331%20INDC%20Gabon.pdf</t>
    <phoneticPr fontId="7"/>
  </si>
  <si>
    <t>https://www4.unfccc.int/sites/submissions/INDC/Published%20Documents/United%20States%20of%20America/1/U.S.%20Cover%20Note%20INDC%20and%20Accompanying%20Information.pdf</t>
    <phoneticPr fontId="7"/>
  </si>
  <si>
    <t>https://www4.unfccc.int/sites/submissions/INDC/Published%20Documents/Mexico/1/MEXICO%20INDC%2003.30.2015.pdf</t>
    <phoneticPr fontId="7"/>
  </si>
  <si>
    <t>https://www4.unfccc.int/sites/submissions/INDC/Published%20Documents/Norway/1/Norway%20INDC%2026MAR2015.pdf</t>
    <phoneticPr fontId="7"/>
  </si>
  <si>
    <t>https://www4.unfccc.int/sites/submissions/INDC/Published%20Documents/Latvia/1/LV-03-06-EU%20INDC.pdf</t>
    <phoneticPr fontId="7"/>
  </si>
  <si>
    <t>https://www4.unfccc.int/sites/submissions/INDC/Published%20Documents/Switzerland/1/15%2002%2027_INDC%20Contribution%20of%20Switzerland.pdf</t>
    <phoneticPr fontId="7"/>
  </si>
  <si>
    <t>https://www4.unfccc.int/sites/submissions/INDC/Published%20Documents/Burkina%20Faso/1/INDC%20BURKINA%20FASO%20280915.pdf</t>
    <phoneticPr fontId="7"/>
  </si>
  <si>
    <t>https://www4.unfccc.int/sites/submissions/INDC/Published%20Documents/Niger/1/Niger-INDC-final_Eng_20151020162516_65260.pdf</t>
    <phoneticPr fontId="7"/>
  </si>
  <si>
    <t>Equatorial Guinea</t>
    <phoneticPr fontId="7"/>
  </si>
  <si>
    <r>
      <t xml:space="preserve">Paris Agreement (PA) signature and ratification </t>
    </r>
    <r>
      <rPr>
        <sz val="11"/>
        <color theme="1"/>
        <rFont val="ＭＳ Ｐゴシック"/>
        <family val="2"/>
        <scheme val="minor"/>
      </rPr>
      <t>(in number of Parties)</t>
    </r>
    <phoneticPr fontId="7"/>
  </si>
  <si>
    <t>Europe
**</t>
    <phoneticPr fontId="7"/>
  </si>
  <si>
    <t>Nicaragua, Palestine, Syria</t>
    <phoneticPr fontId="7"/>
  </si>
  <si>
    <t>Libya</t>
    <phoneticPr fontId="7"/>
  </si>
  <si>
    <t>Nicaragua, Syria</t>
    <phoneticPr fontId="7"/>
  </si>
  <si>
    <t>first NDCs submitted</t>
    <phoneticPr fontId="7"/>
  </si>
  <si>
    <t>Total (NDCs submitted)</t>
    <phoneticPr fontId="7"/>
  </si>
  <si>
    <t>% Total/Parties 
(all to UNFCCC)</t>
    <phoneticPr fontId="7"/>
  </si>
  <si>
    <t>% Total/Parties
 (NDCs submitted)</t>
    <phoneticPr fontId="7"/>
  </si>
  <si>
    <t>No</t>
    <phoneticPr fontId="7"/>
  </si>
  <si>
    <t>Feb-2019</t>
    <phoneticPr fontId="7"/>
  </si>
  <si>
    <t>France</t>
    <phoneticPr fontId="7"/>
  </si>
  <si>
    <t>Eri Ikeda</t>
    <phoneticPr fontId="7"/>
  </si>
  <si>
    <t>Mar-2019</t>
    <phoneticPr fontId="7"/>
  </si>
  <si>
    <t>Relative emission reduction</t>
    <phoneticPr fontId="7"/>
  </si>
  <si>
    <t>Relative emission reduction</t>
    <phoneticPr fontId="7"/>
  </si>
  <si>
    <t>up to 130 million tons of CO2 emission avoidance</t>
    <phoneticPr fontId="7"/>
  </si>
  <si>
    <t>Apr-2019</t>
    <phoneticPr fontId="7"/>
  </si>
  <si>
    <t>• Modified Mexico's "Mitigation Target"
• Modified Saudi Arabia's "Mitigation Type" and "Mitigation Target"</t>
    <phoneticPr fontId="7"/>
  </si>
  <si>
    <t>• Modified "Global share (%)" of "GHG emissions" data 
• Added Suriname's first NDC submission date and made subsequent changes in Analytics</t>
    <phoneticPr fontId="7"/>
  </si>
  <si>
    <t>• Other changes in NDC Change Tracker
1) Shift the "region" column and change order of countries to A to Z (from regions)
2) Deleted flags
• Other changes in Analytics
1) Modified Table 6 title (minor editorial change)
2) Modified Table 2, 6 figures
3) Modified "North Africa &amp; Middle East" to "North Africa &amp; the Middle East" in Tables except Table 6 (editorial)
4) Modified "Latin America &amp; the Carribean" to "Latin America &amp; the Caribbean" in Tables except Table 6 (editorial)
5) Modified data format in Figure 10 (from % to absolute figures)
6) Added Memo column to list names of Parties etc. in Table 1
7) Deleted "Share of GHG emissions (UNFCCC)", "Reported Emissions, in million tonnes of CO₂e (UNFCCC, 2015)" and "Reported Global Share of GHG Emissions (UNFCCC, 2015)" from Table 1
8) Change title and calculation for Table 2, 3, 4, and 6 - from "INDCs" to "NDCs"
9) Change colour and graph type for Figure 1</t>
    <phoneticPr fontId="7"/>
  </si>
  <si>
    <t>• Change status of "Sectoral scope" in NDC Master Sheet
1) From N/A to Yes - "Transportation" for Japan, South Korea, and Indonesia in Master sheet
2) Subsequent change in Table 2 figure in Analytics sheet
• Other changes in Master sheet
1) Shift the "region" column and change order of countries to A to Z (from regions), adjusted analytics calculation formula on Table 2, 3 and 6 
2) Modified "Netherland" to "Netherlands"
3) Modified "Reported to UNFCCC (2015)" to "Emissions used for
threshold of entry into force of the PA (2015)" (AN-AP of Master sheet, data and its source remains to be the same)
4) Added comment to "Reference"
5) Removed flags
6) Editorial change in Mitigation Target for Afganistan, Albania
7) Fixed the website links for References</t>
    <phoneticPr fontId="7"/>
  </si>
  <si>
    <t>Absolute emission reduction</t>
    <phoneticPr fontId="7"/>
  </si>
  <si>
    <t>2010 
(2008 for the USCUSS sector)</t>
    <phoneticPr fontId="7"/>
  </si>
  <si>
    <t>Yes</t>
    <phoneticPr fontId="7"/>
  </si>
  <si>
    <t>N/A</t>
    <phoneticPr fontId="7"/>
  </si>
  <si>
    <t>No</t>
    <phoneticPr fontId="7"/>
  </si>
  <si>
    <t>[Translated] The priority sectors for adaptation to climate change, established by the National Climate Change Strategy (2012), are:
a) Human Settlements;
b) Water Heritage;
c) Natural Heritage;
d) Productive and Strategic Sectors;
e) Health; and,
f) Food Sovereignty, Agriculture, Livestock, Aquaculture and Fisheries.</t>
    <phoneticPr fontId="7"/>
  </si>
  <si>
    <t>Eri Ikeda
Tomohiko Hattori
Yuji Mizuno</t>
    <phoneticPr fontId="7"/>
  </si>
  <si>
    <t>June-2019</t>
    <phoneticPr fontId="7"/>
  </si>
  <si>
    <t>Relative emission reduction</t>
    <phoneticPr fontId="7"/>
  </si>
  <si>
    <t>Oman will control its expected GHG emissions growth by 2% to be 88714 Gg during the period from 2020 - 2030 as depicted in the following chart.</t>
    <phoneticPr fontId="7"/>
  </si>
  <si>
    <t>Eri Ikeda
Tomohiko Hattori</t>
    <phoneticPr fontId="7"/>
  </si>
  <si>
    <t>• Modified Oman's NDC information in "NDC Master Sheet", added  in "NDC Change Tracker", and made subsequent changes in "Analytics" and cover page ('numbers of NDC submitted')</t>
    <phoneticPr fontId="7"/>
  </si>
  <si>
    <t>• Modified Ecuador's NDC information in "NDC Master Sheet", added  in "NDC Change Tracker", and made subsequent changes in "Analytics" and cover page ('numbers of NDC submitted')</t>
    <phoneticPr fontId="7"/>
  </si>
  <si>
    <t>July-2019</t>
    <phoneticPr fontId="7"/>
  </si>
  <si>
    <t>BR</t>
    <phoneticPr fontId="7"/>
  </si>
  <si>
    <t>BUR</t>
    <phoneticPr fontId="7"/>
  </si>
  <si>
    <t>Year of submission</t>
    <phoneticPr fontId="7"/>
  </si>
  <si>
    <t xml:space="preserve">Year of submission </t>
    <phoneticPr fontId="7"/>
  </si>
  <si>
    <t>Transparency framework 
(Latest submission)</t>
    <phoneticPr fontId="7"/>
  </si>
  <si>
    <t>Type</t>
    <phoneticPr fontId="7"/>
  </si>
  <si>
    <t>• Added column for BR/BUR status of submission in NDC Master Sheet</t>
    <phoneticPr fontId="7"/>
  </si>
  <si>
    <t>Language</t>
    <phoneticPr fontId="7"/>
  </si>
  <si>
    <t>Original</t>
    <phoneticPr fontId="7"/>
  </si>
  <si>
    <t>English translation</t>
    <phoneticPr fontId="7"/>
  </si>
  <si>
    <t>French</t>
    <phoneticPr fontId="7"/>
  </si>
  <si>
    <t>Spanish</t>
    <phoneticPr fontId="7"/>
  </si>
  <si>
    <t>English</t>
    <phoneticPr fontId="7"/>
  </si>
  <si>
    <t>N/A</t>
    <phoneticPr fontId="7"/>
  </si>
  <si>
    <t>Spanish</t>
    <phoneticPr fontId="7"/>
  </si>
  <si>
    <t>French</t>
    <phoneticPr fontId="7"/>
  </si>
  <si>
    <t>English</t>
    <phoneticPr fontId="7"/>
  </si>
  <si>
    <t>Arabic</t>
    <phoneticPr fontId="7"/>
  </si>
  <si>
    <t>No</t>
    <phoneticPr fontId="7"/>
  </si>
  <si>
    <t>Russian</t>
    <phoneticPr fontId="7"/>
  </si>
  <si>
    <t>English/French</t>
    <phoneticPr fontId="7"/>
  </si>
  <si>
    <t>N/A</t>
    <phoneticPr fontId="7"/>
  </si>
  <si>
    <t>Spanish</t>
    <phoneticPr fontId="7"/>
  </si>
  <si>
    <t>French</t>
    <phoneticPr fontId="7"/>
  </si>
  <si>
    <t>No</t>
    <phoneticPr fontId="7"/>
  </si>
  <si>
    <t>English</t>
    <phoneticPr fontId="7"/>
  </si>
  <si>
    <t>English</t>
    <phoneticPr fontId="7"/>
  </si>
  <si>
    <t>English</t>
    <phoneticPr fontId="7"/>
  </si>
  <si>
    <t>• Added "Language" column in Master Sheet</t>
    <phoneticPr fontId="7"/>
  </si>
  <si>
    <t>Suriname will consider the use of the cooperative approaches available to it under Art. 6 of the Paris Agreement, especially those under Article 6.8.</t>
    <phoneticPr fontId="7"/>
  </si>
  <si>
    <t>The NAP(2019 National Adaptation Plan) includes the following strategic adaptation priorities at the national level:
1. Institutional arrangements, policies and capacities able to lead and coordinate national and sub-national climate change adaptation;
2. Data and information collection systems to fully support national and sub-national climate change impacts, vulnerability and adaptation decision-making;
3. The integration and institutionalization of climate change adaptation in broader Surinamese economic development policies, plans and programs;
4. National technical capacity that is fully trained and skilled at leading and implementing Suriname’s climate change adaptation actions;
5. Climate change adaptation that respects Surinamese society and culture and reduces gender and social inequities; and,
6. Identifying and accessing financing and investment especially for innovation driven climate change adaptation technologies.</t>
    <phoneticPr fontId="7"/>
  </si>
  <si>
    <t>No</t>
    <phoneticPr fontId="7"/>
  </si>
  <si>
    <t>N/A</t>
    <phoneticPr fontId="7"/>
  </si>
  <si>
    <t>A portfolio of selected projects from the Energy, Transport, Forest and Agriculture sectors have been identified to be part of Suriname’s NDC with a total project value of around USD 696 million. The timeline for the projects is typically 5 or 10 years. This portfolio was prepared as part of the NDC enhancement process.</t>
    <phoneticPr fontId="7"/>
  </si>
  <si>
    <t xml:space="preserve">• Agriculture (Climate resilient crop varieties and livestock breeds, Water use efficiency and Integrated farming systems);
• Water Management (water 27modeling, water resource mapping, and water storage and harvesting); and,
• Infrastructure and Housing (Infrastructure: Forest Specific Land Use Planning; Housing: Energy Efficient Building Design).
</t>
    <phoneticPr fontId="7"/>
  </si>
  <si>
    <t>Suriname</t>
    <phoneticPr fontId="7"/>
  </si>
  <si>
    <t>Policies and actions</t>
    <phoneticPr fontId="7"/>
  </si>
  <si>
    <t>Policies and actions</t>
    <phoneticPr fontId="7"/>
  </si>
  <si>
    <t>N/A</t>
    <phoneticPr fontId="7"/>
  </si>
  <si>
    <t>・As a High Forest Cover, Low Deforestation (HFLD) country, Suriname remains committed to maintaining its 93% forest cover of more than 15.2 million ha. Suriname is maintaining a carbon sink of 13.1 Gt CO2e.
・Suriname ‘s commitment to reduce emissions through the use of renewable energy was reflected in the 2015 conditional contribution to ensure the share of renewable energy stays above 25% by 2025. This NDC extends and deepens the target with an unconditional contribution to maintain the share of electricity from renewable sources above 35% by 2030.</t>
    <phoneticPr fontId="7"/>
  </si>
  <si>
    <t>Tomohiko Hattori</t>
    <phoneticPr fontId="7"/>
  </si>
  <si>
    <t>Above 25% of renewable energies by 2025 plus forestry commitments</t>
    <phoneticPr fontId="7"/>
  </si>
  <si>
    <t>N/A</t>
    <phoneticPr fontId="7"/>
  </si>
  <si>
    <t>Detailed Mitigation Pledge</t>
    <phoneticPr fontId="7"/>
  </si>
  <si>
    <t>The implementation of the INDC of the Republic of Suriname will require financial support.(..) An estimate of these costs is US$2.492 Billion. For
critical adaptation needs, however, Suriname requires an estimated US$ 1Billion to support its climate resilience program of activities. The total costs for the implementation of the INDC of the Republic of Suriname are therefore estimated at US$3.492 Billion.</t>
    <phoneticPr fontId="7"/>
  </si>
  <si>
    <t>Mar-2020</t>
    <phoneticPr fontId="7"/>
  </si>
  <si>
    <t>In its updated NDC (NDC2), the Republic of Moldova intends to achieve more ambitious targets than in its NDC1. The country’s new economy-wide unconditional target is to reduce its greenhouse gas emissions by 70 per cent below its 1990 level in 2030, instead of 64-67 per cent as committed in NDC1. As to the new economy-wide conditional target, instead of 78 per cent as committed in NDC1, the reduction commitment expressed above could be increased in NDC2 up to 88 per cent below 1990 level, provided a global agreement addressing important topics including low-cost financial resources, technology transfer, and technical cooperation,</t>
    <phoneticPr fontId="7"/>
  </si>
  <si>
    <t>・ Specialized institutions and agencies with national level status to deliver adaptation prerequisites, such as fundamental climatic and other data, analysis and assessments on climate change impacts, vulnerability and early warning systems for informed decision making.
・ Adjust country regulatory framework to create stronger incentives for private investment in technologies that will increase climate resilience.K130</t>
    <phoneticPr fontId="7"/>
  </si>
  <si>
    <t>5 until 2030</t>
    <phoneticPr fontId="7"/>
  </si>
  <si>
    <t>Climate leading agencies shall provide the private sector with information and tools they need to integrate climate investment into the decision-making process through business-friendly impact assessment tools to identify viable investment opportunities.</t>
    <phoneticPr fontId="7"/>
  </si>
  <si>
    <t>Republic of Moldova may use bilateral, regional and international market mechanisms to achieve its conditional 2030 target, subject to employing robust systems that deliver real and verified emissions reductions. However, according to EU 2016 evaluation report on the implementation of the EU-RM Association Agreement the implementation of the EU emissions trading scheme in RM will only be possible when the date of RM's accession to the EU is determined. The unconditional NDC2 commitment will be met through domestic actions, although they would need assistance in cost-effective implementation. In order to prevent double counting of GHG emissions, an appropriate robust national MRV system was put in place in 2019 through the GD No. 1277 as of 26.12.2018.</t>
    <phoneticPr fontId="7"/>
  </si>
  <si>
    <t>• New "NDC Change Tracker" sheet, providing a list of each successive NDC submission from Parties that introduced a change in their NDC's mitigation components.
• Addition of detailed GHG emissions data from IEA and UNFCCC in the Master Sheet, and share of emissions for entries in summary tables.
• Addition of dates of signature and ratification of the Kyoto Protocol by all Parties.
• Addition of new table and chart on type of mitigation target year.
• 11 new first NDC submissions and 9 new ratification of the Paris Agreement.</t>
    <phoneticPr fontId="7"/>
  </si>
  <si>
    <t>Norway</t>
    <phoneticPr fontId="7"/>
  </si>
  <si>
    <t>Yes</t>
    <phoneticPr fontId="7"/>
  </si>
  <si>
    <t>Absolute emission reduction</t>
    <phoneticPr fontId="7"/>
  </si>
  <si>
    <t>Norway is committed to a target of an at least 40% reduction of greenhouse gas emissions by 2030 compared to 1990 levels. The emission reduction target will be developed into an emissions budget covering the period 2021-2030.</t>
    <phoneticPr fontId="7"/>
  </si>
  <si>
    <t>At least 50% and towards 55%</t>
    <phoneticPr fontId="7"/>
  </si>
  <si>
    <t>N/A</t>
    <phoneticPr fontId="7"/>
  </si>
  <si>
    <t xml:space="preserve">Support for the development and adoption of low emissions technologies, including carbon capture and storage technologies and electric vehicles as well as policies for renewable energy are also important in Norwegian climate policy. </t>
    <phoneticPr fontId="7"/>
  </si>
  <si>
    <t>At least 50% and towards 55%</t>
    <phoneticPr fontId="7"/>
  </si>
  <si>
    <t>Oceania</t>
    <phoneticPr fontId="7"/>
  </si>
  <si>
    <t>・Updated information of Suriname, Norway, and Moldova based on second NDC/updated first NDC
・Updated GHG emissions data based on data by IEA</t>
    <phoneticPr fontId="7"/>
  </si>
  <si>
    <t>Norway seeks to fulfil the enhanced ambition through the climate cooperation with the European Union. In the event that Norway's enhanced nationally determined contribution goes beyond the target set in the updated nationally determined contribution of the European Union, Norway intends to use voluntary cooperation under Article 6 of the Paris Agreement to fulfil the part that goes beyond what is fulfilled through the climate cooperation with the European Union.</t>
    <phoneticPr fontId="7"/>
  </si>
  <si>
    <t>Norway is committed to a target by at least 50% and towards 55% reduction in greenhouse gas emission compared to 1990 levels.
Norway seeks to fulfil the enhanced ambition through the climate cooperation with the European Union. In the event that Norway's enhanced nationally determined contribution goes beyond the target set in the updated nationally determined contribution of the European Union, Norway intends to use voluntary cooperation under Article 6 of the Paris Agreement to fulfil the part that goes beyond what is fulfilled through the climate cooperation with the European Union.</t>
    <phoneticPr fontId="7"/>
  </si>
  <si>
    <t>Norway is committed to a target by at least 50% and towards 55% reduction in greenhouse gas emission compared to 1990 levels. 
Norway seeks to fulfil the enhanced ambition through the climate cooperation with the European Union. In the event that Norway's enhanced nationally determined contribution goes beyond the target set in the updated nationally determined contribution of the European Union, Norway intends to use voluntary cooperation under Article 6 of the Paris Agreement to fulfil the part that goes beyond what is fulfilled through the climate cooperation with the European Union.</t>
    <phoneticPr fontId="7"/>
  </si>
  <si>
    <t>N/A</t>
    <phoneticPr fontId="7"/>
  </si>
  <si>
    <t>Yes</t>
    <phoneticPr fontId="7"/>
  </si>
  <si>
    <t>Chile</t>
    <phoneticPr fontId="7"/>
  </si>
  <si>
    <t>Chile commits to a GHG emission budget not exceeding 1,100
MtCO2eq between 2020 and 2030, with a GHG emissions maximum
(peak) by 2025, and a GHG emissions level of 95 MtCO2eq by 2030.</t>
    <phoneticPr fontId="7"/>
  </si>
  <si>
    <t>Peak of carbon emissions</t>
    <phoneticPr fontId="7"/>
  </si>
  <si>
    <t>N/A</t>
    <phoneticPr fontId="7"/>
  </si>
  <si>
    <t>Yes</t>
    <phoneticPr fontId="7"/>
  </si>
  <si>
    <t>Chile will contribute to the global target of adaptation, reducing
vulnerability, strengthening resilience and increasing the
country's adaptive capacity (in particular increasing water security
and considering nature-based solutions) in order to protect people,
livelihoods and ecosystems, taking into account the urgent and immediate
needs of the country, based on the best science available.
Chile's contribution to adaptation is structured in two areas:
i) Climate change policies, strategies and plans, and ii) Areas of
greatest urgency in climate adaptation actions.</t>
    <phoneticPr fontId="7"/>
  </si>
  <si>
    <t>Japan</t>
    <phoneticPr fontId="7"/>
  </si>
  <si>
    <t>Singapore</t>
    <phoneticPr fontId="7"/>
  </si>
  <si>
    <t xml:space="preserve">65 MtCO2e </t>
    <phoneticPr fontId="7"/>
  </si>
  <si>
    <t>N/A</t>
    <phoneticPr fontId="7"/>
  </si>
  <si>
    <t>Singapore intends to peak emissions at 65 MtCO2e around 2030.
Note: Based on current projections, this will allow us to achieve a 36% reduction in Emissions Intensity (EI) from 2005 levels by 2030.</t>
    <phoneticPr fontId="7"/>
  </si>
  <si>
    <t>Yes</t>
    <phoneticPr fontId="7"/>
  </si>
  <si>
    <t>Singapore intends to achieve the mitigation objectives under its NDC primarily through domestic efforts, but will continue to study how it can leverage international cooperation under Article 6 of the Paris Agreement.</t>
    <phoneticPr fontId="7"/>
  </si>
  <si>
    <t>Will be considered</t>
    <phoneticPr fontId="7"/>
  </si>
  <si>
    <t>Tomohiko Hattori</t>
    <phoneticPr fontId="7"/>
  </si>
  <si>
    <t>Covered gases 
(million tones of CO₂, 2015)</t>
  </si>
  <si>
    <t>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</si>
  <si>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Ecuador intends to reduce its emissions in the energy sector in 20.4-25% below the BAU scenario. However, a potential for reducing emissions even further in the energy sector, to a level between 37.5 and 45.8% with respect to the BAU baseline has also been calculated.  This potential could be harnessed in light of the appropriate circumstances in terms of availability of resources and support offered by the international community. This is a second scenario dependent upon international support and will translate into a per capita emissions reduction in 2025 of 40% below the BAU levels.</t>
  </si>
  <si>
    <t>Morocco commits to reducing its GHG emissions by 42 % below businesses-usual (BAU) levels by 2030. (...) This commitment leads to a total reduction  of  527  million  tonnes  of  carbon  dioxide  equivalent (Mt CO2e) between 2020 and 2030. 
• Unconditional: A 17 % reduction in GHG emissions by 2030 compared to a BAU  scenario, with  4 % coming  from  AFOLU  actions. Without AFOLU actions, the reduction target is 13 %.
• Conditional: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</si>
  <si>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r>
      <t xml:space="preserve">Amounts of Quantified Financial Needs </t>
    </r>
    <r>
      <rPr>
        <sz val="11"/>
        <color theme="1"/>
        <rFont val="ＭＳ Ｐゴシック"/>
        <family val="2"/>
        <scheme val="minor"/>
      </rPr>
      <t>(in USD billion)</t>
    </r>
  </si>
  <si>
    <t>*Are counted in this row countries that expressly claim in their NDC the intention to either use market mechanism or to consider their usage.</t>
  </si>
  <si>
    <t>Therefore, the number of countries using all types of market mechanisms is higher than the number of countries declaring their intention to use market mechanisms in their NDC.</t>
  </si>
  <si>
    <t>May-2020</t>
    <phoneticPr fontId="7"/>
  </si>
  <si>
    <t>Relative emission reduction</t>
    <phoneticPr fontId="7"/>
  </si>
  <si>
    <t>BAU</t>
    <phoneticPr fontId="7"/>
  </si>
  <si>
    <t xml:space="preserve">Unconditional contribution: A reduction of 16 per cent relative to BAU in the year 2030; equivalent to an estimated mitigation level of 1.9 million tonnes of carbon dioxide equivalent (tCO2e) in that year.
Conditional contribution: An additional reduction of 22 per cent relative to BAU in the year 2030; equivalent to an estimated mitigation level of 2.7 million tCO2e in that year.
</t>
    <phoneticPr fontId="7"/>
  </si>
  <si>
    <t>Rwanda’s adaptation and resilience priorities draw upon the Green Growth and Climate Resilience Strategy adopted in 2011 with a time horizon of 2050. The strategy has 14 Programmes of Action (PoA) of which the following programmes that include adaptation to climate change in the following programmes:
• PoA 1: Sustainable intensification of agriculture
• PoA 2: Agriculture diversity in local and export markets
• PoA 3:Integrated Water Resources Management (IWRM) and planning
• PoA 4: Integrated Land Use and Management
• PoA 9: Efficient resilient transport systems
• PoA 11: Ecotourism, Conservation and Payment of Ecosystem Services
• PoA 12: Sustainable Forest and Agroforestry
• PoA 13: Disaster and Diseases prevention
• PoA 14: Climate data and projections</t>
    <phoneticPr fontId="7"/>
  </si>
  <si>
    <t>Yes</t>
    <phoneticPr fontId="7"/>
  </si>
  <si>
    <t>No</t>
    <phoneticPr fontId="7"/>
  </si>
  <si>
    <t>The total estimated cost for Rwanda’s identified NDC mitigation measures through 2030 is estimated at around 5.7 billion USD, and over 5.3 billion USD for adaptation priorities, representing a combined funding requirement of around 11 billion USD.</t>
    <phoneticPr fontId="7"/>
  </si>
  <si>
    <t>Rwanda intends to meet its conditional contribution through the use of climate finance and international market mechanisms where appropriate, building upon the experience of the Clean Development Mechanism (CDM) and other existing market mechanisms. These include the potential involvement in international cooperative approaches under Article 6 of the Paris Agreement.</t>
    <phoneticPr fontId="7"/>
  </si>
  <si>
    <t>• Access to and overcoming barriers to the diffusion of appropriate clean technologies;
• Building climate information systems;
• Promotion of renewable energies and energy efficiency, including the involvement of the private sector;</t>
    <phoneticPr fontId="7"/>
  </si>
  <si>
    <t>Rwanda</t>
    <phoneticPr fontId="7"/>
  </si>
  <si>
    <t>Emission reductions from projected emissions resulting from the deviation of BAU emissions for the year 2030 based on policies /actions conditional on availability of international support for finance, technology and capacity building. Estimated impact of policies/actions is underway and will be informed by the Third National Communication Report which will be completed by 2017.</t>
    <phoneticPr fontId="7"/>
  </si>
  <si>
    <t>2030 and 2050</t>
    <phoneticPr fontId="7"/>
  </si>
  <si>
    <t>2020 and
2031</t>
    <phoneticPr fontId="7"/>
  </si>
  <si>
    <t>[Translated] The commitment presented in this update reinforces the actions to achieve the objective defined in the first NDC* in the medium term, by 2030, and further pursues carbon neutrality by 2050 in the long term.
*37% reduction from BAU level by 2030</t>
    <phoneticPr fontId="7"/>
  </si>
  <si>
    <t>Yes</t>
    <phoneticPr fontId="7"/>
  </si>
  <si>
    <t>N/A</t>
    <phoneticPr fontId="7"/>
  </si>
  <si>
    <t>[Translated] Maintain the territory's sink capacity as a minimum compared to 2017 (-139 Gg CO2 eq / year) and encourage its increase through voluntary carbon market projects and the application of adaptive forestry actions, prioritizing measures based on nature.</t>
    <phoneticPr fontId="7"/>
  </si>
  <si>
    <t>The Climate Change Policy Framework for Jamaica (2015) identifies the agriculture sector as a critical sector of importance for both mitigation and adaptation. Strategic aims include facilitating the use of water (and hence energy) efficient agricultural methods, improved food storage systems, and diversifying food production techniques including the expansion of agroforestry and aquaculture.</t>
    <phoneticPr fontId="7"/>
  </si>
  <si>
    <t>Technology transfer and capacity development cannot take place without sufficient financial resources made available to undertake the transition. As an indebted and highly vulnerable state to the impact of climate change, it is important to find the right balance in building the country's resilience and in implementing the necessary adaptation and mitigation measures, while supporting the day to day needs of the country. The measures necessary to effect the transition are cost-intensive.</t>
    <phoneticPr fontId="7"/>
  </si>
  <si>
    <t>The availability and transfer of technologies that are environmentally sound and which support low carbon and climate-resilient development is paramount. As a small island developing state these opportunities are not often readily accessible and so the spirit of the Paris Agreement would help to foster North-South Cooperation.</t>
    <phoneticPr fontId="7"/>
  </si>
  <si>
    <t>Jamaica</t>
    <phoneticPr fontId="7"/>
  </si>
  <si>
    <t>Party</t>
    <phoneticPr fontId="7"/>
  </si>
  <si>
    <t>・25.4% reduction relative to business-as-usual emissions in 2030 without international support (unconditional)
・28.5% reduction relative to business-as-usual emissions in 2030 conditional upon international support
・Its sectoral scope was broadened towards an economy-wide target (i.e., the land use change and forestry sector will be covered)</t>
    <phoneticPr fontId="7"/>
  </si>
  <si>
    <t>UPDATED/SECOND NDC</t>
    <phoneticPr fontId="7"/>
  </si>
  <si>
    <t>N/A</t>
    <phoneticPr fontId="7"/>
  </si>
  <si>
    <t>13.6% (conditional)</t>
    <phoneticPr fontId="7"/>
  </si>
  <si>
    <t>7% (unconditional), 7-22% (conditional)</t>
    <phoneticPr fontId="7"/>
  </si>
  <si>
    <t>35% (unconditional), 50% (conditional)</t>
    <phoneticPr fontId="7"/>
  </si>
  <si>
    <t>50MW of electricity from renewable sources (conditional)</t>
    <phoneticPr fontId="7"/>
  </si>
  <si>
    <t>5% (unconditional), 15% (conditional)</t>
    <phoneticPr fontId="7"/>
  </si>
  <si>
    <t>Absolute emission reduction</t>
    <phoneticPr fontId="7"/>
  </si>
  <si>
    <t>Policies and actions</t>
    <phoneticPr fontId="7"/>
  </si>
  <si>
    <t>Relative emission reduction</t>
    <phoneticPr fontId="7"/>
  </si>
  <si>
    <t>2% (unconditional), 23% (conditional)</t>
    <phoneticPr fontId="7"/>
  </si>
  <si>
    <t>6.6% (unconditional), 11.6% (conditional)</t>
    <phoneticPr fontId="7"/>
  </si>
  <si>
    <t>BAU</t>
    <phoneticPr fontId="7"/>
  </si>
  <si>
    <t>3% (unconditional), 20% (conditional)</t>
    <phoneticPr fontId="7"/>
  </si>
  <si>
    <t>3,100 Gg CO2eq (27%)</t>
    <phoneticPr fontId="7"/>
  </si>
  <si>
    <t>Cabo Verde</t>
    <phoneticPr fontId="7"/>
  </si>
  <si>
    <t>Relative emission reduction</t>
    <phoneticPr fontId="7"/>
  </si>
  <si>
    <t>The updates in the adaptation component include:
(i) The identification of strategic tasks including enhancing adaptation efficiency through strengthening state management and resources; increasing resilience and the adaptive capacity of communities, economic sectors and ecological systems; reducing disaster risks and minimizing damages, getting ready to cope with increased natural disasters and weather extremes due to climate change.
(ii) Adaptation measures to minimise damages caused by future climate change impacts are specifically identified for each sector (including natural resources and environment, agriculture and rural development, public health, urban, housing, transport, tourism and hospitality, industry and trade), and for each region (the Red River Delta, Mekong River Delta, and coastal and mountainous regions).</t>
    <phoneticPr fontId="7"/>
  </si>
  <si>
    <t>N/A</t>
    <phoneticPr fontId="7"/>
  </si>
  <si>
    <t>With 1.5% of its GDP spent on climate change adaptation in the 2021-2030 period, Viet Nam has to mobilise about USD 3.5 billion each year on average or USD 35 billion for the entire 2021-2030 period in addition to state resources.</t>
  </si>
  <si>
    <t>There is a strong need for technology in Viet Nam, especially advanced technology in climate change and hydro-meteorological monitoring and forecasting, early warning of natural disasters and hazards, and technology for structural and non-structural climate change adaptation measures.</t>
    <phoneticPr fontId="7"/>
  </si>
  <si>
    <t>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 in line with the socio-economic conditions and international conventions to which Viet Nam is signatory.</t>
    <phoneticPr fontId="7"/>
  </si>
  <si>
    <t>2025, 2030</t>
    <phoneticPr fontId="7"/>
  </si>
  <si>
    <t>2025, 2030</t>
    <phoneticPr fontId="7"/>
  </si>
  <si>
    <t>・Peak by 2025
・Budget of 1,100 MtCO2 between 2020 and 2030
・ 95 MtCO2 by 2030</t>
    <phoneticPr fontId="7"/>
  </si>
  <si>
    <t>18.2% (unconditional), 71% (conditional)</t>
    <phoneticPr fontId="7"/>
  </si>
  <si>
    <t>20% (unconditional), 30% (conditional)</t>
    <phoneticPr fontId="7"/>
  </si>
  <si>
    <t>40% (unconditional), 60% (conditional)</t>
    <phoneticPr fontId="7"/>
  </si>
  <si>
    <t>46% (unconditional), 61% (conditional)</t>
    <phoneticPr fontId="7"/>
  </si>
  <si>
    <t>15% (unconditional), 25% (conditional)</t>
    <phoneticPr fontId="7"/>
  </si>
  <si>
    <t>15% (unconditional), 45% (conditional)</t>
    <phoneticPr fontId="7"/>
  </si>
  <si>
    <t>11.2% (unconditional), 22.6% (conditional)</t>
    <phoneticPr fontId="7"/>
  </si>
  <si>
    <t>29% (unconditional), 41% (conditional)</t>
    <phoneticPr fontId="7"/>
  </si>
  <si>
    <t>25.4% (unconditional), 28.5% (conditional)</t>
    <phoneticPr fontId="7"/>
  </si>
  <si>
    <t>8% (unconditional), 40.25% (conditional)</t>
    <phoneticPr fontId="7"/>
  </si>
  <si>
    <t>10% (unconditional), 35% (conditional)</t>
    <phoneticPr fontId="7"/>
  </si>
  <si>
    <t>30% (unconditional), 36% (conditional)</t>
    <phoneticPr fontId="7"/>
  </si>
  <si>
    <t>35% (unconditional), 45% (conditional)</t>
    <phoneticPr fontId="7"/>
  </si>
  <si>
    <t>10% (unconditional), 24% (conditional)</t>
    <phoneticPr fontId="7"/>
  </si>
  <si>
    <t>2.7% (unconditional), 22.3% (conditional)</t>
    <phoneticPr fontId="7"/>
  </si>
  <si>
    <t>28% (unconditional), 35% (conditional)</t>
    <phoneticPr fontId="7"/>
  </si>
  <si>
    <t>70% (unconditional), 88% (conditional)</t>
    <phoneticPr fontId="7"/>
  </si>
  <si>
    <t>3.5% (unconditional), 34.6% (conditional)</t>
    <phoneticPr fontId="7"/>
  </si>
  <si>
    <t>20% (unconditional), 45% (conditional)</t>
    <phoneticPr fontId="7"/>
  </si>
  <si>
    <t>38% share of renewable energy (unconditional), 80% (conditional)</t>
    <phoneticPr fontId="7"/>
  </si>
  <si>
    <t>12.8% (unconditional), 24.4% (conditional)</t>
    <phoneticPr fontId="7"/>
  </si>
  <si>
    <t>30% renewable energy</t>
    <phoneticPr fontId="7"/>
  </si>
  <si>
    <t>10% (unconditional), 20% (conditional)</t>
    <phoneticPr fontId="7"/>
  </si>
  <si>
    <t>16% (unconditional), 38% (conditional)</t>
    <phoneticPr fontId="7"/>
  </si>
  <si>
    <t>22% and 35%</t>
    <phoneticPr fontId="7"/>
  </si>
  <si>
    <t>16% and 23% (conditional)</t>
    <phoneticPr fontId="7"/>
  </si>
  <si>
    <t xml:space="preserve">100% renewable energy </t>
    <phoneticPr fontId="7"/>
  </si>
  <si>
    <t>21.4% and 29%</t>
    <phoneticPr fontId="7"/>
  </si>
  <si>
    <t>12% and 30%</t>
    <phoneticPr fontId="7"/>
  </si>
  <si>
    <t>Peak of emissions between 398 and 614 Mt CO2–eq</t>
    <phoneticPr fontId="7"/>
  </si>
  <si>
    <t>35% and 50%</t>
    <phoneticPr fontId="7"/>
  </si>
  <si>
    <t>10-20% (unconditional), 25-35% (conditional)</t>
    <phoneticPr fontId="7"/>
  </si>
  <si>
    <t>20% (unconditional), 25% (conditional)</t>
    <phoneticPr fontId="7"/>
  </si>
  <si>
    <t>11.14% (unconditional), 31.14% (conditional)</t>
    <phoneticPr fontId="7"/>
  </si>
  <si>
    <t>60% (economy wide), 100% (electricity generation sector)</t>
    <phoneticPr fontId="7"/>
  </si>
  <si>
    <t>100% (power sector), 30% (energy sector as a whole)</t>
    <phoneticPr fontId="7"/>
  </si>
  <si>
    <t>30% renewable energy target, 100% (conditional)</t>
    <phoneticPr fontId="7"/>
  </si>
  <si>
    <t>5% and 25%</t>
    <phoneticPr fontId="7"/>
  </si>
  <si>
    <t>37% and carbon neutral</t>
    <phoneticPr fontId="7"/>
  </si>
  <si>
    <t>26-28%</t>
    <phoneticPr fontId="7"/>
  </si>
  <si>
    <t>21% and 23%</t>
    <phoneticPr fontId="7"/>
  </si>
  <si>
    <t>60-65%</t>
    <phoneticPr fontId="7"/>
  </si>
  <si>
    <t>17.9%, 39.2% and 44.7%</t>
    <phoneticPr fontId="7"/>
  </si>
  <si>
    <t>30% (energy sector)</t>
    <phoneticPr fontId="7"/>
  </si>
  <si>
    <t>33-35%</t>
    <phoneticPr fontId="7"/>
  </si>
  <si>
    <t>11.49-13.75% (unconditional), 29-30.89% (conditional)</t>
    <phoneticPr fontId="7"/>
  </si>
  <si>
    <t>29% (agriculture), 
31% (energy), and 21% (forests)</t>
    <phoneticPr fontId="7"/>
  </si>
  <si>
    <t xml:space="preserve">22% (energy sector), 45% (renewable energy), 35% (energy efficiency) </t>
    <phoneticPr fontId="7"/>
  </si>
  <si>
    <t>share of renewable energy above 25% and 35% (undonditional), Maintain 93% foreset cover of more than 15.2 Mha (conditional)</t>
    <phoneticPr fontId="7"/>
  </si>
  <si>
    <t>2025 and 2030</t>
    <phoneticPr fontId="7"/>
  </si>
  <si>
    <t>7.3% and 9% (unconditional), 27% by 2030 (conditional)</t>
    <phoneticPr fontId="7"/>
  </si>
  <si>
    <t>Yes (Updated NDC)</t>
    <phoneticPr fontId="7"/>
  </si>
  <si>
    <t>30% (unconditional), 35-45% (conditional)</t>
    <phoneticPr fontId="7"/>
  </si>
  <si>
    <t>32% (indicative target of 45% by 2030)</t>
    <phoneticPr fontId="7"/>
  </si>
  <si>
    <t>64-67% (unconditional), 78% (conditional)</t>
    <phoneticPr fontId="7"/>
  </si>
  <si>
    <t>8% (unconditional), 25% (conditional)</t>
    <phoneticPr fontId="7"/>
  </si>
  <si>
    <t>・Peak by 2025
・Budget of 1,100 MtCO2 between 2020 and 2030
・95 MtCO2 by 2030</t>
    <phoneticPr fontId="7"/>
  </si>
  <si>
    <t>2025 and 2030</t>
    <phoneticPr fontId="7"/>
  </si>
  <si>
    <t>In line with Niue’s resilience approach to reduce dependence on imported fossil fuels, Niue will achieve a 38% share of renewable energy of total electricity generation by 2020.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t>
    <phoneticPr fontId="7"/>
  </si>
  <si>
    <t>• Reducing vulnerability of the country and its population through enhancement of adaptive capacity and resilience, and deployment of disaster risk reduction approaches; 
• Promoting economic development and sustainable rural livelihoods 
• Improvement of technical capacity in governmental institutions; 
• Adaptive and integrated land and water management; 
• Improving access by rural communities and farmers to water to support food security, reduce poverty and improve agricultural productions.</t>
    <phoneticPr fontId="7"/>
  </si>
  <si>
    <t>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phoneticPr fontId="7"/>
  </si>
  <si>
    <t>• Brazil intends to commit to reduce greenhouse gas emissions by 37% below 2005 levels in 2025.
• Subsequent indicative contribution: reduce greenhouse gas emissions by 43% below 2005 levels in 2030.
• Type: absolute target in relation to a base year.</t>
    <phoneticPr fontId="7"/>
  </si>
  <si>
    <t>• Energy sector: to reduce total energy consumption by 63% by 2035 compared to a Business-As Usual (BAU) scenario; and to increase the share of renewables so that 10% of the total power generation is sourced from renewable energy by 2035
• Land Transport sector: to reduce carbon dioxide emissions from morning peak hour vehicle
use by 40% by 2035 compared to a business as usual scenario.
• Forestry sector: to increase the total gazette forest reserves to 55% of total land area, compared to the current levels of 41%.</t>
    <phoneticPr fontId="7"/>
  </si>
  <si>
    <t>• A first scenario, Unconditional (annex 1), the objective of which is to reduce GHG emissions by 7,808 Gg per year in 2030, i.e. 6% when compared to BaU, for ongoing investments of US $1.25 billion.
• A Hybrid Conditional scenario (annex 1), which aims to reduce GHG emissions by 11.6%, which corresponds to 13,766 Gg per year in 2030, for investments of US $756,032,667.</t>
    <phoneticPr fontId="7"/>
  </si>
  <si>
    <t>Pathways to achieving high CO2 mitigation levels comprise the following:
• Widespread diffusion of locally-appropriate low-carbon energy production technologies, with substantial reductions in energy intensity
• Comprehensive mitigation efforts covering all major sources of emissions
• Locally-appropriate technology transfer and financial flows from industrialized countries (Annex I countries) to support carbon emission abatement according to the UNFCCC principles, which acknowledges that developed countries should provide required support to developing countries in this regard.</t>
    <phoneticPr fontId="7"/>
  </si>
  <si>
    <t>• To reduce the emissions intensity of its GDP by 33 to 35 percent by 2030 from 2005 level.
• To achieve about 40 percent cumulative electric power installed capacity from nonfossil fuel based energy resources by 2030 with the help of transfer of technology and low cost international finance including from Green Climate Fund (GCF).
• To create an additional carbon sink of 2.5 to 3 billion tonnes of CO2 equivalent through additional forest and tree cover by 2030.</t>
    <phoneticPr fontId="7"/>
  </si>
  <si>
    <t xml:space="preserve">
• Unconditional target: 10% reduction in GHG emissions compared to business as usual (BAU) by 2030.
• Conditional target: An additional 25% reduction under certain conditions which would bring the total GHG reduction to sum 35% of (a) and (b) below BAU emission levels by 2030
</t>
    <phoneticPr fontId="7"/>
  </si>
  <si>
    <t>Indicative targets:
• 22% energy sector emissions reductions below 2005 levels by 
2025
• 45% Renewable Energy target by 2025
• 35% Energy Efficiency target by 2025</t>
    <phoneticPr fontId="7"/>
  </si>
  <si>
    <t>[Translated] The Union of the Comoros aims to reduce its greenhouse gas emissions by 84% by 2030 relative to reference scenario emission levels in the same year. This reduction includes sinks from the Land Use, Land-Use Change, and Forestry (LULUCF) sector.</t>
    <phoneticPr fontId="7"/>
  </si>
  <si>
    <t>[Translated] • Performing periodic diagnoses on climate vulnerability at the national level, in accordance with international standards;
• Construction of meteorological stations throughout the national scope for the proper monitoring of climatic factors in each area of the territorial administration;
• Installation of early warning systems for climate risks and other natural disasters;
• Periodic analysis of the resilience capacity of all infrastructures undertaken and in progress;
• Location of rainfall stations in hydroelectric plants to monitor changes in rainfall ..</t>
    <phoneticPr fontId="7"/>
  </si>
  <si>
    <t>• Indicative goal - hydroelectric generation of 9.4 GW by 2030
• Indicative goal: Rural electrification through the use of at least 30% renewable sources as to generate electricity supplies.
• Indicative goal: To realise a 20% electricity saving potential by 2030 of the total forecast electricity consumption.
• Indicative goal: To distribute approximately 260,000 cook stoves between 2016 and 2031.</t>
    <phoneticPr fontId="7"/>
  </si>
  <si>
    <t>• Investing in Research
• Protection from Sea Level Rise
• Management of water, minimising floods
• Keeping essential services running
• Keeping buildings and infrastructure safe
• Strengthening resilience in public health, protecting greenery and biodiversity
• Ensure resilient food supply</t>
    <phoneticPr fontId="7"/>
  </si>
  <si>
    <t>Up to 21 percent reduction in GHG emissions from the Business as Usual (BAU) level by 2030.</t>
    <phoneticPr fontId="7"/>
  </si>
  <si>
    <t>Ukraine "will not exceed 60% of 1990 GHG emisisons level in 2030."</t>
    <phoneticPr fontId="7"/>
  </si>
  <si>
    <t>Total: USD 17.405 billion
• Adaptation: USD 10.785 billion
• Mitigation: USD 6.62 billion (2020-2030)</t>
    <phoneticPr fontId="7"/>
  </si>
  <si>
    <t xml:space="preserve">• Unconditional scenario: ongoing investments of US $1.25 billion.
• Hybrid Conditional scenario: investments of US $756,032,667.
• Third scenario, Adaptation: overall investment of US $5,804,949,915. </t>
    <phoneticPr fontId="7"/>
  </si>
  <si>
    <t>• Canada will explore the use of international mechanisms in the overall effort to achieve its 2030 target, subject to the establishment of robust systems that deliver real and verified emissions reductions. Canada will work with Parties under the UNFCCC to ensure effective systems are established.
• Pricing carbon pollution is central to Canada’s plan. The Government of Canada has outlined a benchmark for pricing carbon pollution that will build on existing provincial systems and ensure a minimum price of $10 per tonne is in place across Canada by 2018, rising to $50 per tonne by 2022. Provinces and territories will continue to have the flexibility to implement either an explicit price on carbon (e.g., through a carbon tax) or cap-and-trade systems and will retain all revenue generated by carbon pricing. Carbon pricing will help influence investment and purchase decisions towards lower carbon-intensive options.</t>
    <phoneticPr fontId="7"/>
  </si>
  <si>
    <t xml:space="preserve">The total annual investments needed to achieve unconditional and conditional GHGs mitigation are about 17.5 and 52.5 billion US dollars respectively.
Undertaking adaptation actions in the major vulnerable economic sectors in Iran would be very costly. (...) The total investment is estimated to be about 100 billion US dollars (2010 fixed prices).
Also according to the country's development plans and the need to improve the environment, protecting natural resources and ensuring food security, the total needed investment in these sectors is approximately 40 billion US dollars (2010 fixed prices). </t>
    <phoneticPr fontId="7"/>
  </si>
  <si>
    <t>Nuclear power station, grid connected solar PV systems
on-shore wind farms,  energy-efficient air conditioners and heat pumps, biogas, solar hot water system for households
efficient wood stoves, rice husk cogeneration plants, centralized compositing facilities, ultra-supercritical coal
power stations, Bus Rapid Transit systems in large cities, technologies for water pollution prevention and efficient water purification.</t>
    <phoneticPr fontId="7"/>
  </si>
  <si>
    <t>Additional investment required for: 
• Build in-country capacity to operate and maintain renewable energy:  $0.07m USD.
• Implement energy efficiency: $0.6m USD 
• Efficient supply and storage for fuels and LPG:  $4.4m USD</t>
    <phoneticPr fontId="7"/>
  </si>
  <si>
    <t>Singapore communicates that it intends to reduce its Emissions Intensity by 36% from 2005 levels by 2030, and stabilise its emissions with the aim of peaking around 2030.</t>
    <phoneticPr fontId="7"/>
  </si>
  <si>
    <t>With domestic resources, by 2030 Viet Nam will reduce GHG emissions by 8% compared to BAU, in which:
• Emission intensity per unit of GDP will be reduced by 20% compared to the 2010 levels;
• Forest cover will increase to the level of 45%.
The above-mentioned contribution could be increased up to 25% with international support.</t>
    <phoneticPr fontId="7"/>
  </si>
  <si>
    <r>
      <t xml:space="preserve">[Translated] The commitment presented in </t>
    </r>
    <r>
      <rPr>
        <sz val="10"/>
        <rFont val="ＭＳ Ｐゴシック"/>
        <family val="3"/>
        <charset val="128"/>
        <scheme val="minor"/>
      </rPr>
      <t>this update reinforces the actions to achieve the objective defined in the first NDC* in the medium term, by 2030, and further pursues carbon neutrality by 2050 in the long term.
*37% reduction from BAU level by 2030</t>
    </r>
    <phoneticPr fontId="7"/>
  </si>
  <si>
    <t>Unconditional contribution: A reduction of 16 per cent relative to BAU in the year 2030; equivalent to an estimated mitigation level of 1.9 million tonnes of carbon dioxide equivalent (tCO2e) in that year.
Conditional contribution: An additional reduction of 22 per cent relative to BAU in the year 2030; equivalent to an estimated mitigation level of 2.7 million tCO2e in that year.</t>
    <phoneticPr fontId="7"/>
  </si>
  <si>
    <t>• As a High Forest Cover, Low Deforestation (HFLD) country, Suriname remains committed to maintaining its 93% forest cover of more than 15.2 million ha. Suriname is maintaining a carbon sink of 13.1 Gt CO2e.
• Suriname ‘s commitment to reduce emissions through the use of renewable energy was reflected in the 2015 conditional contribution to ensure the share of renewable energy stays above 25% by 2025. This NDC extends and deepens the target with an unconditional contribution to maintain the share of electricity from renewable sources above 35% by 2030.</t>
    <phoneticPr fontId="7"/>
  </si>
  <si>
    <t>Papua New Guinea</t>
    <phoneticPr fontId="7"/>
  </si>
  <si>
    <t>Greece</t>
    <phoneticPr fontId="7"/>
  </si>
  <si>
    <t>15% (unconditional), 30% (conditional)</t>
    <phoneticPr fontId="7"/>
  </si>
  <si>
    <t>3.5% (unconditional, 21.4% (conditional)</t>
    <phoneticPr fontId="7"/>
  </si>
  <si>
    <t>Energy sector:
20.4-25% (unconditional), 37.5-45.8% (conditional)</t>
    <phoneticPr fontId="7"/>
  </si>
  <si>
    <t>39.2% (unconditional), 80.6 % (conditional)</t>
    <phoneticPr fontId="7"/>
  </si>
  <si>
    <t>10% (unconditional), 35% (conditional)</t>
    <phoneticPr fontId="7"/>
  </si>
  <si>
    <t xml:space="preserve">13% (unconditional), 32% (conditional) </t>
    <phoneticPr fontId="7"/>
  </si>
  <si>
    <t>18% (unconditional), 37% (conditional)</t>
    <phoneticPr fontId="7"/>
  </si>
  <si>
    <t>3.62% (unconditional), 16.17% (conditional)</t>
    <phoneticPr fontId="7"/>
  </si>
  <si>
    <t>9% (unconditional), 20.9% (conditional) (for LULUCF sector, 4% unconditional, 20% conditional)</t>
    <phoneticPr fontId="7"/>
  </si>
  <si>
    <t>2010 
(2008 for LULUCF sector)</t>
    <phoneticPr fontId="7"/>
  </si>
  <si>
    <r>
      <t xml:space="preserve">[Translated] [I]n compliance with the provisions of the Paris Agreement and as a result of the intersectoral participatory process, with multiple actors at different levels of the formulation of the NDC, the </t>
    </r>
    <r>
      <rPr>
        <sz val="10"/>
        <rFont val="ＭＳ Ｐゴシック"/>
        <family val="3"/>
        <charset val="128"/>
        <scheme val="minor"/>
      </rPr>
      <t>courses of action that have been identified and that contribute to the mitigation of climate change in the Energy, Agriculture, Industrial Processes and Waste sectors, the result is an estimated GHG emission reduction potential that corresponds to 9% compared to the reference scenario for 2025. Likewise, a reduction of GHG emissions of 20.9% is identified for the same period, subject to the support of international cooperation to implement the courses of action established in this conditional scenario. 
With respect to the LULUCF sector and the courses of action established based on national efforts, a potential for reducing GHG emissions has been identified as 4% compared to the reference level in 2025. However, in the case of having the support of international cooperation to develop the courses of action of the conditional scenario of this sector, there would be an additional mitigation potential of 16%, that is, a total reduction in GHG emissions of 20% compared to the reference level for the year 2025.</t>
    </r>
    <phoneticPr fontId="7"/>
  </si>
  <si>
    <t>17% (unconditional), 42% (conditional)</t>
    <phoneticPr fontId="7"/>
  </si>
  <si>
    <t>Share of RE above 25% and 35% (unconditional), Maintain 93% foreset cover of more than 15.2 Mha (conditional)</t>
    <phoneticPr fontId="7"/>
  </si>
  <si>
    <t>New Zealand commits to reduce GHG emissions to 30% below 2005 levels by 2030. (This responsibility target corresponds to a reduction of 11% from 1990 levels.) (...)
Type of commitment: Absolute reduction target managed using a carbon budget.</t>
    <phoneticPr fontId="7"/>
  </si>
  <si>
    <t>Yes 
(Second NDC)</t>
    <phoneticPr fontId="7"/>
  </si>
  <si>
    <t>1% (unconditional), 14% (conditional)</t>
    <phoneticPr fontId="7"/>
  </si>
  <si>
    <t>2020, 2025, and 2030</t>
    <phoneticPr fontId="7"/>
  </si>
  <si>
    <t>4.2%, 6.2%, and 12% (unconditional), 12.6%, 24.9%, and 38.5% (conditional)</t>
    <phoneticPr fontId="7"/>
  </si>
  <si>
    <t xml:space="preserve">44.4% and 45.4% (excluding LULUCF) </t>
    <phoneticPr fontId="7"/>
  </si>
  <si>
    <t>30% (indicative target of 40% by 2030)</t>
    <phoneticPr fontId="7"/>
  </si>
  <si>
    <t>13% (excluding LULUCF)</t>
    <phoneticPr fontId="7"/>
  </si>
  <si>
    <t>Indonesia has committed to reduce unconditionally 26% of its greenhouse gases against the business as usual scenario by the year 2020...Indonesia is committed to reducing emissions by 29% compared to the business as usual (BAU) scenario by 2030. Indonesia's target should encourage support from international cooperation, which is expected to help Indonesia to increase its contribution up to 41% reduction in emissions by 2030.</t>
    <phoneticPr fontId="7"/>
  </si>
  <si>
    <t>4% (unconditional),  12% (conditional)</t>
    <phoneticPr fontId="7"/>
  </si>
  <si>
    <t>• Investment in water resources infrastructure is focused on demand management, increasing productivity in the water sector, increasing efficiency and reducing losses in water yield, water networks and providing new water resources. 
• Need to improve the environment, protecting natural resources and ensuring food security.</t>
    <phoneticPr fontId="7"/>
  </si>
  <si>
    <t>• On the basis of national capabilities, financial resources available and requirements of the national development program, taking into account GHGs emission scenarios, the Islamic Republic of Iran intends to participate by mitigating its GHGs emission in 2030 by 4% compared to the Business As Usual (BAU) scenario.
• Subject to termination and non-existence of unjust sanctions, availability of international resources in the form of financial support and technology transfer, exchange of carbon credits, accessibility of bilateral or multilateral implementation mechanisms, transfer of clean technologies as well as capacity building, the Islamic Republic of Iran has the potential of mitigating additional GHGs emission up to 8% against the BAU scenario (i.e. 12% in total).</t>
    <phoneticPr fontId="7"/>
  </si>
  <si>
    <t>13% (unconditional), 2% (conditional)</t>
    <phoneticPr fontId="7"/>
  </si>
  <si>
    <t>1.5% (unconditional), 14% (conditional)</t>
    <phoneticPr fontId="7"/>
  </si>
  <si>
    <t>2025, 2030</t>
    <phoneticPr fontId="7"/>
  </si>
  <si>
    <t>13.7%, 12.8% (unconditional), 62.5%, 61.8% (conditional)</t>
    <phoneticPr fontId="7"/>
  </si>
  <si>
    <t>The mitigation component includes both unconditional and conditional contributions. The unconditional contributions are measures that will be implemented using domestic resources.
With domestic resources, GHG emissions will be reduced by 8.0% by 2030 compared to the Business as Usual scenario (BAU). The conditional contributions are measures that could be implemented if additional international financial support, technology transfer and capacity building are received. The national contribution could be increased up to 40.25% with international support.</t>
    <phoneticPr fontId="7"/>
  </si>
  <si>
    <t>10%, carbon neutral</t>
    <phoneticPr fontId="7"/>
  </si>
  <si>
    <t xml:space="preserve">St. Vincent and the Grenadines intends to achieve an unconditional, economy-wide reduction in greenhouse gas (GHG) emissions of 22% compared to its business as usual (BAU) scenario by 2025. </t>
    <phoneticPr fontId="7"/>
  </si>
  <si>
    <t>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Unconditional target: not stated.
Conditional Target measured against the BAU emissions projections: 16% reduction by 2025; 23% reduction by 2030</t>
    <phoneticPr fontId="7"/>
  </si>
  <si>
    <t xml:space="preserve">The Republic of San Marino, on the basis of the decision of the Government held on 28 September 2015, commits to reduce GHG emissions to 20% below 2005 levels by 2030. </t>
    <phoneticPr fontId="7"/>
  </si>
  <si>
    <t>3%, 4%, and 5% (unconditional), 7%, 15%, and 21% (conditional)</t>
    <phoneticPr fontId="7"/>
  </si>
  <si>
    <t>Energy sector: 4% (unconditional), 16% (conditional)
Transport, industry, forests and waste sector: 3% (unconditional), 7% (conditional)</t>
    <phoneticPr fontId="7"/>
  </si>
  <si>
    <t>13% (unconditional), 41% (conditional)</t>
    <phoneticPr fontId="7"/>
  </si>
  <si>
    <t>Stablisation of GHG emissions</t>
    <phoneticPr fontId="7"/>
  </si>
  <si>
    <t>2020, 2025, and 2030</t>
    <phoneticPr fontId="7"/>
  </si>
  <si>
    <t>• 25.4% reduction relative to business-as-usual emissions in 2030 without international support (unconditional)
• 28.5% reduction relative to business-as-usual emissions in 2030 conditional upon international support
• Its sectoral scope was broadened towards an economy-wide target (i.e., the land use change and forestry sector will be covered)</t>
    <phoneticPr fontId="7"/>
  </si>
  <si>
    <t>• With domestic resources, by 2025 Viet Nam will have reduced total GHG emissions by about 7.3% compared to the BAU scenario (equivalent to 52.9 million tonnes of CO2eq), and by 2030 Viet Nam will have reduced total GHG emissions by about 9% compared to the BAU scenario (equivalent to 83.9 million tonnes of CO2eq).
• 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 in line with the socio-economic conditions and international conventions to which Viet Nam is signatory.
• Its sectoral scope was broadened (i.e., IP sector will be covered).</t>
    <phoneticPr fontId="7"/>
  </si>
  <si>
    <t xml:space="preserve">32% and 45% (indicative target of 58% by 2035, net zero by 2050) </t>
    <phoneticPr fontId="7"/>
  </si>
  <si>
    <t>Grenada</t>
    <phoneticPr fontId="7"/>
  </si>
  <si>
    <t>Latin America &amp; the Caribbean</t>
    <phoneticPr fontId="7"/>
  </si>
  <si>
    <t>Grenada commits to reducing its Greenhouse gas emissions by 30% of 2010 by 2025, with an indicative reduction of 40% of 2010 by 2030.</t>
    <phoneticPr fontId="7"/>
  </si>
  <si>
    <t>N/A</t>
    <phoneticPr fontId="7"/>
  </si>
  <si>
    <t>Yes</t>
    <phoneticPr fontId="7"/>
  </si>
  <si>
    <t>Grenada currently uses no market mechanisms but is willing to explore the potential of market mechanisms and other mechanisms under the UNFCCC process that demonstrate environmental integrity.</t>
    <phoneticPr fontId="7"/>
  </si>
  <si>
    <t>Grenada commits to reducing its GHG emissions by 40% of the 2010 emissions levels by 2030.</t>
    <phoneticPr fontId="7"/>
  </si>
  <si>
    <t>2030</t>
    <phoneticPr fontId="7"/>
  </si>
  <si>
    <t>By 2050, Nepal will achieve 80% electrification through renewable energy sources having appropriate energy mix. Nepal will also reduce its dependency on fossil fuels by 50%. By 2020, Nepal intends to expand its energy mix focusing on renewables by 20% and diversifying its energy consumption pattern to more industrial and commercial sectors.</t>
    <phoneticPr fontId="7"/>
  </si>
  <si>
    <t>The EU and its Member States are committed to a binding target of an at least 40% domestic reduction in greenhouse gas emissions by 2030 compared to 1990, to be fulfilled jointly, as set out in the conclusions by the European Council of October 2014.</t>
    <phoneticPr fontId="7"/>
  </si>
  <si>
    <t>16.4% (unconditional), 52% (conditional)</t>
    <phoneticPr fontId="7"/>
  </si>
  <si>
    <t>the DPRK Government plans to reduce 35,800,000 tons of GHG per year by 2030 by raising the rate of total emision to 16.4% on its own compared to the plannted 8% of the NDC submitted in 2016.
the GHG reduction rate will increase by 36}% through international cooperation compared to 32% in the NDC submitted in 2016 and the total GHG reduction ceiling will be over 52%.</t>
    <phoneticPr fontId="7"/>
  </si>
  <si>
    <t xml:space="preserve">1. Increase to 24% of electricity generation based on Renewable Energy Sources (RES) in the Cuban electricity matrix by 2030. 
2. Increase of energy efficiency and saving 
3. Less carbon intensive ground transportation 
4. Increase of forest coverage in the country to 33% by 2030 
5. Reduction of greenhouse effect gases emissions in the swine industry in Cuba </t>
    <phoneticPr fontId="7"/>
  </si>
  <si>
    <t>Cuba</t>
    <phoneticPr fontId="7"/>
  </si>
  <si>
    <t>To disallow the construction of new buildings edifications in threatened coastal
settlements with a prognosis of disappearance due to severe flooding and the
most vulnerable ones, as well as reducing demographic density in the low-lying
coastal areas.
(...)</t>
    <phoneticPr fontId="7"/>
  </si>
  <si>
    <t>Yes</t>
    <phoneticPr fontId="7"/>
  </si>
  <si>
    <t>N/A</t>
    <phoneticPr fontId="7"/>
  </si>
  <si>
    <t>In the event that a satisfactory covenant is achieved in the negotiations under Article 6 of the Paris Agreement, Cuba intends to use cooperative approaches that involve the use of mitigation results of international transfer in accordance with the mentioned Article.</t>
    <phoneticPr fontId="7"/>
  </si>
  <si>
    <t>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t>
    <phoneticPr fontId="7"/>
  </si>
  <si>
    <t>22.7% (unconditional), 27.2%, 44.9% (conditional)</t>
    <phoneticPr fontId="7"/>
  </si>
  <si>
    <t>・Maintain the ecosystem balance by strengthening the legal environment and pastureland management;
・Save water for irrigation by using plastic-films/mulches on potato and vegetable fields;
・Strengthen the legal and institutional frameworks for integrating sectoral coordination to ensure water security;</t>
    <phoneticPr fontId="7"/>
  </si>
  <si>
    <t>The financial needs for the NDC implementation are estimated initially as US$11.5 billion, of which US$6.3 billion for mitigation, and US$5.2 billion for adaptation.</t>
    <phoneticPr fontId="7"/>
  </si>
  <si>
    <t>In order to solve problems, the focus has to be made on soft approaches rather than solely relying on hard ones, including indigenous knowledge of local communities, combining traditional practices with modern know-hows.
For determining the most suitable, efficient, and effective technologies, Mongolia needs to conduct the technology needs assessment.</t>
    <phoneticPr fontId="7"/>
  </si>
  <si>
    <t xml:space="preserve">Thailand intends to reduce its greenhouse gas emissions by 20 percent from the projected BAU level by 2030. The level of contribution could increase up to 25 percent, subject to adequate and enhanced access to technology development and transfer, financial resources and capacity building support. Thailand in formulating its Long-term Low Greenhouse Gas Emission Development Strategy (LT-LEDS) which will guide Thailand towards a climate-resilient and low greenhouse gas emissions development and serve as a basesi for enhancing its subsequent NDCs. </t>
    <phoneticPr fontId="7"/>
  </si>
  <si>
    <t>・Water resources management
・Agriculture and food security
・Tourism
・Public health
・Natural resources management
・Human settlements and security</t>
    <phoneticPr fontId="7"/>
  </si>
  <si>
    <t>・Development of Energy efficiency and renewable energy technologies, including innovative and cost-effective technologies and approaches in advanced energy storage system and demand-side management.
・Exploration of the potential of offshore renewable power generation systems to provide alternative energy source.
・Deployment of smart generation and dispatch, smart transmission, smart consumers, smart grid, electricity grid industry and the establishment of a smart grid environment.
・Enhancement of electrification of transport, and technical support for battery charging technologies.
・Promotion of waste-to energy technologies.
・Improvement of waste management technology and system at subnational and local levels.AJ181</t>
    <phoneticPr fontId="7"/>
  </si>
  <si>
    <t>Thailand recognizes the important role of international market-based cooperation in contributing to the mitigation of greenhouse gas emissions and promoting sustainable development. Thailand will continue to explore the potentials of bilateral, regional and multilateral market-based cooperation, including in the context of Article 6 of the Paris Agreement, that can facilitate, expedite and enhance technology development and transfer, capacity building and access to financial resources that support Thailand's sustainable transition towards low-carbon and climate-resilient growth.</t>
    <phoneticPr fontId="7"/>
  </si>
  <si>
    <t>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t>
    <phoneticPr fontId="7"/>
  </si>
  <si>
    <t>Limiting anthropogenic greenhouse gases in Russia to 70-75% of 1990 levels by the year 2030 might be a long-term indicator, subject to the maximum possible account of absorbing capacity of forests.</t>
    <phoneticPr fontId="7"/>
  </si>
  <si>
    <t>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t>
    <phoneticPr fontId="7"/>
  </si>
  <si>
    <t>The indicative cost for Grenada’s identified NDC mitigation measures through 2030 is between $984.9 and $1,054.5 Million USD.</t>
    <phoneticPr fontId="7"/>
  </si>
  <si>
    <t>・ By 2030, expand clean energy generation from approximately 1,400 MW to 15,000 MW, of which 5-10 % will be generated from mini and micro-hydro power, solar, wind and bio-energy. Of this, 5,000 MW is an unconditional target. The remainder is dependent upon the provision of funding by the international community.
 By 2030, ensure 15% of the total energy demand is supplied from clean energy sources.</t>
    <phoneticPr fontId="7"/>
  </si>
  <si>
    <t>Renewable energy generation increase</t>
    <phoneticPr fontId="7"/>
  </si>
  <si>
    <t>The cost of achieving Nepal's NDC conditional mitigation targets is estimated to be USD 25 billion. The cost of achieving unconditional targets outlined in the NDC is estimated to be USD 3.4 billion. This estimate only covers activity-based targets and does not include the cost of policies, measures and actions. The cost of achieving the adaptation component will be detailed in the upcoming National Adaptation Plan (NAP).</t>
    <phoneticPr fontId="7"/>
  </si>
  <si>
    <t>Nepal may explore potential markets that allow higher mitigation ambition while promoting sustainable development and environmental integrity.</t>
    <phoneticPr fontId="7"/>
  </si>
  <si>
    <t>Yes (Second NDC)</t>
    <phoneticPr fontId="7"/>
  </si>
  <si>
    <t>Brazil confirms the commitment originally presented in its intended Nationally Determined Contribution (iNDC), to reduce its greenhouse gas emissions in 2025 by 37%, compared with 2005. 
Additionally, Brazil commits to reduce its emissions in 2030 by 43%, compared with 2005.</t>
    <phoneticPr fontId="7"/>
  </si>
  <si>
    <t xml:space="preserve">37% by 2025, 43% by 2030 </t>
    <phoneticPr fontId="7"/>
  </si>
  <si>
    <t>2025, 2030</t>
    <phoneticPr fontId="7"/>
  </si>
  <si>
    <r>
      <t>Switzerland’s NDC is to reduce its greenhouse gas emissions by</t>
    </r>
    <r>
      <rPr>
        <b/>
        <sz val="10"/>
        <color theme="1"/>
        <rFont val="ＭＳ Ｐゴシック"/>
        <family val="3"/>
        <charset val="128"/>
        <scheme val="minor"/>
      </rPr>
      <t xml:space="preserve"> at leas</t>
    </r>
    <r>
      <rPr>
        <sz val="10"/>
        <color theme="1"/>
        <rFont val="ＭＳ Ｐゴシック"/>
        <family val="2"/>
        <scheme val="minor"/>
      </rPr>
      <t>t 50 percent by 2030 compared with 1990 levels, corresponding to an average reduction of greenhouse gas emissions by at least 35 percent over the period 2021–2030. By 2025, a reduction of greenhouse gases by at least 35 percent compared with 1990 levels is anticipated</t>
    </r>
    <phoneticPr fontId="7"/>
  </si>
  <si>
    <t>13% (Energy sector)</t>
    <phoneticPr fontId="7"/>
  </si>
  <si>
    <t>Absolute emission reduction</t>
    <phoneticPr fontId="7"/>
  </si>
  <si>
    <t>Energy: 13% (16 Gg) reduction in GHG emissions by 2030 compared to
2006,
AFOLU: non-emission targets of establishing a forest inventory as
prerequisite to identify a GHG emission target for the 2025 NDC and
planting one million trees by 2023,
Waste: non-emission target of expanding the formal waste collection
system as prerequisite to identify a GHG emission target for the 2025 NDC.</t>
    <phoneticPr fontId="7"/>
  </si>
  <si>
    <t>・30% of land in Tonga utilized for agro-forestry or forestry by 2025,
・Prevent any permanent loss of land to rising sea levels on Tonga’s four
main islands (i.e. Tongatapu, Ha’apai, Vava’u, and ‘Eua),
・Maintenance of the existing stocks of fish and other marine species.</t>
    <phoneticPr fontId="7"/>
  </si>
  <si>
    <t>Tonga intends to achieve the mitigation objectives under its 2020 NDC exclusively through domestic efforts and does not envision any internationally transferred mitigation outcomes.</t>
    <phoneticPr fontId="7"/>
  </si>
  <si>
    <t>9.11 million tCO2e</t>
    <phoneticPr fontId="7"/>
  </si>
  <si>
    <t>[translated]
・Costa Rica is committed to an absolute maximum net emissions as of 2030 of 9.11 million tons of dioxide carbon equivalent (CO2e) including all gases and all sectors covered by the National Greenhouse gas Inventory report. This goal is consistent with the trajectory of the Plan National Decarbonization Strategy, Long Term presented by Costa Rica in 2019 and seeking net zero emissions in 2050 and is consistent with the trajectory of 1.5C.
・Costa Rica is committed to a maximum budget of net emissions in the period 2021 to 2030 of 106.53 million tons of carbon dioxide equivalent (CO2e) including all gases and all sectors covered by the National Greenhouse Gas Inventory.</t>
    <phoneticPr fontId="7"/>
  </si>
  <si>
    <t>[translated]
・Costa Rica is committed to strengthening the country's social, economic and environmental resilience conditions to the effects of climate change, through the development of capacities and information for decision-making, the inclusion of adaptation criteria in financing and planning instruments, the adaptation of public services, productive systems and infrastructure, and the implementation of nature-based solutions.</t>
    <phoneticPr fontId="7"/>
  </si>
  <si>
    <t>At least 68%</t>
    <phoneticPr fontId="7"/>
  </si>
  <si>
    <t>the UK is committing to reduce economy-wide greenhouse gas emissions by at least 68% by 2030, compared to 1990 levels.</t>
    <phoneticPr fontId="7"/>
  </si>
  <si>
    <t xml:space="preserve"> 2030, 2021-2030</t>
    <phoneticPr fontId="7"/>
  </si>
  <si>
    <t>・9.11 million tCO2e by 2030
・106.53 million tCO2 between 2021-2030</t>
    <phoneticPr fontId="7"/>
  </si>
  <si>
    <t>・At elast 50% by 2030
・Average of 35% between 2021-2030</t>
    <phoneticPr fontId="7"/>
  </si>
  <si>
    <t>N/A</t>
    <phoneticPr fontId="7"/>
  </si>
  <si>
    <t>Carbon neutrality (Energy industries sub-sector)</t>
    <phoneticPr fontId="7"/>
  </si>
  <si>
    <t>・PNG is committing to a headline target of carbon neutrality within the energy industries sub-sector.
・By 2030, the annual emission from deforestation and forest degradation due to agriculture expansion and commercial logging will be reduced by 10,000
Gg CO2 eq comparing to 2015 level. This will result in the LULUCF sub-sector moving from a net GHG source (1, 176 Gg CO2 eq) in 2015 to net GHG sink (-8,284 Gg CO2 eq) by 2030 to mitigate emissions from other sector</t>
    <phoneticPr fontId="7"/>
  </si>
  <si>
    <t>• 100% of PNG’s population to benefit from introduced health measures to respond
to malaria and other climate-sensitive diseases;
• 6 million people (70% of population) benefit from improved early warning information to respond to climate extremes;
• 10% of the total population (0.8 million beneficiaries (25% are women) have increased resilience of food and water security, health, and well-being in PNG; and
• US$ 1.7 billion value of transport, building and utility infrastructure and assets is built and or rehabilitated according to climateresilient codes and standards.</t>
    <phoneticPr fontId="7"/>
  </si>
  <si>
    <t>A Technology Needs Assessment (TNA) must be conducted (if not yet carried out), which will clearly set out the specific needs of the identified sectors .
The need for innovation is crucial to ensure more efficient and cleaner technologies. The availability and transfer of technology that is environmentally sound and which support low carbon and climateresilient development are paramount. As a SIDS these opportunities are not often readily accessible, hence the need for external support.
A TNA for the NDC needs to be carried out with relevant stakeholders at the national level. The TNA ought to be gender-responsive and should consider the local context.</t>
    <phoneticPr fontId="7"/>
  </si>
  <si>
    <t>Implementing the proposed actions could deliver significant emissions reductions that could be monetised through results based payments under a range of mechanisms including the Green Climate Fund, bilateral, market or non-market mechanisms under Article 6 of the Paris Agreement and PNG is looking forward to enforcement of the Article 6 on the ground.</t>
    <phoneticPr fontId="7"/>
  </si>
  <si>
    <t>Absolute emission reduction</t>
    <phoneticPr fontId="7"/>
  </si>
  <si>
    <t>208.8 MtCO2eq (unconditional), 179.0 MtCO2eq (conditional)</t>
    <phoneticPr fontId="7"/>
  </si>
  <si>
    <t>N/A</t>
    <phoneticPr fontId="7"/>
  </si>
  <si>
    <t>[Translated] 
The Peruvian State undertakes that its net greenhouse gas emissions do not exceed 208.8 MtCO2eq in 2030 (unconditional target). Additionally, the Peruvian State considers that greenhouse gas emissions could reach a maximum level of 179.0 MtCO2eq depending on the availability of international external financing and the existence of favorable conditions (conditional goal).</t>
    <phoneticPr fontId="7"/>
  </si>
  <si>
    <t>[Translated}
The Peruvian State undertakes to contribute to the global goal of adaptation by reducing damages, possible alterations and the consequent current and future losses, generated by the dangers associated with climate change on populations and their livelihoods; on basins, ecosystems and territories; and on the infrastructure, goods and services of the country. In turn, it contemplates taking advantage of the opportunities that climate change offers for sustainable and climate-responsible development.</t>
    <phoneticPr fontId="7"/>
  </si>
  <si>
    <t>Yes</t>
    <phoneticPr fontId="7"/>
  </si>
  <si>
    <t xml:space="preserve">[Translated] 
Peru anticipates its participation in the cooperative approaches of the Paris Agreement. To do this, it is preparing the necessary domestic conditions, such as institutional arrangements, regulations and procedures, which, once applied, contribute to increasing the ambition of our NDCs, promote sustainable development and guarantee environmental integrity. In this sense, robust and transparent accounting must be applied to ensure the absence of double counting. 
</t>
    <phoneticPr fontId="7"/>
  </si>
  <si>
    <t>At least 55%</t>
    <phoneticPr fontId="7"/>
  </si>
  <si>
    <t>The EU and its Member States, acting jointly, are committed to a binding target of a net domestic reduction of at least 55% in greenhouse gas emissions by 2030 compared to 1990.</t>
    <phoneticPr fontId="7"/>
  </si>
  <si>
    <t>N/A</t>
    <phoneticPr fontId="7"/>
  </si>
  <si>
    <t>The EU’s at least 55% net reduction target by 2030 is to be achieved through domestic measures only, without contribution from international credits. 
Norway, Iceland and Liechtenstein have been participating in the EU ETS since 2008, and an agreement linking the EU and Swiss emissions trading systems entered into force in 2020. The EU is continuing to explore the possibilities to link the EU ETS with other mature and robust emissions trading systems. 
The EU will account for its cooperation through the EU ETS with these and any other Parties in a manner consistent with the guidance adopted by CMA1 and any further guidance agreed by the CMA.</t>
    <phoneticPr fontId="7"/>
  </si>
  <si>
    <t>Yes</t>
    <phoneticPr fontId="7"/>
  </si>
  <si>
    <r>
      <t>European Union (EU)*
*</t>
    </r>
    <r>
      <rPr>
        <sz val="12"/>
        <color theme="1"/>
        <rFont val="ＭＳ Ｐゴシック"/>
        <family val="2"/>
        <scheme val="minor"/>
      </rPr>
      <t xml:space="preserve"> </t>
    </r>
    <r>
      <rPr>
        <sz val="10"/>
        <color theme="1"/>
        <rFont val="ＭＳ Ｐゴシック"/>
        <family val="2"/>
        <scheme val="minor"/>
      </rPr>
      <t>The EU member States have submitted a joint INDC through the EU NDC, hence the same data is applicable for the 27 countries.</t>
    </r>
    <phoneticPr fontId="7"/>
  </si>
  <si>
    <r>
      <t>European Union (EU)*
*</t>
    </r>
    <r>
      <rPr>
        <sz val="12"/>
        <color theme="1"/>
        <rFont val="ＭＳ Ｐゴシック"/>
        <family val="2"/>
        <scheme val="minor"/>
      </rPr>
      <t xml:space="preserve"> </t>
    </r>
    <r>
      <rPr>
        <sz val="10"/>
        <color theme="1"/>
        <rFont val="ＭＳ Ｐゴシック"/>
        <family val="2"/>
        <scheme val="minor"/>
      </rPr>
      <t>The EU member States have submitted a joint INDC through the EU NDC, hence the same data is applicable for the 27 countries below.</t>
    </r>
    <phoneticPr fontId="7"/>
  </si>
  <si>
    <t>N/A</t>
    <phoneticPr fontId="7"/>
  </si>
  <si>
    <t>・PNG is committing to a headline target of carbon neutrality within the energy industries sub-sector. This will be achieved by:
(....)
- Enhancing levels of renewables in the energy mix – through increasing from
30% (2015) to 78% the level of installed capacity for on grid electricity generation that is produced by renewables.
- Establishing a framework for fossil fuel emission offsetting: PNG remains
committed to an energy transition but also recognizes that a full transition will take time given PNG’s complex geographies and dispersed population as well as growing economy. As such a framework for offsetting of emissions from fossil fuels will be introduced to support economic incentives for the transition while also helping to finance domestic nature based solutions in particular reduced emissions and enhanced removals from the forest sector.
・By 2030, the annual emission from deforestation and forest degradation due to agriculture expansion and commercial logging will be reduced by 10,000
Gg CO2 eq comparing to 2015 level. This will result in the LULUCF sub sector moving from a net GHG source (1, 176 Gg CO2 eq) in 2015 to net GHG sink (-8,284 Gg CO2 eq) by 2030 to mitigate emissions from other sector</t>
    <phoneticPr fontId="7"/>
  </si>
  <si>
    <t>Absolute emission reduction</t>
    <phoneticPr fontId="7"/>
  </si>
  <si>
    <t>The Republic of Korea’s updated NDC target is to reduce 24.4% from the total national GHG emissions in 2017, which is 709.1 MtCO2eq, by 2030.</t>
    <phoneticPr fontId="7"/>
  </si>
  <si>
    <t>24.4% (709.1 MtCO2eq)</t>
    <phoneticPr fontId="7"/>
  </si>
  <si>
    <t>The Republic of Korea plans to use voluntary cooperation under Article 6 of the Paris Agreement as a supplementary measure to achieve its NDC.</t>
    <phoneticPr fontId="7"/>
  </si>
  <si>
    <t>Yes</t>
    <phoneticPr fontId="7"/>
  </si>
  <si>
    <t>N/A</t>
    <phoneticPr fontId="7"/>
  </si>
  <si>
    <t>No</t>
    <phoneticPr fontId="7"/>
  </si>
  <si>
    <t>Nicaragua</t>
    <phoneticPr fontId="7"/>
  </si>
  <si>
    <t>By 2030, 60% of the installed capacity of the electricity matrix must come from other types of renewable energy sources</t>
    <phoneticPr fontId="7"/>
  </si>
  <si>
    <t>60% of electricity matrix from renewable energy</t>
    <phoneticPr fontId="7"/>
  </si>
  <si>
    <t xml:space="preserve">[Translated] 
increase the percentage of electricity generation through renewable energy sources, to 60% by 2030.
</t>
    <phoneticPr fontId="7"/>
  </si>
  <si>
    <t>Policies and actions</t>
    <phoneticPr fontId="7"/>
  </si>
  <si>
    <t>[Translated] 
- Impact on poverty reduction and human well-being
- Increased resilience capacities in productive sectors important for food security
- Cost effective relationship
- List of national policies and strategies
- Inclusion of indigenous peoples and vulnerable population
- Contribution to adaptation based on mitigation</t>
    <phoneticPr fontId="7"/>
  </si>
  <si>
    <t>The Principality of Monaco intends to achieve its emissions reduction target by implementing domestic measures. It does not, however, exclude the use of mechanisms for the international transfer of reduction units in the event that domestic emissions reductions prove insufficient at the end of the commitment period.</t>
    <phoneticPr fontId="7"/>
  </si>
  <si>
    <t>The Principality of Monaco is committed to reducing its emissions by 55% by 2030.</t>
    <phoneticPr fontId="7"/>
  </si>
  <si>
    <t>Relative emission reduction</t>
    <phoneticPr fontId="7"/>
  </si>
  <si>
    <t>Energy sector: 11.5% by 2030 and 24% by 2050</t>
    <phoneticPr fontId="7"/>
  </si>
  <si>
    <t>BAU</t>
    <phoneticPr fontId="7"/>
  </si>
  <si>
    <t>2030, 2050</t>
    <phoneticPr fontId="7"/>
  </si>
  <si>
    <t>[Translated] By 2050, Panama will achieve a reduction in total emissions from the country's energy sector by at least 24% and by at least 11.5% by 2030, with respect to the trend scenario
Panama is committed to the forest restoration of 50,000 ha at the national level, which will contribute to the carbon absorption of approximately 2.6 million tons of CO2 eq by the year 2050.</t>
    <phoneticPr fontId="7"/>
  </si>
  <si>
    <t>・Energy
・Integrated river basin management
・resilient human settlements
・Sustainable infrastructure
・Public health
・Marine-coastal systems
・Biodiversity
・Agriculture
・Circular economy
・Loss and damage</t>
    <phoneticPr fontId="7"/>
  </si>
  <si>
    <t>a) preparation of water balances in priority basins as a contribution to the GICH;
b) evaluation of the impact of saline intrusion in coastal aquifers and the delimitation of areas vulnerable to contamination by salinization;
c) identification
and planning of actions to control floods in the event of floods due to heavy rain events for their use;
d) establishment of an environmental quality index for its application in rivers, reservoirs and wetlands;
e) development of the technical manual to carry out artificial recharge projects of aquifers (methodology and procedures).</t>
    <phoneticPr fontId="7"/>
  </si>
  <si>
    <t>[Translated] The Panamanian State sees the voluntary cooperation mechanisms outlined by Article 6 of the Paris Agreement as fundamental to global climate integrity and essential to accelerate climate action. Therefore, we are committed to a successful conclusion of the negotiations on Article 6 that will result in　mechanisms that contribute to the achievement of carbon neutrality at the global and national level by 2050. Therefore, Panama is committed to using the three cooperation mechanisms included in Article 6.2 of the Paris Agreement to meet its climate goals. In that sense, we have joined the Alliance of the San José Principles led by Costa Rica, which constitutes a key space to discuss innovative and high-ambition solutions for the negotiation of the rules and guidelines related to Article 6 of the Paris Agreement, but also as a guide for the prompt implementation of national carbon markets in participating countries.</t>
    <phoneticPr fontId="7"/>
  </si>
  <si>
    <t>Kenya seeks to undertake an ambitious mitigation contribution towards the Paris Agreement. Kenya therefore seeks to abate her GHG emissions by 32% by 2030 relative to the BAU scenario of 143 MtCO2eq; and in line with its sustainable development agenda. Subject to national circumstances, Kenya intends to bear 21% of the mitigation cost from domestic sourcies, while 79% of this is subject to international support in the form of finance, technology development and transfer, and capacity building.</t>
    <phoneticPr fontId="7"/>
  </si>
  <si>
    <t>Kenya intends to use voluntary cooperation under Article 6 of the Paris Agreement, if applicable, with the guidance adopted by CMA. Kenya will develop domestic legislation and institutional frameworks to govern her engagement in market and non-market mechanism.</t>
    <phoneticPr fontId="7"/>
  </si>
  <si>
    <t>Kenya aims to ensure a cilmate resilient society. This is to be achieved through mainstreaming climate change adaptation into the Medium-Term Plans and County Integrated Development Plans and implementing adaptation actions. Subject to national circumstances, Kenya intends to mobilize domestic resources to cater for 10% of the adaptation cost, while 90% of the adaptation cost will require international support in form of finance, technology development and transfer, and capacity building.</t>
    <phoneticPr fontId="7"/>
  </si>
  <si>
    <t>The total cost of implementing mitigation and adaptation actions in the Updated NDC is estimated at USD 62 Billion. 
Compared to our first NDC which was fully conditional to support, Kenya commits to mobilize resources to meet 13% of this budget, and will require international support for 87% of the budget.</t>
    <phoneticPr fontId="7"/>
  </si>
  <si>
    <t>26% reduction of emissions in 2030 (under a BAU) in a conditional manner, in the context of sustainable development, supported and enabled by availability of financial resources, technology transfer and capacity building. However, the Government of Maldives believes that it has a responsibility to take a transformational economic and environmental path to development and aims to reach net-zero by 2030 provided on condition that it gets the extensive support and assistance from the international community. Maldivian government will develop a plan with consultation of development partners, donors and other stakeholders, mapping out the net-zero pathway.</t>
    <phoneticPr fontId="7"/>
  </si>
  <si>
    <t>26% (conditional)</t>
    <phoneticPr fontId="7"/>
  </si>
  <si>
    <t>Yes</t>
    <phoneticPr fontId="7"/>
  </si>
  <si>
    <t>The Maldives intends to participate in the mechanisms under the Article 6 of the Paris Agreement. However, due to lack of agreed rules at the time of this submission, the level of participation for achievement of the NDC target is not determined.</t>
    <phoneticPr fontId="7"/>
  </si>
  <si>
    <t>Early warning systems, disaster risk management, improving emergency preparedness and response capacities, energy effiency and energy security, biodiversity conservatoin and sustainable land management.</t>
    <phoneticPr fontId="7"/>
  </si>
  <si>
    <t>[Translated] 
Unconditional goal: 5 and 7% reduction in GHG emissions 
Conditional goal: 23.7 and 29.5% reduction in GHG emissions in 2025 and 2030 respectively</t>
    <phoneticPr fontId="7"/>
  </si>
  <si>
    <t>5% and 7% (unconditional), 23.7% and 29.5% (conditional)</t>
    <phoneticPr fontId="7"/>
  </si>
  <si>
    <t>[Translated] Under the unconditional scenario (INDC) emission reductions relative to baseline projections will be 3%, 4% and 5% in 2020, 2025 and 2030 respectively. Under the conditional scenario (INDC+), expected emission reductions will be 7%, 15% and 21% for the same years.</t>
    <phoneticPr fontId="7"/>
  </si>
  <si>
    <t>[Translated]
・ Strengthen networks for the observation and collection of climatic, oceanic and coastal data;
・ Strengthen the resilience of ecosystems and production activities;
・ Ensure the health, well-being and protection of populations against risks and disasters linked to extreme events and climate change.</t>
    <phoneticPr fontId="7"/>
  </si>
  <si>
    <t>[Translated] The financing needs for the Mitigation of GHG emissions amount to approximately 8.7 billion US dollars of which 3.4 billion US dollars unconditional and 5.3 billion US dollars conditional.
Senegal's climate change adaptation financing needs over the period amount to approximately US $ 4.3 billion of which US 1.4 billion unconditional and US 2.9 billion conditional.
This estimate does not cover aspects related to capacity building. These are estimated at US $ 100 million during the period 2020-2030.</t>
    <phoneticPr fontId="7"/>
  </si>
  <si>
    <t>N/A</t>
    <phoneticPr fontId="7"/>
  </si>
  <si>
    <t xml:space="preserve">[Translated] Regarding the use of market mechanisms, Senegal does not intend to realise its contribution by buying certified emission reductions units from any mechanism existing or to come. Nevertheless, Senegal will welcome projects from any international mechanism directed towards protection of the environment through respect of rules that provide real, permanent, additional and verified results, while avoiding double counting of emissions and responding to sustainable development objectives. Besides, Senegal promotes the continuation of the Clean Development Mechanism (CDM) establised under the Kyoto Protocol and its continuation under a new form under the new Agreement to be adopted. </t>
    <phoneticPr fontId="7"/>
  </si>
  <si>
    <t>Yes, but not mentioned in NDC</t>
    <phoneticPr fontId="7"/>
  </si>
  <si>
    <t>BAU</t>
    <phoneticPr fontId="7"/>
  </si>
  <si>
    <t>Relative emission reduction</t>
    <phoneticPr fontId="7"/>
  </si>
  <si>
    <t>Economy-wide</t>
    <phoneticPr fontId="7"/>
  </si>
  <si>
    <t>Reduction of 23.5% in GHG emissions for the year 2030, relative to BAU. BAU scenario emissions in 2030 stand at about 310 million tonnes, assuming a moderate annual economic growth rate based on historical growth trends.</t>
    <phoneticPr fontId="7"/>
  </si>
  <si>
    <t>The country proposes a New Ambition in the NDC-RD 2020: Reduction of 27% of GHG emissions with respect to BAU 2030 with the following objectives, 20% conditioned on external finances and 7% unconditional on domestic finances (5% the private sector and 2% public sector).</t>
    <phoneticPr fontId="7"/>
  </si>
  <si>
    <t>7% (unconditional), 27% (conditional)</t>
    <phoneticPr fontId="7"/>
  </si>
  <si>
    <t>The country voluntarily participates in cooperative approaches on mitigation results through international transfer in especially energy and industrial sectors, without having commitments with the NDC, and will ensure the absence of double counting.
The use of mitigation results in the projects registered within the Clean Development Mechanism with international transfer will not be accounted for in compliance with the NDC at the national level, if another commitment is set it must be authorized by the countries participating in the project.
The emission reductions generated by a market mechanism will not be used by the country to demonstrate compliance with the NDC, unless the country that transfers technology with market mechanisms does not use them to demonstrate compliance with its own NDC.
The country is in the process of preparing to create a domestic Emissions Trading System and that would eventually consider integration with other existing trading systems.</t>
    <phoneticPr fontId="7"/>
  </si>
  <si>
    <t>The country proposes to achieve, based on evaluated and proposed mitigation options, mobilize an estimated investment of USD $ 8,916,950,000.00 expressed in a conditional and unconditional manner. Likewise, an investment for adaptation amounting to USD $ 8,634,707,651.67 is estimated for the sectors of water security, food security and resilient cities.</t>
    <phoneticPr fontId="7"/>
  </si>
  <si>
    <t>The country intends to design an Inventory System for Climate Technologies to be transferred that includes local generation, as well as the adoption of existing technologies worldwide.</t>
    <phoneticPr fontId="7"/>
  </si>
  <si>
    <t>・ Water Security Sector (drinking Water) and Food Security Sector (agriculture)
・ Climate Resilient Cities Sector (infrastructures, human settlements)
・ Health Sector
・ Ecosystems, Biodiversity and Forests Sector.
・ Tourism Sector
・ Coastal-Marine Resources Sector</t>
    <phoneticPr fontId="7"/>
  </si>
  <si>
    <t>22% (unconditional), 36% (conditional)</t>
    <phoneticPr fontId="7"/>
  </si>
  <si>
    <t>Mexico established an unconditional commitment to reduce its GHG emissions by 22% and 5 1% of its BC (black carbon)  emissions by 2030, compared to BAU scenario. Regarding the conditional commitments, the reduction of GHG emissions can be increased up to 36% and 70% of its BC emissions if there are more resources available for the implementation.</t>
    <phoneticPr fontId="7"/>
  </si>
  <si>
    <t>Mexico is committed to reduce unconditionally 25% of its Greenhouse Gases and Short Lived Climate Pollutants emissions (below BAU) for the year 2030. This commitment implies a reduction of 22% of GHG and a reduction of 51% of Black Carbon.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phoneticPr fontId="7"/>
  </si>
  <si>
    <t>Mexico expresses its interest in participating in international carbon markets under Article 6 of the Paris Agreement. It is expected that these transfers will support the country in increasing the target to 36% of emission reductions.</t>
    <phoneticPr fontId="7"/>
  </si>
  <si>
    <t>・Prevention and management of negative impacts on the human population and the territory
・Resilient production systems and food safety
・Conservation, restoration and sustainable use of biodiversity and ecosystem services
・Comprehensive water resources management with a focus on climate change
・Protection of strategic infrastructure and tangible cultural heritage</t>
    <phoneticPr fontId="7"/>
  </si>
  <si>
    <t>No</t>
    <phoneticPr fontId="7"/>
  </si>
  <si>
    <t>Yes (NDC and Updated NDC)</t>
    <phoneticPr fontId="7"/>
  </si>
  <si>
    <t>Absolute emission reduction</t>
    <phoneticPr fontId="7"/>
  </si>
  <si>
    <t>The Argentine Republic reserves its national position and decision-making regarding the possible use of any market mechanism that may be established under the Paris Agreement, until the negotiations on Article 6 of the Paris Agreement are concluded in the UNFCCC framework. Until then, any operation involving emission reduction units achieved in Argentine territory, both public and private, must be registered and have the express authorization of the National Government, and, unless expressly provided otherwise, all emission reductions in the national territory will be accounted for to achieve the goal of the NDC.</t>
    <phoneticPr fontId="7"/>
  </si>
  <si>
    <t>169.44 Mton CO2 eq (equivalent to 51% reduction compared to BAU)</t>
    <phoneticPr fontId="7"/>
  </si>
  <si>
    <t>Colombia intends to participate in cooperative approaches under Article 6 of the Paris Agreement, in accordance with the decisions adopted by the CMA on the matter and with the environmental integrity approach indicated by the San José Principles.</t>
    <phoneticPr fontId="7"/>
  </si>
  <si>
    <t>・Incorporation of adaptation to climate change in sectoral instruments, through the development of guidelines, tools and criteria that guide the management of adaptation in the sector.
・Develop protection and conservation actions in 24 water supply basins in municipalities susceptible to shortages due to low rainfall and rainy seasons.
・By 2030, 40% of the institutions that provide health services in the public sector will implement adaptation actions in the face of possible events associated with variability and climate change.</t>
    <phoneticPr fontId="7"/>
  </si>
  <si>
    <t>・Implementation of climate resilient technology and infrastructure
・Design and implementation of an early warning system (EWS) for the health sector associated with climate variability.
・Design of a statistical tool that allows the analysis of information on climate-sensitive health events and supports public health surveillance actions for the Territorial Health Directorates (DTS).</t>
    <phoneticPr fontId="7"/>
  </si>
  <si>
    <t>・Emit a maximum of 169.44 million t CO2 eq in 2030 (equivalent to a 51% reduction in emissions compared to the projected emissions in 2030 in the reference scenario), initiating a decrease in emissions between 2027 and 2030 tending towards carbon neutrality in the middle of the century.
・Establish carbon budgets for the period 2020-2030 no later than 2023.
・Reduce black carbon emissions by 40% compared to 2014 level</t>
    <phoneticPr fontId="7"/>
  </si>
  <si>
    <t>25% (conditional), 47% (extra conditional)</t>
    <phoneticPr fontId="7"/>
  </si>
  <si>
    <t>Relative emission reduction</t>
    <phoneticPr fontId="7"/>
  </si>
  <si>
    <t>BAU</t>
    <phoneticPr fontId="7"/>
  </si>
  <si>
    <t>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phoneticPr fontId="7"/>
  </si>
  <si>
    <t>Yes</t>
    <phoneticPr fontId="7"/>
  </si>
  <si>
    <t>N/A</t>
    <phoneticPr fontId="7"/>
  </si>
  <si>
    <t>• Water technologies for savings, recycling, irrigation and sustainable management for household, agriculture and industrial purposes.</t>
    <phoneticPr fontId="7"/>
  </si>
  <si>
    <t>12.4% (unconditional), 53.5% (conditional)</t>
    <phoneticPr fontId="7"/>
  </si>
  <si>
    <t>The impact of policy interventions proposed under the unconditional scenario will result in absolute emission levels of 360.85 Mt CO2 eq in 2030, which represents a reduction against the revised BAU of 12.4% (-51.1 Mt CO2 eq) in the same year. The combined impact of policy scenarios proposed under the conditional scenario decreases absolute emission levels to 242.8 Mt CO2 eq, which represents the reduction of 41.1% (-169.3 Mt CO2 eq) in comparison with the revised BAU; this scenario is conditional on international support. (…) The emissions reduction target including both unconditional and conditional interventions is 53.5%.</t>
    <phoneticPr fontId="7"/>
  </si>
  <si>
    <t>Brunei Darussalam is committed to a reduction in GHG emissions by 20% relative to Business-As-Usual levels by 2030.</t>
    <phoneticPr fontId="7"/>
  </si>
  <si>
    <t>Economy-wide</t>
    <phoneticPr fontId="7"/>
  </si>
  <si>
    <t>Market mechanisms: Brunei Darussalam envisages to achieve the intended GHG emissions reductions under this NDC through domestic actions and financing. However, the Government of Brunei Darussalam will explore possible bilateral, regional and international mechanisms in meeting the NDC target.</t>
    <phoneticPr fontId="7"/>
  </si>
  <si>
    <t>The National Disaster Management Centre organises community-based activities that aim to (i) strengthen institutional capacity and policy frameworks for effective implementation for CCA (climate change adaptation) and DRR (disaster risk reduction); (ii) Establish an ASEAN youth leadership in CCA and DRR; (iii) Increase replicable programmes and models of building community resilience; and (iv) Strengthen awareness-building programmes on a disaster resilient and climate change adaptive ASEAN Community.</t>
    <phoneticPr fontId="7"/>
  </si>
  <si>
    <t>The total funding required for all mitigation actions is over US $ 5.8 billion. The FOLU, waste, and energy sector actions require the highest funding. Total funding required for all adaptation actions is just over US $ 2 billion.</t>
    <phoneticPr fontId="7"/>
  </si>
  <si>
    <t>The agricultural sector indicated detailed technology needs for climate smart practices in all its proposed actions, ranging from stress tolerant varieties, to systems of rice intensification to integrated pest management and integrated soil and nutrient management.</t>
    <phoneticPr fontId="7"/>
  </si>
  <si>
    <t>Despite ongoing efforts, financial demands remain high. Future resource mobilisation will look towards a reasonable mix of national and international funds, in addition to market mechanisms, where appropriate, and in line with progress on Article 6 of the Paris Agreement.</t>
    <phoneticPr fontId="7"/>
  </si>
  <si>
    <t>The estimated emissions reduction with the FOLU by 2030 under the NDC scenario will be approximately 64.6 million tCO2e/year (41.7% reduction of which 59.1% is from the FOLU).</t>
    <phoneticPr fontId="7"/>
  </si>
  <si>
    <t>Economy-wide Target: GHG reduction of at least 45% below 2010 levels by 2030</t>
    <phoneticPr fontId="7"/>
  </si>
  <si>
    <t xml:space="preserve">RMI is proud to support efforts for ambitious decarbonization action in the International Maritime Organization (IMO), including through the introduction of a market-based measure to put a price on carbon.
</t>
    <phoneticPr fontId="7"/>
  </si>
  <si>
    <t xml:space="preserve">decarbonize motor vessels </t>
    <phoneticPr fontId="7"/>
  </si>
  <si>
    <t>30% of BAU CO2 emissions from the energy sector by 2030. Absolute reduction as compared to reference year emissions.
Of the 30% reduction of BAU baseline CO2 emissions, 10% will be achieved “unconditionally” using available resources in the country and 20% achieved “condition-ally”.</t>
    <phoneticPr fontId="7"/>
  </si>
  <si>
    <t>・To adopt Climate Smart Agriculture practices, with emphasis on the promotion of sustainable practices in crop management, livestock and sugarcane farming and fisheries.
・To enhance resilience by upgrading, repairing and relocating new and existing critical public infrastruc-ture.
・Develop simplified and standardised early warning and monitoring systems, and prioritise nature-based solutions to mitigate the impact of flooding and cy-clones.
・Relocate highly vulnerable communities, and implement the concept of ‘build back better’.
・Build strong healthcare system by implement-ing the ‘Guidelines for climate-resilient and environmen-tally sustainable health care facilities in Fiji’.
・To conserve natural environment and biodi-versity wealth enabling sustainable long-term provision of ecosystem services, including carbon sequestration po-tential.
・To plant 30 million trees by 2035.
・To establish 30% of our Exclusive Economic Zones (EEZ) as Marine Protected Areas and work to-wards 100% management of our EEZ by 2030 through the implementation of the National Ocean Policy.</t>
    <phoneticPr fontId="7"/>
  </si>
  <si>
    <t>Sectoral</t>
    <phoneticPr fontId="7"/>
  </si>
  <si>
    <t>this NDC update recognises that the cost of implementing this target currently stands at US$ 2.97 billion between 2017 -20301. This is an exorbitant financial challenge compounded by competing adaptation and disaster risk challenges the country faces, all of which are exacerbated by the COVID19 economic crisis.</t>
    <phoneticPr fontId="7"/>
  </si>
  <si>
    <t>Fiji recognises the role of international market-based cooperation in facilitating, expediting and enhancing technology development and transfer, capacity building and access to financial resources to support low carbon and climate resilient efforts. Fiji will explore the potential of bilateral, regional and multilateral market-based cooperation, including in the context of Article 6 of the Paris Agreement to support the achievement of its own NDC and to provide additional mitigation outcomes to support NDC attainment by other countries.</t>
    <phoneticPr fontId="7"/>
  </si>
  <si>
    <t>Memo</t>
    <phoneticPr fontId="7"/>
  </si>
  <si>
    <t>・Updated information of Chile, Japan, New Zealand, Singapore based on their updated NDC</t>
    <phoneticPr fontId="7"/>
  </si>
  <si>
    <t>-</t>
    <phoneticPr fontId="7"/>
  </si>
  <si>
    <t>Yes 
(First NDC)</t>
    <phoneticPr fontId="7"/>
  </si>
  <si>
    <t>Iceland is committed to a target of 55 per cent net reduction of greenhouse gas emissions by 2030 compared to 1990, acting jointly with the European Union and its Member States and Norway to achieve this target, within the framework of their climate cooperation agreement.</t>
    <phoneticPr fontId="7"/>
  </si>
  <si>
    <t xml:space="preserve">The target of at least 55% net reduction by 2030 is intended to be achieved through domestic measures, in the context of acting jointly with the European Union and its Member States and with Norway, without contribution from international credits. </t>
    <phoneticPr fontId="7"/>
  </si>
  <si>
    <t>Yes</t>
    <phoneticPr fontId="7"/>
  </si>
  <si>
    <t>N/A</t>
    <phoneticPr fontId="7"/>
  </si>
  <si>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t>
    <phoneticPr fontId="7"/>
  </si>
  <si>
    <t>South Sudan aims to undertake the policies and actions in following sectors: energy generation and use; Land Use and Land use Change; and Transport, to address its future emissions that are likely to result from growth strategies. These efforts are contingent on availability of technical assistance to develop the necessary regulations, policies, and standards as well as financial support for investing in low carbon options.</t>
    <phoneticPr fontId="7"/>
  </si>
  <si>
    <t>Lebanon</t>
    <phoneticPr fontId="7"/>
  </si>
  <si>
    <t>20% (unconditional), 31% (conditional)</t>
    <phoneticPr fontId="7"/>
  </si>
  <si>
    <t>1. Lebanon commits to unconditionally reduce its greenhouse gas emissions by 20% below its Business-As-Usual (BAU) scenario (amounting to 7,790 Gg. CO2eq.) and to conditionally reduce its greenhouse gas emissions by 31% below its Business-As-Usual (BAU) scenario in 2030 (amounting to 12,075 Gg. CO2eq.) 
2. Lebanon commits to unconditionally generate 18% of its power demand(i.e. electricity demand) and 11% of its heat demand (in the building sector) by renewable energy sources and to conditionally generate 30% (i.e. electricity demand) of its power demand and 16.5% of its heat demand (in the building sector) by renewable energy sources in 2030 
3. Lebanon commits to unconditionally reduce power demand through energy efficiency measures by 3% under the Business-As-Usual (BAU) scenario and to conditionally reduce power demand through energy efficiency measures by 10% under the Business-As-Usual (BAU) scenario in 2030.</t>
    <phoneticPr fontId="7"/>
  </si>
  <si>
    <t>1. Strengthen the agricultural sector’s resilience to enhance Lebanon’s agricultural output in a climate-smart manner
2. Promote the sustainable use of natural resources, restore degraded landscapes, and increase Lebanon’s forest cover while meeting the ecological, social and economic needs of sustainable forest management
3. Structure and develop sustainable water services, including irrigation, in order to improve people's living conditions
4. Value and sustainably manage Lebanon’s terrestrial and marine biodiversity for the preservation and conservation of its ecosystems and habitats and the species they harbour in order to adequately respond to anthropogenic and natural pressures and to ensure Lebanese citizens equal access to ecosystem goods and services
5. Reduce the vulnerability of climate change impacts on coastal zones, especially in cities
6. Ensure overall public health and safety through climate-resilient health systems
7. Reduce disaster risk and minimize damages by mitigating and adapting to climate-related natural hazards and extreme weather</t>
    <phoneticPr fontId="7"/>
  </si>
  <si>
    <t>While at present, the use of Article 6 mechanisms is not envisaged, Lebanon does not exclude the possibility of making use of international market mechanisms to achieve its NDC targets.</t>
    <phoneticPr fontId="7"/>
  </si>
  <si>
    <t>Absolute emission reduction</t>
    <phoneticPr fontId="7"/>
  </si>
  <si>
    <t>Activity-based mitigation targets, sectoral and policy targets in key sectors, including emissions reduction in some sub-sectors. The GHG emission reduction targets in this section are all conditional upon international support (financial and technical support) made available.
Energy Industry (Electricity Generation)
 By 2030, Renewable Energy Capacity Addition and substituting (replacement) of fossil fuels with Coconut (Copra) Oil based Electricity Generation: transitioning to close to 100% renewable energy in the electricity generation sector.
......</t>
    <phoneticPr fontId="7"/>
  </si>
  <si>
    <t>Yes</t>
    <phoneticPr fontId="7"/>
  </si>
  <si>
    <t>N/A</t>
    <phoneticPr fontId="7"/>
  </si>
  <si>
    <t>100% RE in electricity generation (conditional)</t>
    <phoneticPr fontId="7"/>
  </si>
  <si>
    <t>Cabo Verde makes an unconditional commitment: to achieve 100% grid access by 2017; and to achieve a 30% renewable energy penetration rate into the electric grid by 2025. With international support, Cabo Verde seeks to increase the renewable energy uptake in electricity to 100% by 2025.</t>
    <phoneticPr fontId="7"/>
  </si>
  <si>
    <t>#1: Cabo Verde undertakes to minimise technical and commercial water losses and to mobilise water supply using renewable energy to secure a sustainable and resilient water management system by 2030.
#2: Cabo Verde undertakes to provide sewage systems to all households and provides safe wastewater treatment, increasing the use of renewable energy and the recovery of nutrients and energy from wastewater, by 2030.</t>
    <phoneticPr fontId="7"/>
  </si>
  <si>
    <t>Relative emission reduction</t>
    <phoneticPr fontId="7"/>
  </si>
  <si>
    <t>At least 18% (unconditional), 24% (conditional)</t>
    <phoneticPr fontId="7"/>
  </si>
  <si>
    <t>At least 18% below BAU by 2030 and 24% below BAU in a conditional scenario (single-year target).</t>
    <phoneticPr fontId="7"/>
  </si>
  <si>
    <t>Yes</t>
    <phoneticPr fontId="7"/>
  </si>
  <si>
    <t>it is estimated that the incremental financial resources Cabo Verde would need for implementing the updated NDC amount to a minimum of 2 bn Euros for 10 years of climate action, half of the amount being earmarked for mitigation, and half for adaptation</t>
    <phoneticPr fontId="7"/>
  </si>
  <si>
    <t>・Overcoming barriers to the diffusion of appropriate low-carbon technologies:
・Involvement of the private sector;
・Support to develop a comparable, standardised, reliable climate vulnerability index, taking national circumstances into account:
・Availability of satellite, radar, drone and other international climate observation data, statistics and digital management systems:
・Continued mutual learning between national and international research and academia.</t>
    <phoneticPr fontId="7"/>
  </si>
  <si>
    <t>Cabo Verde strongly supports all three instruments on enhanced ambition provided in Art. 6 of the Paris Agreement. This includes the mitigation mechanism (Art. 6.4) as well as bilateral cooperative approaches (Art. 6.2) applied to, in particular, the energy and mobility sectors, with a view to meeting the targets marked in this NDC update as conditional on adequate international support.</t>
    <phoneticPr fontId="7"/>
  </si>
  <si>
    <t>As regards markets, Chile does not rule out using international GHG emission transaction. Chile recognizes that Article 6 of the Paris Agreement is a mechanism for countries to implement mitigation actions in a cost-effective manner and to advance in the implementation of new technologies in collaboration with other Parties, through Internationally Transferred Mitigation Outcomes (ITMOs), for example. It is also the only article that facilitates and/or promotes private sector participation, which is key to increase ambition. Therefore, at the national level, in 2020 we will establish a public-private dialogue roundtable to define specific policy for the use of markets, taking into account clear guidelines that preserve environmental integrity, avoid double-counting and promote sustainable development.</t>
    <phoneticPr fontId="7"/>
  </si>
  <si>
    <t>Apr-2021</t>
    <phoneticPr fontId="7"/>
  </si>
  <si>
    <t>Absolute emission reduction</t>
    <phoneticPr fontId="7"/>
  </si>
  <si>
    <t>7% (conditional)</t>
    <phoneticPr fontId="7"/>
  </si>
  <si>
    <t>N/A</t>
    <phoneticPr fontId="7"/>
  </si>
  <si>
    <t>Sectoral</t>
    <phoneticPr fontId="7"/>
  </si>
  <si>
    <t>Saint Lucia’s NDC is mitigation-centric and the NDC’s target is 7% Greenhouse Gas (GHG) emissions reduction in the energy sector relative to 2010, by 2030. Saint Lucia’s target is a sector-wide emissions reductions target using 2010 as base, covering IPCC’s energy (electricity generation and transportation) sector, and three gases: Carbon Dioxide, Methane, and Nitrous Oxide.</t>
    <phoneticPr fontId="7"/>
  </si>
  <si>
    <t>Considering the facts mentioned above, and as part of the NAP process, Saint Lucia has committed to prioritising cross‐sectoral and sectoral adaptation measures for eight key sectors/thematic areas and a segment on the ‘limits to adaptation’. The NAP is complemented, incrementally, with SASAPs. Priority 5 sectors for adaptation action include: Tourism; Water; Agriculture; Fisheries; Infrastructure and spatial planning; Resilient Ecosystems; Education; and Health.</t>
    <phoneticPr fontId="7"/>
  </si>
  <si>
    <t>The total indicative cumulative investment costs to achieve the mitigation targets by 2030 are expected to be in the order of USD $368 million (at 2020 prices). Investment costs refer to the total capital finance required to implement the mitigation actions that is incremental to baseline expenditures. The indicative costs were calculated considering the capital costs of any operation and maintenance, fuel expenses, or the energy savings associated with implementing measures.</t>
    <phoneticPr fontId="7"/>
  </si>
  <si>
    <t>National level market-based instruments, such as cap-and- trade emission trading schemes and offsetting, are crucial to price carbon emissions and keep the costs of mitigation in Saint Lucia low. These will be pursued to encourage implementation of the proposed mitigation measures drawing on any applicable international arrangements. Saint Lucia is in the process of developing a national REDD+ program.</t>
    <phoneticPr fontId="7"/>
  </si>
  <si>
    <t>• Unconditional target: A GHG emission reduction of 15% compared to the Business As-Usual (BAU) scenario in 2030. 15% of the power and heat demand in 2030 is generated by renewable energy sources. A 3% reduction in power demand through energy-efficiency measures in 2030 compared to the demand under the Business-As-Usual scenario."
•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</si>
  <si>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・Updated information of Andorra, Argentina, Australia, Bangladesh, Brazil, Cabo Verde, Cambodia, Colombia, Costa Rica, Cuba, Dominican Republic, Ethiopia, EU (27 countries), Fiji, Grenada, Iceland, Jamaica, Kenya, Korea (Republic of), Lebanon, Maldives, Mexico, Monaco, Mongolia, Nepal, Nicaragua, Papua New Guinea, Papua New Guinea, Panama, Peru, Rwanda, Saint Lucia, Switzerland, Thailand, Tonga, United Arab Emirates, United Kingdom, Vanuatu, Viet Nam, and Zambia based on their Updated/Second NDC
・Updated information of Angola, Brunei Darussalam, Russian Federation, Senegal, and South Sudan based on their First NDC
・Updated information of Marshall Islands based on its updated second NDC</t>
    <phoneticPr fontId="7"/>
  </si>
  <si>
    <t>Yes
 (First NDC)</t>
    <phoneticPr fontId="7"/>
  </si>
  <si>
    <t>BAU</t>
    <phoneticPr fontId="7"/>
  </si>
  <si>
    <t>2.71% (unconditional), 72.29% (conditional)</t>
    <phoneticPr fontId="7"/>
  </si>
  <si>
    <t>Yes (First NDC)</t>
    <phoneticPr fontId="7"/>
  </si>
  <si>
    <t>The Philippines commits to a projected GHG emissions reduction and avoidance of 75%, of which 2.71% is unconditional and 72.29% is conditional, representing the country's ambition for GHG mitigation for the period 2020 to 2030 for the sectors of agriculture, wastes, industry, transport, and energy. This commitment is referenced against a projected business-as-usual cumulative economy-wide emission of 3,340.3 MtCO2e for the same period.</t>
    <phoneticPr fontId="7"/>
  </si>
  <si>
    <t>The Philippines shall undertake adaptation measures across but not limited to, the sectors of agriculture, forestry, coastal and marine ecosystems and biodiversity, health, and human security, to preempt, reduce and address residual loss and damage. The Philippines shall pursue forest protection, forest restoration and reforestation, and access to results-based finance in forest conservation. The country shall also endeavor to undertake equitable adaptation strategies with mitigation co-benefits and ensure their contribution to the national pandemic recovery.</t>
    <phoneticPr fontId="7"/>
  </si>
  <si>
    <t>Yes</t>
    <phoneticPr fontId="7"/>
  </si>
  <si>
    <t>No</t>
    <phoneticPr fontId="7"/>
  </si>
  <si>
    <t>capacity of the country, including through enhanced access to climate finance, technology development and transfer, and capacity building, especially on the implementation of the policies and measures on and the uptake of circular economy and sustainable consumption and production practices.</t>
    <phoneticPr fontId="7"/>
  </si>
  <si>
    <t>The implementation of the mitigation commitments shall be undertaken through bilateral, regional and multilateral cooperation. In addition, the benefits of market and non-market mechanisms under Article 6 of the Paris Agreement shall continue to be explored, consistent with national circumstances and sustainable development aspirations.</t>
    <phoneticPr fontId="7"/>
  </si>
  <si>
    <t>North Macedonia</t>
    <phoneticPr fontId="7"/>
  </si>
  <si>
    <t>Economy-wide, emission reduction of 51% in 2030 compared to base year emissions.</t>
    <phoneticPr fontId="7"/>
  </si>
  <si>
    <t>Absolute emission reduction</t>
    <phoneticPr fontId="7"/>
  </si>
  <si>
    <t>Economy-wide, emission reduction of 51% in 2030 compared to base
year emissions.</t>
    <phoneticPr fontId="7"/>
  </si>
  <si>
    <t>The Republic of North Macedonia plans to develop a National Adaptation Plan (NAP) based on nexus approaches in following areas: water, food, energy, health, biodiversity, tourism, forestry, disaster risk reduction, loss and damage, built in infrastructure.</t>
    <phoneticPr fontId="7"/>
  </si>
  <si>
    <t>Yes</t>
    <phoneticPr fontId="7"/>
  </si>
  <si>
    <t>N/A</t>
    <phoneticPr fontId="7"/>
  </si>
  <si>
    <t>The Republic of North Macedonia will study continuously how it can leverage international cooperation under Article 6 of the Paris Agreement.</t>
    <phoneticPr fontId="7"/>
  </si>
  <si>
    <t>2030, 2050</t>
    <phoneticPr fontId="7"/>
  </si>
  <si>
    <t>12.8% by 2030 and 50% by 2050 (unconditional), 17.5% by 2030 and 55% by 2050 (conditional)</t>
    <phoneticPr fontId="7"/>
  </si>
  <si>
    <t>The unconditional GHG emissions reduction target for 2030 is 12.8% compared to 2014 or 33.2% compared to 1990. The conditional target (with more intensive international assistance for the decarbonisation of mining areas) for 2030 is 17.5% compared to 2014 or 36.8% compared to 1990. GHG emissions reduction target for 2050 is 50.0% (unconditional) and 55.0% (conditional) compared to 2014, that is, 61.7% (unconditional) and 65.6% (conditional) compared to modelling 1990. In the case of conditional target, more intensive international assistance is expected for faster decarbonisation of the power sector with an emphasis on fair transition of mining areas. Not all of these targets include GHG sinks. In the forestry sector, measures are planned to increase the sinks by 93 GgCO2eq until 2030.</t>
    <phoneticPr fontId="7"/>
  </si>
  <si>
    <t>In response to the adverse consequences of climate change, in 2013 Bosnia and Herzegovina adopted its first Climate Change Adaptation and Low-Emission Development Strategy, the strategic objective of which was to increase resilience of Bosnia and Herzegovina to climate variability and climate change, while preventing environmental degradation, as well as gradual reduction of greenhouse gas emissions.
New Climate Change Adaptation and Low-Emission Development Strategy of Bosnia and Herzegovina for the period 2020-2030 is in the completion stage. The objective of the Strategy in the field of climate change adaptation is to increase the resilience of Bosnia and Herzegovina to climate variability and climate change, thus ensuring economic progress.</t>
    <phoneticPr fontId="7"/>
  </si>
  <si>
    <t>Yes</t>
    <phoneticPr fontId="7"/>
  </si>
  <si>
    <t>Out of the mechanisms in place, potentially in the EU ETS for achieving the conditional target. In future mechanisms depending on the EU accession process and the market mechanism conditions.</t>
    <phoneticPr fontId="7"/>
  </si>
  <si>
    <t>N/A</t>
    <phoneticPr fontId="7"/>
  </si>
  <si>
    <t>Will be considered</t>
    <phoneticPr fontId="7"/>
  </si>
  <si>
    <t>50-52%</t>
    <phoneticPr fontId="7"/>
  </si>
  <si>
    <t>the United States is setting an economy-wide target of reducing its net greenhouse gas emissions by 50-52 percent below 2005 levels in 2030.</t>
    <phoneticPr fontId="7"/>
  </si>
  <si>
    <t>At this time, the United States does not intend to use voluntary cooperation using cooperative approaches referred to in Article 6.2 or the mechanism referred to in Article 6.4 in order to achieve its target. Should the United States decide to use such voluntary cooperation towards achievement of its target or to authorize the use of internationally transferred mitigation outcomes towards the NDCs of other Parties, it would report on such use or authorization through its biennial transparency reports and consistent with any guidance adopted under Article 6.</t>
    <phoneticPr fontId="7"/>
  </si>
  <si>
    <t>N/A</t>
    <phoneticPr fontId="7"/>
  </si>
  <si>
    <t>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t>
    <phoneticPr fontId="7"/>
  </si>
  <si>
    <t>35% (unconditional), 50-57% (conditional)</t>
    <phoneticPr fontId="7"/>
  </si>
  <si>
    <t>Georgia is fully committed1 to an unconditional limiting target of 35% below 1990 level of its domestic total greenhouse gas emissions by 2030;
Georgia is committed to a target of 50-57% of its total greenhouse gas emissions by 2030 compared to 1990, in case of international support. If the world will follow 2OC average global temperature increase holding scenario, reduction of emissions by 50% will be necessary while in case of limiting increase to 1.5OC, it will be necessary to reduce emissions by 57% compared to 1990 level;</t>
    <phoneticPr fontId="7"/>
  </si>
  <si>
    <t>Georgia is committed to continue studying its adaptive capacity of different economic sectors to the negative effects of climate change, as well as to plan and implement the respective adaptation measures by mobilising domestic and international resources for the sectors particularly vulnerable to climate change.</t>
    <phoneticPr fontId="7"/>
  </si>
  <si>
    <t>Yes</t>
    <phoneticPr fontId="7"/>
  </si>
  <si>
    <t>N/A</t>
    <phoneticPr fontId="7"/>
  </si>
  <si>
    <t>40 per cent reduction from 1990 emission levels by 2030</t>
    <phoneticPr fontId="7"/>
  </si>
  <si>
    <t>The NDC commitment will be met through domestic actions, although donor support will be indispensable in order to ensure its implementation.
In order to promote and contribute to mitigation outcomes over and above its domestic efforts, Armenia intends to participate in market and non-market mechanisms under Article 6 of the Paris Agreement, subject to relevant provisions having been adopted by Parties to the Agreement, namely in cooperative approaches enabling the use of internationally transferred mitigation outcomes (ITMOs) under Article 6.2 by other Parties towards their NDCs, in project mechanisms under Article 6.4, providing additional mitigation outcomes to support the achievement of NDC goals by other countries, and in non-market approaches under Article 6.8 of the agreement. Armenia is already cooperating with the European Union and its Member States to promote measures at domestic, regional and international level, including with regard to market and non-market mechanisms for addressing climate change.</t>
    <phoneticPr fontId="7"/>
  </si>
  <si>
    <t>Relative emission reduction</t>
    <phoneticPr fontId="7"/>
  </si>
  <si>
    <t xml:space="preserve">60% (unconditional) </t>
    <phoneticPr fontId="7"/>
  </si>
  <si>
    <t>National level 2030 unconditional target: 60% GHG emission reductions compared to baseline scenario, or around 62,000 ktCO2e in absolute terms.</t>
    <phoneticPr fontId="7"/>
  </si>
  <si>
    <t>・Agriculture: Promote climate resilience in farming systems and agriculture Infrastructure
・Forestry and Land Use Change: Promote climate resilience in forestry production and forest ecosystems, including in buffer zones of protected areas and other forested areas
・Water Resources: Strengthen water resource information systems for climate change adaption
・Transport and Urban Development: Increase the resilience of urban development and infrastructure to climate change, including through the use of green infrastructure and nature-based solutions
・Public Health: Increase the resilience of public health infrastructure and water supply system to climate change
・Energy: Build resilience to climate change in hydropower sector through improved dam safety regulations and guidelines</t>
    <phoneticPr fontId="7"/>
  </si>
  <si>
    <t>Yes</t>
    <phoneticPr fontId="7"/>
  </si>
  <si>
    <t>N/A</t>
    <phoneticPr fontId="7"/>
  </si>
  <si>
    <t>Financing needs for implementation of mitigation measures towards the 2030 conditional targets have been estimated in table below and amount to USD 4,762 Million in total</t>
    <phoneticPr fontId="7"/>
  </si>
  <si>
    <t>The Government of Lao PDR herewith expresses interest in cooperating with other nation states to meet the objectives of the Paris Agreement, including but not limited to the use of internationally transferred mitigation outcomes as well as for the supply of clean, renewable energy from hydropower resources to neighboring countries.</t>
    <phoneticPr fontId="7"/>
  </si>
  <si>
    <t>16% except for LULUCF</t>
    <phoneticPr fontId="7"/>
  </si>
  <si>
    <t>Yes</t>
    <phoneticPr fontId="7"/>
  </si>
  <si>
    <t>[Translated] 
1. Honduras commits to a 16% reduction in emissions compared to the business as usual (BaU) scenario by 2030 for all sectors excluding LULUCF.
2. By 2030, Honduras commits to to promote the implementation of
the "conservation and functional restoration of the rural landscape", reaching 1.3 million hectares of forest under restoration.
3. By 2030, Honduras is committed to reduce household fuelwood consumption by 39%, helping to fight against deforestation</t>
    <phoneticPr fontId="7"/>
  </si>
  <si>
    <t>1. This year 2021, Honduras will present its first Adaptation first Adaptation Communication that has been developed as part of the work to update this NDC work on updating this NDC and is the knowledge base for this knowledge base for this section.
2. By 2022, Honduras will have completed the National Adaptation Program (NAPA) , with the aim of to operationalize the NAPA, in line with the measures the measures identified in this NDC.
3. By 2023, the National Water Policy will have been developed and the Water Authority will have been created, in addition to the strengthening of the National Meteorological Network among all institutions that generate hydroclimatic information.
...</t>
    <phoneticPr fontId="7"/>
  </si>
  <si>
    <t>MRV system for adaptation indicators, community-based early warning systems for floods and drought and drought</t>
    <phoneticPr fontId="7"/>
  </si>
  <si>
    <t>Honduras reserves the option to make use of cooperative and market-based approaches, including those under Article 6 of the Paris Agreement, including the use of mitigation outcomes from international transfer to meet its NDC.</t>
    <phoneticPr fontId="7"/>
  </si>
  <si>
    <t>Will be considered</t>
    <phoneticPr fontId="7"/>
  </si>
  <si>
    <t>2020</t>
    <phoneticPr fontId="7"/>
  </si>
  <si>
    <t>14% (unconditional), 24% (conditional)</t>
    <phoneticPr fontId="7"/>
  </si>
  <si>
    <t>2025</t>
    <phoneticPr fontId="7"/>
  </si>
  <si>
    <t>In this NDC update, Angola sets the target of achieving those 15% of emission reduction by 2025, unconditionally. In addition, it is expected that through a conditional mitigation scenario the country could reduce an additional 10% below BAU emission levels by 2025.</t>
    <phoneticPr fontId="7"/>
  </si>
  <si>
    <t>Agriculture and Fisheries: 
・ Conduct studies on the impact of climate change on fishing productivity and coastal economies
・ Develop community and school gardens
・ Apply the national collection of local seeds in programs to improve and create adapted local varieties
Coastal Zone:
・Assess the defense capacity of existing protection structures in risk areas, including the analysis of the feasibility of new investments for the construction of protection structures against sea level rise
Forest, Ecosystem and Biodiversity:
・Develop forest fire prevention actions
・Improve the management of existing conservation areas and continue the process of creating new areas</t>
    <phoneticPr fontId="7"/>
  </si>
  <si>
    <t>The total estimated cost for Angola’s identified NDC mitigation contribution through 2025 is estimated at around 44 billion USD and 144 million USD for adaptation contribution, representing a combined funding requirement of around 44.1 billion USD, across sectors.</t>
    <phoneticPr fontId="7"/>
  </si>
  <si>
    <t>Economy-wide GHG emission reduction target of 35% by 2030 compared to base year (1990) emissions, excluding LULUCF</t>
  </si>
  <si>
    <t>N/A</t>
    <phoneticPr fontId="7"/>
  </si>
  <si>
    <t>The accounting rules for international carbon markets under Article 6 of the Paris Agreement have not been set yet. Montenegro has not made any national decision on this issue yet but is striving to participate in the EU emission trading scheme from 2025 onwards.</t>
    <phoneticPr fontId="7"/>
  </si>
  <si>
    <t>Yes 
(First NDC and updated First NDC)</t>
    <phoneticPr fontId="7"/>
  </si>
  <si>
    <t>(Translated) Unconditional GHG emission reduction commitment of 18.3% (26,119.2 Gg CO2e) in 2030 compared to the (NAC) scenario with international support levels in effect in 2020 increased to 45.5% (64,771.5 Gg CO2e) with greater international support.</t>
    <phoneticPr fontId="7"/>
  </si>
  <si>
    <t>18.3% (unconditional), 45.5% (conditional)</t>
    <phoneticPr fontId="7"/>
  </si>
  <si>
    <t>(Translated) ・Consolidate and optimize the governance and strategic management of the national adaptation policy, including better coordination with the territorial levels of governance and the involvement of the actors in the field. levels of governance and the involvement of civil society actors. civil society.
・Inform decision making by improving access to climate data, information and knowledge, and by supporting the development of climate science research. scientific research in the climate field.
・Assess and prevent risks and vulnerabilities, and reduce climate impacts on safety, health, and economic assets (social cultural, public, private, and general population).
・Strengthen the resilience of natural ecosystems to climate change through an approach that combines the preservation of ecosystem services with sustainable livelihoods.
・Strengthen the resilience of the most vulnerable economic sectors to climate change.</t>
    <phoneticPr fontId="7"/>
  </si>
  <si>
    <t>Yes</t>
    <phoneticPr fontId="7"/>
  </si>
  <si>
    <t>The total cost of mitigation actions in the NDC is estimated at US$38.8 billion, including US$21.5 billion for conditional actions. The cost of implementing adaptation programs in the most affected sectors is sectors is estimated at nearly US$40 billion.</t>
    <phoneticPr fontId="7"/>
  </si>
  <si>
    <t>(Translated) Morocco is actively preparing to participate in the financial and cooperation mechanisms provided for in Article 6 of the Paris Agreement.
In the context of the Partnership for the Implementation of the (PMI) and the Transformative Carbon Asset Facility (TCAF) of the World Bank, Morocco aims to lay the groundwork for participate in Article 6 pilot activities. Morocco also plans to use its experience in development and management of projects under the CDM for its participation in Article 6 mechanisms.</t>
    <phoneticPr fontId="7"/>
  </si>
  <si>
    <t>Bhutan’s target is to maintain the status as a carbon neutral country where total GHG emissions do not exceed total removals by sinks including forests.
In order to maintain this carbon neutral status, sectoral targets, programs and plans have been prepared as part of sectoral LEDS and National REDD+ Strategy and Action Plan as described above in section 1(c).
The implementation and achievement of this target will depend on the level of support available for implementation and is therefore conditional on support received.</t>
    <phoneticPr fontId="7"/>
  </si>
  <si>
    <t>Bhutan’s first NAP is expected to be completed and submitted in 2021 and will be the basis of Bhutan’s Adaptation Communication to convey our priorities, plans, actions, and support needs for adaptation. The NAP will cover priority needs and actions in the areas of water, agriculture, forests &amp; biodiversity, and health.</t>
    <phoneticPr fontId="7"/>
  </si>
  <si>
    <t>Bhutan has participated in the Clean Development Mechanism of the Kyoto Protocol and continues to believe in the important role of innovative financing mechanism for climate actions with sustainable development benefits. Bhutan views cooperative approaches in market and non-market mechanisms under Article 6 of the Paris Agreement as an important instrument to raise mitigation ambition with environmental integrity while promoting sustainable development and welcomes the opportunity to participate on cooperative approaches.</t>
    <phoneticPr fontId="7"/>
  </si>
  <si>
    <t>Will be considered</t>
    <phoneticPr fontId="7"/>
  </si>
  <si>
    <t>40-45%</t>
    <phoneticPr fontId="7"/>
  </si>
  <si>
    <t>Reduce economy-wide, GHG emissions in 2030 by at least 40-45% below the base year’s emissions. Based on Canada’s best accounting of its 2005 emissions contained in its 2021NIR, this is equivalent to a target of 406.5-443.4 Mt CO2e.</t>
    <phoneticPr fontId="7"/>
  </si>
  <si>
    <t>Emission avoidance of 3,574,580 tCO2e by utility scale grid connected solar and wind power plants</t>
    <phoneticPr fontId="7"/>
  </si>
  <si>
    <t>・Utility scale grid connected solar and wind power plants: 3,574,580 tCO2e
・Inner-city private cars model switching to bus in Khartoum / Blending fossil fuel by 10 biofuel and promotion of fuel efficienc / Good trucks, switching to rail transport: 6,449,582 tCO2e
・Restoration and sustainable management of forests / carbon removal / blue carbon: 1.7 million ha estimated to reslt in removals of 35 million tCO2.
・Composting 60% of organic and recycling 15%, of the total waste / Establishment of landfills in all large urban areas of Sudan / Integrated solid waste management / Waste water treatment, sludge to biogas for electricity generation: 1,278,822 tCO2/year based on year 2025 estimate</t>
    <phoneticPr fontId="7"/>
  </si>
  <si>
    <t>Indonesia</t>
    <phoneticPr fontId="7"/>
  </si>
  <si>
    <t>No</t>
    <phoneticPr fontId="7"/>
  </si>
  <si>
    <t>Indonesia has committed to reduce unconditionally 29% of its greenhouse gasses emissions against the business as usual scenario by the year of 2030. The BAU scenario was projected approximately 2.87 GtCO2e in 2030 which is updated from the BAU scenario on the INDC due to existing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phoneticPr fontId="7"/>
  </si>
  <si>
    <t>20% reduction in projected BAU emissions by 2030, with the target being:
・ Target Conditional on external financing: 10% of the reduction.
・ Unconditional Target: 10% of the reduction.</t>
    <phoneticPr fontId="7"/>
  </si>
  <si>
    <t>Pursuant to Art. 7 of the Paris Agreement, the First Adaptation Communication is reported, while establishing a total of 25 objectives and their corresponding targets, with its lines of action, gaps and action lines, gaps and needs to 2030, in 7 prioritized sectors.
1. Communities and resilient cities, 2. Health and epidemiology, 3. Ecosystems and biodiversity, 4. Energy, 5. Agricultural production, forestry and food security, 6. water resources, 7. Transport</t>
    <phoneticPr fontId="7"/>
  </si>
  <si>
    <t>given the conditional portion (10%) of the mitigation target, the Republic of Paraguay reserves the right to adjust its level of ambition in accordance with the support received and its national circumstances, as well as decisions/negotiations from the Paris Agreement (e.g., in relation to the Paris Agreement regulations). in relation to the regulation on the International Carbon Market, as referred to in referred to in Art. 6).</t>
    <phoneticPr fontId="7"/>
  </si>
  <si>
    <t>Will be considered</t>
    <phoneticPr fontId="7"/>
  </si>
  <si>
    <t>Paraguay</t>
    <phoneticPr fontId="7"/>
  </si>
  <si>
    <t>No</t>
    <phoneticPr fontId="7"/>
  </si>
  <si>
    <t>14% and 33% (unconditional), 41% and 78% (conditional)</t>
    <phoneticPr fontId="7"/>
  </si>
  <si>
    <t>Solomon Islands is a growing small island developing State, with particular needs and priorities for sustainable development. Despite its status as a low emitting least developed country, Solomon Islands will nonetheless, commit to reduce its emissions by 14% by 2025 below 2015 and by 33% below 2015 by 2030 compared to a business-as-usual projection. If and when Paris Agreement addresses international assistance to access financial and technical resources, Solomon Islands can, with international assistance, contribute:
• a further 27% reduction in GHG emissions by 2025, and
• a further 45% reduction in GHG emissions by 2030, compared to BaU
projection.
With appropriate international assistance, Solomon Islands can achieve net
zero emissions by 2050.</t>
    <phoneticPr fontId="7"/>
  </si>
  <si>
    <t>Yes</t>
    <phoneticPr fontId="7"/>
  </si>
  <si>
    <t>N/A</t>
    <phoneticPr fontId="7"/>
  </si>
  <si>
    <t>Adaptation knowledge sharing, coordination and collaboration among Ministries, NGOs, private sector, faith
based organisations and development partners is lacking
• Development of knowledge and skills to address capacity gaps relating to climate change adaptation and
disaster risk reduction.
• Cost $126,6560,000 for adaptation (NAPA, National Communication Process)
• Community based vulnerability mapping, adaptation planning and management approaches to communitybased
adaptation projects on a whole of island basis.
• Establishment of institutional structures and strengthen capacities at the community level to support country
wide implementation of community-based vulnerability mapping and adaptation planning
• Setting aside value added tax charged for fuel
• Charging carbon levies,
• Charging fees for climate change research in the country
• Funding of national climate change trust fund for priority climate change measures
• Assistance from GCF Readiness programme to establish the necessary legal, institutional and fiduciary
management framework and accredit the national implementing entity.
• Improving donor coordination on climate change adaptation and mitigation programming and improved
coordination between relevant government agencies
• Effective implementation is conditional on and will depend on accessibility, availability and timely provision of
financial resources, technology and capacity building support.
• Intent of the government to increase use of RETs, improving energy security and reducing GHG emissions
• The main focus still remains achieving adequate adaption to climate change and sustainable development goals</t>
    <phoneticPr fontId="7"/>
  </si>
  <si>
    <t>Solomon Islands intends to use the market and non-market mechanisms under Article 6 of the Paris Agreement.</t>
    <phoneticPr fontId="7"/>
  </si>
  <si>
    <t>14% (unconditional), 68.8% (conditional)</t>
    <phoneticPr fontId="7"/>
  </si>
  <si>
    <t>The combined mitigation target (unconditional and conditional elements) corresponds to a reduction of 68.8% comared to the BAU projection by 2030. The unconditional component foresees emission reductions of 14% and the conditional component contributes to approximately 54.8% compared to the BAU projection by 2030</t>
    <phoneticPr fontId="7"/>
  </si>
  <si>
    <t>Ethiopia's major climate change adaptation commitments are in the sectors of agriculture, land use and forestry, with additional adaptation contributions in water, health, energy, transport, and urban settlements. Agriculture, Forestry, and other Land Use (AFOLU) adaptation actions represent the bulk of the updated NDC's commitments for strengthening Ethiopia's resilience to climate change. Ethiopia has already undertaken important adaptation efforts in these sectors, and will further expand and prioritize measures such as climate-smart agriculture; livestock diversification; drought-resistant animal breeding; rangeland management; improved drought-resistant crop varieties; crop and livestock insurance; watershed management and rehabilitation: ecosystem-based adaptation; sustainable forest management; community-based forest management and conservation; as well as afforestatino and reforestation programmes.</t>
    <phoneticPr fontId="7"/>
  </si>
  <si>
    <t>thefinancial resources required to implement the updated NDC in the next 10 years is estimated as USD 316 billion. The mitigation inerventions identified in the udated NDC require USD 27.5 billion and adaptation actions require USD 40.5 billion.
…
Alike the GHG emission reduction targeting, 20% of the total estimated finance is unconditional while 80% is conditional. Ethiopia is committed to invest USD 63.2 billion on climate change mitigation and adaptation actions from domestic sources, which is equivalent to an average annual investment of USD 6.32 billion by 2030. The conditional finance, which is equivalent to US$252.8 billiion, should be received from international climate finance sources.</t>
    <phoneticPr fontId="7"/>
  </si>
  <si>
    <t>Catalyze technology transfer including clean cement production, early warning systems, sustainable catchment and land use management.</t>
    <phoneticPr fontId="7"/>
  </si>
  <si>
    <t>Ethiopia expresses a strong interest for voluntary cooperation in emerging international carbon markets governed by Article 6 of the Paris Agreement. Ethiopia sees carbon markets as instruments to increase mitigation ambition and places high importance on environmental integrity through robust accounting as well as the promotion of sustainable development. Ethiopia therefore invites interested Parties to explore engaging in cooperative approaches.</t>
    <phoneticPr fontId="7"/>
  </si>
  <si>
    <t>Will be considered</t>
    <phoneticPr fontId="7"/>
  </si>
  <si>
    <t>Yes, but not mentioned in the NDC</t>
    <phoneticPr fontId="7"/>
  </si>
  <si>
    <t>13% of GHG emission reduction by 2030 compared to 1994, without land use, land use change and forestry (LULUCF).</t>
    <phoneticPr fontId="7"/>
  </si>
  <si>
    <t>Yes</t>
    <phoneticPr fontId="7"/>
  </si>
  <si>
    <t>9.7% (unconditional), 17% (conditional)  (excluding LULUCF)</t>
    <phoneticPr fontId="7"/>
  </si>
  <si>
    <t>(translated) Excluding LULUCF, the Republic of Guinea sets its unconditional target (NDC) at 2,056 ktCO2eq/year, i.e. a 9.7% reduction of its emissions in 2030 compared to the trend scenario, i.e. an emissions growth of 5% per year over the period 2020-2030 The conditional target (CDN+) is 3929 ktCO2 eq/year, i.e. 17.0% compared to the trend scenario, i.e. a growth in emissions of 4% per year over the period 2020-2030.
On LULUCF, excluding reforestation actions (absorptions not taken into account), the Republic of Guinea sets its unconditional target (CDN) at 20% of gross emissions reduction in 2030 compared to the trend scenario. The conditional target (CDN+) is set at 49% compared to the trend scenario.</t>
    <phoneticPr fontId="7"/>
  </si>
  <si>
    <t>(Translated) Guinea wishes to express its interest and intention to voluntarily engage in cooperative approaches under Article 6 of the Paris Agreement, to finance its contribution to mitigation efforts which is conditional on obtaining international financial support, while providing a complementary response to its development needs to move towards the Sustainable Development Goals (SDGs). Guinea wishes to prepare itself as soon as possible to be able to actively participate in cooperative approaches, including under the market-based mechanism for sustainable development of Article 6.4 but also non-market-based approaches under Article 6.8, to assist it in the implementation of its NDC by seeking synergies between its mitigation and adaptation actions, in the context of sustainable development and poverty eradication.
In particular, Guinea wishes to engage in cooperative approaches to develop electricity generation from renewable energy sources, including small hydro, solar photovoltaic and wind power, as well as the deployment of improved cookstoves to 50% (conditional target) of Guinean households to significantly reduce pressure on forest resources and the resulting loss of remarkable biodiversity.</t>
    <phoneticPr fontId="7"/>
  </si>
  <si>
    <t>(translated) 1. Elaboration and implementation of the action plan of the National Water Policy (NWP)
2. Put in place the necessary measures for the protection, conservation and management of ecosystems, the revitalization of economic activities and the strengthening of the resilience of the populations of its coastal zone
3. Support the adaptation efforts of rural communities to develop agro-sylvo-pastoral techniques that allow them to continue their activities and preserve the resources on which they rely</t>
    <phoneticPr fontId="7"/>
  </si>
  <si>
    <t>(translated) (mitigation) At least US$13.8 billion
The Republic of Guinea is making part of its contribution (CDN+) conditional on the mobilization of funding that can be accounted for under the Financial Mechanism of the Convention.
(adaptation) Estimated measures included in the NDC: $1 billion</t>
    <phoneticPr fontId="7"/>
  </si>
  <si>
    <t>N/A</t>
    <phoneticPr fontId="7"/>
  </si>
  <si>
    <t>Absolute emission reduction</t>
    <phoneticPr fontId="7"/>
  </si>
  <si>
    <t>27% and 85%</t>
    <phoneticPr fontId="7"/>
  </si>
  <si>
    <t>Israel's target is economy-wide to achieve a 27% reduction in net GHG emissions by 2030 relative to 2015, to a level of no more than 58 MtCO2e.
In addition, Israel aims to achieve an 85% reduction in net GHG emissions by 2050, relative to 2015, to a level of no more than 12 MtCO2e.</t>
    <phoneticPr fontId="7"/>
  </si>
  <si>
    <t>The Adaptation Committee submitted its first National Adaptation Report in May 2021 including recommendations to recognize Climate Change as a national security threat; outlining steps to be taken at the national and particularly at the local level for which a budget of 2.5 billion NIS over 5 years is proposed.  It is intended that this Report will form the basis of a future government decision.  
In the interim, the Water Authority, for example, is already incorporating data on the trends and projection into its master plans, thus maintaining Israel's ability to develop new desalination plants and to provide water supply both in Israel and for neighboring countries as well as continuing to develop innovation wastewater treatment and water recycling technologies. Enhancing the resilience of the public health system will be another area of focus</t>
    <phoneticPr fontId="7"/>
  </si>
  <si>
    <t>Yes</t>
    <phoneticPr fontId="7"/>
  </si>
  <si>
    <t>Israel is planning to achieve its NDC mitigation objectives through domestic means but is following Article 6 negotiations so that this option remains open should it be relevant in the future.</t>
    <phoneticPr fontId="7"/>
  </si>
  <si>
    <t>N/A</t>
    <phoneticPr fontId="7"/>
  </si>
  <si>
    <t>4% (unconditional), 7% (conditional)</t>
    <phoneticPr fontId="7"/>
  </si>
  <si>
    <t>Oman's economic target to reduce 7% compared to BAU by 2030 covers the energy sector, which is the primary emission source.
…
The Sultanate of Oman is committed to reducing GHG emissions by 7% by 2030 relative to BAU. 4% of this commitment will be based on national efforts, and the remaining 3% would necessitate grants and other forms of concessional financing and assistance as well as capacity building,institutional strengthening and access to appropriate technologies. International climate finance is a crucial element for the Sultanate of Oman to further bend the GHG emission growth curve over the next decade.</t>
    <phoneticPr fontId="7"/>
  </si>
  <si>
    <t>Article 6 of the Paris Agreement is an additional mechanism for the Sultanate of Oman to achieve cost-efficient emission reductions, facilitate the transfer of carbon mitigation technology, and deliver significant sustainable development co-benefits. Such co-benefits would reduce air pollutants', create jobs, and lay the ground for the just transition to a climate-resilient economy and society.</t>
    <phoneticPr fontId="7"/>
  </si>
  <si>
    <t>Zambia intends to reduce its greenhouse gas emissions by 25% (at Business As Usual (BAU) level of international support prevailing in 2015) and towards 47% (with substantial international support) compared to 2010 levels.</t>
    <phoneticPr fontId="7"/>
  </si>
  <si>
    <t>Program 1: Adaptation of strategic productive systems (agriculture, wildlife,
water)
Program 2: Adaptation of strategic infrastructure and health systems
Program 3: Enhanced capacity building, research, technology transfer and finance for adaptation</t>
    <phoneticPr fontId="7"/>
  </si>
  <si>
    <t>25% (limited international support), 47% (substantial international supportl)</t>
    <phoneticPr fontId="7"/>
  </si>
  <si>
    <t>15 (limited international support), 35 (substantial international support)</t>
    <phoneticPr fontId="7"/>
  </si>
  <si>
    <t>Limited international support means the domestic resources that the country is able to mobilise including the prevailing international resources (Business as Usual resources) that the country was receiving as of 2015 and estimated at USD $ 15 Billion.
Substantial international support means adequate international resources, both bilateral and multilateral support estimated at USD $ 35 Billion.</t>
    <phoneticPr fontId="7"/>
  </si>
  <si>
    <t>Zambia intends to use voluntary cooperation under Article 6 of the Paris Agreement to fulfil part of its contribution</t>
    <phoneticPr fontId="7"/>
  </si>
  <si>
    <t>2021/7/.30</t>
    <phoneticPr fontId="7"/>
  </si>
  <si>
    <t>This NDC was submitted with a conditional pledge of reducing Greenhouse Gas (GHG) emissions by 25% (20,000 Gg CO2 eq.) by 2030 against a base year of 2010 under the Business As Usual (BAU) scenario with limited international support1 or by 47% (38,000 Gg CO2 eq.) with substantial international support2.</t>
    <phoneticPr fontId="7"/>
  </si>
  <si>
    <t>N/A</t>
    <phoneticPr fontId="7"/>
  </si>
  <si>
    <t>BAU</t>
    <phoneticPr fontId="7"/>
  </si>
  <si>
    <t>30-35%</t>
    <phoneticPr fontId="7"/>
  </si>
  <si>
    <t>Tanzania will embark on a climate resilient development pathway. In doing
so, it will reduce the impacts of climate change variability and associated
extremes such as droughts and floods, which have long-term implications to
all productive sectors and ecosystems, particularly the agricultural sector.
The adaptation measures are expected to significantly reduce the risks of
climate related disasters compared to the current situation. Access to clean
and safe water for total population in urban and rural areas will be increased
from 86% and 67.7% respectively in 2015 to 100% by 2030. Based on a
conservative and a worst-case scenario of 50cm and 1m sea-level rise by
2100, the contribution will verifiably reduce the impacts of sea level rise to
the island and coastal communities, infrastructure and ecosystems including
mangroves. To achieve these targets, the government will consider the
impacts of climate change in development planning at all levels and will
pursue adaptation measures as outlined in this NDC.</t>
    <phoneticPr fontId="7"/>
  </si>
  <si>
    <t>Yes</t>
    <phoneticPr fontId="7"/>
  </si>
  <si>
    <t>Tanzania will reduce greenhouse gas emissions economy-wide between 30
- 35% relative to the Business-As-Usual (BAU) scenario by 2030, whereby
about 138 - 153 Million tons of Carbon dioxide equivalent (MtCO2e)-gross
emissions is expected to be reduced, depending on the baseline efficiency
improvements, consistent with its sustainable development agenda. The
emissions reduction is subject to review after the First Biennial Update
Report (BUR) and Updated GHG inventory in the country.</t>
    <phoneticPr fontId="7"/>
  </si>
  <si>
    <t>This NDC estimates a total budget of USD 19,232,170,000 for its implementation. However, Tanzania’s effective capacity to undertake strong
adaptation and mitigation actions requires resources beyond domestic resources, thus NDC implementation depends largely on support from the international community.</t>
    <phoneticPr fontId="7"/>
  </si>
  <si>
    <t>・ Promoting acquisition and installation of appropriate technology for
across sectors for climate-resilient production.
・ Promoting transfer of technologies through South-South and North-South cooperation and triangulation.</t>
    <phoneticPr fontId="7"/>
  </si>
  <si>
    <t>There is huge potential for market and non-marketbased mechanisms that can contribute to significant reduction in Greenhouse gases emissions. The projects can be developed and implemented as Nationally Appropriate Mitigation Actions (NAMAs), Reducing Emissions from Deforestation and Forest Degradation (REDD+) and Clean Development Mechanism (CDM) especially in the areas of renewable energy and energy efficiency, forestry, transport and waste management.</t>
    <phoneticPr fontId="7"/>
  </si>
  <si>
    <t>The Republic of Seychelles is committed to reducing economy wide absolute Greenhouse Gas (GHG) emissions by 293.8 ktCO2e in 2030 (26.4%) compared to business as usual (BAU) scenario.</t>
    <phoneticPr fontId="7"/>
  </si>
  <si>
    <t>Relative emission reduction</t>
    <phoneticPr fontId="7"/>
  </si>
  <si>
    <t>・Seychelles intends for coastal planning and infrastructure to be regulated at the national and local level to prioritize the consideration of “blue” Nature-based Solutions (NbS) for climate resilience.
• Seychelles will protect its blue carbon ecosystems, i.e. at least 50% of its seagrass and mangrove ecosystems by 2025, and 100% of seagrass and mangrove ecosystems by 2030,
• Seychelles will establish a long-term monitoring programme for seagrass and mangrove ecosystems by 2025 and include the GHG sink of Seychelles’ blue carbon ecosystems within the National Greenhouse Gas Inventory by 2025.
• Seychelles commits to the implementation of its adopted Marine Spatial Plan and the effective management of the 30% marine protected areas within the Seychelles’ Exclusive Economic Zone.</t>
    <phoneticPr fontId="7"/>
  </si>
  <si>
    <t>The anticipated costs of implementation for both mitigation and adaptation sector is over USD 600mn over the next decade.</t>
    <phoneticPr fontId="7"/>
  </si>
  <si>
    <t>The Technology Needs Assessment concluded that limited technical expertise with regard to coastal monitoring, mapping and modelling as well as restoration is limited.</t>
    <phoneticPr fontId="7"/>
  </si>
  <si>
    <t>Seychelles is committed to contributing to discussions on international cooperation under Article 6 of the Paris Agreement. Depending on the outcomes, the country will explore the development and application of these mechanisms to support the achievement of its NDC targets.</t>
    <phoneticPr fontId="7"/>
  </si>
  <si>
    <t>The agriculture, tourism and fisheries sectors are especially critical for adaptation, and several ministries have set goals for both youth and women's participation. Therefore, in Namibia, we see gender-balanced training and the promotion of the youth and women as relevant.</t>
    <phoneticPr fontId="7"/>
  </si>
  <si>
    <t>Namibia commits to reduce its GHG emissions conditionally by 14% (under limited domestic and international support) and towards 77% (with substantial international support) in 2030 compared to the Business As Usual levels, corresponding to a total reduction by 21.996 MtCO2e.</t>
    <phoneticPr fontId="7"/>
  </si>
  <si>
    <t>an estimated $3.61 billion in funding required for any identified mitigation options by 2030. The total financing needed for adaptation actions is just over USD 1.72 billion.</t>
    <phoneticPr fontId="7"/>
  </si>
  <si>
    <t>Under BAU, Nigeria's emissions are expected to grow to around 450 million tonnes per year in 2030. The Federal Government of Nigeria reaffirms its commitment to the Framework Convention and the Paris Agreement on Climate Change and its objectives and eriterate its commitment to unconditionally reduce its GHG emissions by 20% below BAU by 2030, and also increases its conditional target to 47% below BAU on condition of international support.</t>
    <phoneticPr fontId="7"/>
  </si>
  <si>
    <t>20% (unconditional), 47% (conditional)</t>
    <phoneticPr fontId="7"/>
  </si>
  <si>
    <t>The estimated investment required over the implementation period 2021-2030 to deliver the conditional target is estimated to be some 177 billion USD 2021.</t>
    <phoneticPr fontId="7"/>
  </si>
  <si>
    <t>Nigeria is committed to contributing to discussions on international cooperation through Article 6 of the Paris Agreement. Discussions are underway for support for the development of a national carbon pricing/market framework that will enable Article 6 outcomes.</t>
    <phoneticPr fontId="7"/>
  </si>
  <si>
    <t xml:space="preserve">Nigeria's response to this challenge is outlined in the National Adaptation Plan Framework, which was published in June 2020. In fulfilment of the request contained in Decision 9/CMA. 1, Nigeria has initiated preparation of its Adaptation Communication, which shall be submitted by 2022. It provides a framework for the country to guide it in developing, coordinating, and implementing the various policies, plans, strategies, and legislation that will enable it to address its adaptation needs. </t>
    <phoneticPr fontId="7"/>
  </si>
  <si>
    <t xml:space="preserve">Estimates suggest that between 14,000 and 16,000 Gg of CO2 equivalent will be saved per year by 2030 if a robust low emission development path is adopted. </t>
    <phoneticPr fontId="7"/>
  </si>
  <si>
    <t>・ Unconditional contribution: A reduction of 6 per cent relative to BAU in the year 2040; equivalent to an estimated mitigation level of 2.1 million tonnes of carbon dioxide equivalent (tCO2e) in that year. This is an unconditional target, based on domestically supported and implemented mitigation measures and policies.
 Conditional contribution: An additional reduction of 45 per cent relative to BAU in the year 2040; equivalent to an estimated mitigation level of 15.6 million tCO2e in that year. This represents an additional targeted contribution, based on the provision of international support and funding.</t>
    <phoneticPr fontId="7"/>
  </si>
  <si>
    <t>Relative emission reduction</t>
    <phoneticPr fontId="7"/>
  </si>
  <si>
    <t>6% (unconditional), 51% (conditional)</t>
    <phoneticPr fontId="7"/>
  </si>
  <si>
    <t>BAU</t>
    <phoneticPr fontId="7"/>
  </si>
  <si>
    <t>N/A</t>
    <phoneticPr fontId="7"/>
  </si>
  <si>
    <t>the estimated funding requirements associated with all identified mitigation options, estimated at 41.8 billion USD through 2040.
the total implementation of all prioritised adaptation measures is estimated at around 4.5 billion USD through 2040.</t>
    <phoneticPr fontId="7"/>
  </si>
  <si>
    <t> Building and enhancing climate information systems, including through the National GHG Inventory;
 Gaining access to and overcoming barriers to the application of appropriate clean technologies;
 Improved capability (human resources and technology) to deliver sector specific weather services for averting disaster (including flood, drought and pest infestation) through effective early warning systems and disaster management;
 Access to, and overcoming barriers to the adoption of, climate smart technologies in agriculture, fisheries and water management;</t>
    <phoneticPr fontId="7"/>
  </si>
  <si>
    <t>Malawi intends to meet its conditional contribution through the use of climate finance and international market mechanisms where appropriate, building upon its experience of the Clean Development Mechanism (CDM) and other existing market mechanisms. These include the potential involvement in international cooperative approaches under Article 6 of the Paris Agreement. As outlined in this updated NDC, technology transfer and capacity building will also be required to fully implement Malawi‟s mitigation and adaptation contributions.</t>
    <phoneticPr fontId="7"/>
  </si>
  <si>
    <t>4% (unconditional), 14.5% (conditional)</t>
    <phoneticPr fontId="7"/>
  </si>
  <si>
    <t>Yes</t>
    <phoneticPr fontId="7"/>
  </si>
  <si>
    <t>N/A</t>
    <phoneticPr fontId="7"/>
  </si>
  <si>
    <t>Agriculture: Climate change considerations mainstreamed into agriculture in Sri Lanka
Fisheries: Ecosystem-based Approach to Fisheries Management (EAFM) adopted in areas of high climate vulnerability to enhance resilience
Livestock: Introduce adaptation measures to address adverse impacts of climate change on ruminant livestock
Waste: Integrated River Basin Management (IRBM) adopted in 15 prioritised river basins in Sri Lanka
Biodiversity: Management of climate- sensitive areas and restoration of degraded areas inside and outside the protected areas (PAs) network to conserve habitats that are highly vulnerable to climate change
Coastal and Marine: Establish an accurate sea level rise forecasting system for Sri Lanka
Health: Policy initiatives for enhancing the climate resilience of the health sector promoted and integrated to all related sectors
Urban Planning and Human Settlement: Enhance the resilience of human settlements and infrastructure through mainstreaming climate change adaptation into national, sub-national and local level physical planning
Tourism and Recreation: Build resilience through sustainable tourism practices and improved risk preparedness in destinations of high climate change vulnerability</t>
    <phoneticPr fontId="7"/>
  </si>
  <si>
    <t>The NDCs can be attained with the right mix of access, affordability and scale/mix of technologies pertaining to climate smart agriculture, modern crop management methods, climate forecasting and early warning, water and irrigation conveyance, climate-smart cities and tourism infrastructure, energy generation (new renewable energy technologies) and energy storage facilities, low carbon transport and urban infrastructure, coastal resilience improvement and cutting edge agro-technology.</t>
    <phoneticPr fontId="7"/>
  </si>
  <si>
    <t>Samoa intends to achieve the mitigation targets stated in its Second NDC through domestic efforts and actions, and it does not intend to use internationally traded credits to meet these targets. However, Samoa is interested in selling carbon credits to more developed countries that may be interested.</t>
    <phoneticPr fontId="7"/>
  </si>
  <si>
    <t>Overall GHG emissions reduction of 26 percent in 2030 compared to 2007 levels (or 91 Gg CO2e compared to the new reference year once Samoa’s GHG emissions inventory has been updated).</t>
    <phoneticPr fontId="7"/>
  </si>
  <si>
    <t>Yes (Second NDC)</t>
    <phoneticPr fontId="7"/>
  </si>
  <si>
    <t>45% (unconditional)</t>
    <phoneticPr fontId="7"/>
  </si>
  <si>
    <t>Malaysia does not intend to use voluntary cooperation under Article 6 of the Paris Agreement to achieve its NDC.</t>
    <phoneticPr fontId="7"/>
  </si>
  <si>
    <t>Malaysia intends to reduce its economy-wide carbon intensity (against GDP) of 45% in 2030 compared to 2005 level.</t>
    <phoneticPr fontId="7"/>
  </si>
  <si>
    <t>20% and 35% (unconditional), 35% and 70% (conditional)</t>
    <phoneticPr fontId="7"/>
  </si>
  <si>
    <t>Barbados adopts the following ambitious contributions for 2025 and 2030:
2025
・ 20% reduction relative to business-as-usual emissions in 2025 without international support (unconditional).
・ 35% reduction relative to the business-as-usual emissions in 2025 conditional upon international support.
2030
・ 35% reduction relative to business-as-usual emissions in 2030 without international support (unconditional).
・ 70% reduction relative to business-as-usual emissions in 2030 conditional upon international support.</t>
    <phoneticPr fontId="7"/>
  </si>
  <si>
    <t>The Government of Barbados (GoB) will ensure a protected environment, a stable society and a sustainable and resilient economy. Accordingly, Barbados will put policies in place to seek to be, by 2030, the first 100% green and fossil-fuel free island-state in the world.</t>
    <phoneticPr fontId="7"/>
  </si>
  <si>
    <t>Barbados aspires to be a centre of excellence for R&amp;D in renewable energy technologies. At present, due to economies of scale, the unit cost for renewable energy and EV technologies, for example, is higher than in the OECD.</t>
    <phoneticPr fontId="7"/>
  </si>
  <si>
    <t xml:space="preserve">Barbados is committed to contributing to discussions on international cooperation through Article 6 of the Paris Agreement.
Barbados continues to support the supplementarity position of AOSIS, that seeks to limit the use of market mechanisms to less than actual domestic effort.　Double counting shall be avoided to preserve the environmental integrity of such a market. The Government of Barbados will put forward legislation that specifies that all emission reduction or removal units (carbon credits) belong to the Crown, unless otherwise specified. Barbados will allow for the sale of up to 50% of any certified carbon credits generated between the period 2020 and 2030.
</t>
    <phoneticPr fontId="7"/>
  </si>
  <si>
    <t>Will be considered</t>
    <phoneticPr fontId="7"/>
  </si>
  <si>
    <t>The goal is conditional to external aid. With the implementation of its updated NDC mitigation contributions, STP will reduce its BAU-projected emissions by 2030. Projected emissions cover the entire territory and all economic sectors (excluding the LULUCF sector since the country has been climate-neutral since the start of the national GHG emissions inventory calculations). The country will reduce GHG emissions by 27% in comparison to its base scenario of close to 109 GgtCO2eq by 2030, with an estimated cost of 150M USD.</t>
    <phoneticPr fontId="7"/>
  </si>
  <si>
    <t>Relative emission reduction</t>
    <phoneticPr fontId="7"/>
  </si>
  <si>
    <t>BAU</t>
    <phoneticPr fontId="7"/>
  </si>
  <si>
    <t>・Reduced use of nitrogen-based fertilisers.
・Development and implementation of a national programme for the sustainable management of forest and managed forest ecosystems by 2025, with an emphasis on drought-resistant managed forest, reduction of illegal logging and management of protected areas.
・Construction and rehabilitation of the water distribution grid, dams, and reservoirs.
・Production and improvement of pasture management, fodder, and silage production.
・Strengthening of infrastructure, equipment, and sustainable techniques
・Strengthening of Resilience and adaptation of coastal communities
・Use of improved technologies for the final disposition of waste to reduce or eliminate uncontrolled deposits and burnings in open waste dumps across the country.
・Capacity building and creation of an emergency operations centre.</t>
    <phoneticPr fontId="7"/>
  </si>
  <si>
    <t>No</t>
    <phoneticPr fontId="7"/>
  </si>
  <si>
    <t>The cost of reaching STP’s NDC’s mitigation goals is estimated at 150 million USD. This estimate solely covers project and programme implementation and does not include policy implementation, studies, nor the elaboration of preliminary studies to inform projects and programmes. The cost of implementing adaptation measures will be detailed in STP’s future National Adaptation Plan (NAP).</t>
    <phoneticPr fontId="7"/>
  </si>
  <si>
    <t>N/A</t>
    <phoneticPr fontId="7"/>
  </si>
  <si>
    <t>STP recognises its own acquired experience with the implementation of the Clean Development Mechanism and wishes now, within the context of high environmental integrity, to be supported by market mechanisms that contribute towards sustainable development and establish strong incentives to take advantage of the private sector’s potential.
The strategy, for the medium and long term, is to plan for and utilise the carbon market or new market mechanisms.
STP supports the use of market mechanisms, including the pre-2020 mitigation results, for example:
• Certified Emissions Reduction managed by projects and programmes implemented by the Kyoto Protocol and the United Nations Framework Convention for Climate Change (UNFCCC);
• Carbon market efforts focused on viably transforming actions within the specific contexts of least developed countries, developing countries and SIDS; and,
Continued development of accountability rules within the UNFCCC, the Kyoto Protocol and the Paris Agreement guaranteeing environmental integrity of market mechanisms and avoiding double counting.</t>
    <phoneticPr fontId="7"/>
  </si>
  <si>
    <t>Ukrainian NDC target corresponds to an economy-wide absolute GHG reduction of 65 % by 2030, compared to 1990 GHG emissions level.</t>
    <phoneticPr fontId="7"/>
  </si>
  <si>
    <t>By 2030 Ukraine plans to create a baseline for adaptation to climate change in order to increase resilience and reduce vulnerability to climate change, as foresee in Article 7 of the Paris Agreement.</t>
    <phoneticPr fontId="7"/>
  </si>
  <si>
    <t>Yes</t>
    <phoneticPr fontId="7"/>
  </si>
  <si>
    <t>Ukrainian target of 65 % net reductions by 2030 compared to 1990 is to be achieved at the national level and requires active international cooperation in accordance with Article 6 of the Paris Agreement, access to financial resources and technology transfer.
Ukraine has joined the Climate Market Club, which is supported by the UNFCCC Secretariat and is chaired by the Working Group of International Financial Institutions (MDBs) under Article 6 of the Paris Agreement in order to work to comply with and implement the principles of environmental sustainability.</t>
    <phoneticPr fontId="7"/>
  </si>
  <si>
    <t>Somalia committed to reduce and avoid its emissions 30% by 2030 compared to BAU scenario (107.40MtCO2eq in 2030). The emissions reduction targets reflect introduce policies, programs and technologies that drive the country to low emissions development pathway. Due to the unique national circumstances, the implementation of the mitigation target will require international public and private support including in the form of finance, investments, technology development &amp; transfer and capacity building</t>
    <phoneticPr fontId="7"/>
  </si>
  <si>
    <t>・ Establish agricultural institutions to research drought resistant varieties
・Assessment of the water system
・Establish effective early warning systems and disaster risk
management policies to improve resilience to extreme weather events
・Develop and implement coastal zone policy, strategy and management
plan
・Enhance energy investments to adopt diversified adaptive energy technologies for sustained livelihoods
・Increase in areas under agroforestry and reforestation of degraded forests
・Promote green and climate resilient building industry
・Climate proof infrastructure developments including infrastructure</t>
    <phoneticPr fontId="7"/>
  </si>
  <si>
    <t>The country The overall costs of the mitigation actions for the NDC period is estimated at USD
6.96 Billion.
Somalia’s NDC estimates the cost of implementing the adaptation components of the NDC target
at USD 55.5 Billion for the 10 years.</t>
    <phoneticPr fontId="7"/>
  </si>
  <si>
    <t>2025 and 2030</t>
    <phoneticPr fontId="7"/>
  </si>
  <si>
    <t>improve energy efficiency and increase access to grid connections by 42% in 2025</t>
    <phoneticPr fontId="7"/>
  </si>
  <si>
    <t>Sierra Leone will explore mechanisms for cooperation as provided under Art. 6 of the Paris Agreement.</t>
    <phoneticPr fontId="7"/>
  </si>
  <si>
    <t>Energy (conditional): The country’s NDC considers the transition to Renewable Energy Technologies (RETs) a major means of reducing current emission levels. The goal is to improve energy efficiency and increase access to grid connections by 42% in 2025 and offgrid mini-grid and solar stand-alone systems by 27% and 10% respectively in 2030. Opportunities for expanding electricity generation, transmission, and distribution through a Millennium Challenge Corporation (MCC) Compact will be explored to increase access and promote technology dissemination.</t>
    <phoneticPr fontId="7"/>
  </si>
  <si>
    <t>・ Ensure effective animal husbandry and agricultural productivity
・ Ensure integrated and sustainable crop and Livestock production
・Build adaptive capacity and resilience of the health sector
・Leverage Public sector Investment
・Ensure the mining sector becomes climate smart and resilient
・Ensure Climate e resilient agriculture
・Scientific research conducted to ascertain robust data on risk and vulnerability of mangrove</t>
    <phoneticPr fontId="7"/>
  </si>
  <si>
    <t>USD 2,764,000,000 (Two Billion, Seven Hundred and Sixty Four Million US Dollars) will be mobilised to implement the actions proposed in this NDC.</t>
    <phoneticPr fontId="7"/>
  </si>
  <si>
    <t>・Introducing irrigation technologies, including the development of micro-systems for drip irrigation and rainwater harvesting
・New approaches to combating soil erosion
・Processing and conserving agricultural products</t>
    <phoneticPr fontId="7"/>
  </si>
  <si>
    <t>Will be considered</t>
    <phoneticPr fontId="7"/>
  </si>
  <si>
    <t>Yes</t>
    <phoneticPr fontId="7"/>
  </si>
  <si>
    <t>2025 and 2030</t>
    <phoneticPr fontId="7"/>
  </si>
  <si>
    <t>17.09% and 21.46% (unconditional), 39.88% and 32.19% (conditional)</t>
    <phoneticPr fontId="7"/>
  </si>
  <si>
    <t>[Translated] ・ Climate-smart agricultural policy is socially inclusive
・Implementation of the Water, Sanitation and Hygiene Policy
・Plantation of mangroves
・Climate risk, hazard and vulnerability assessments
・Indirect support for action on climate-induced migration
・Malaria is recognized as one of the top five priority activities of the Ministry of Health
・Identify landslide hazards using technology (GIS, LiDAR and others)
・Promouvoir la gestion des déchets solides et chimiques au niveau national</t>
    <phoneticPr fontId="7"/>
  </si>
  <si>
    <t>[Translated] The level of emission reductions will be:
➢ 39.88% in the conditional scenario and 17.09% in the unconditional scenario in 2025 ;
➢ 32.19% in the conditional scenario and 21.46% in the unconditional scenario in 2030.</t>
    <phoneticPr fontId="7"/>
  </si>
  <si>
    <t>[Translated] The total investment of the mitigation options amounts to US$ 4,395.15 million to meet the final 2030 target. The financing of the conditional mitigation options amounts to US$ 4,301.067 million against US$ 94.07 million for the unconditional mitigation options, i.e. 97.86% share for the conditional option against 2.14% for the unconditional contribution share.
While waiting for Congo to adopt a National Adaptation Plan (NAP) that will set its adaptation priorities and specify the means for its implementation, the financing needs for adaptation to climate change amount to US$3.795 billion, of which US$1.016 billion is unconditional and US$2.779 billion is conditional.</t>
    <phoneticPr fontId="7"/>
  </si>
  <si>
    <t>Although not an LDC, the Republic of Congo intends to use voluntary cooperation.</t>
    <phoneticPr fontId="7"/>
  </si>
  <si>
    <t>Will be considered</t>
    <phoneticPr fontId="7"/>
  </si>
  <si>
    <t>[Translated] The level of emission reductions will be:
・ 39.88% in the conditional scenario and 17.09% in the unconditional scenario in 2025 ;
・ 32.19% in the conditional scenario and 21.46% in the unconditional scenario in 2030.</t>
    <phoneticPr fontId="7"/>
  </si>
  <si>
    <t>Liberia commits to reducing its economy-wide greenhouse gas emissions by 64% below the projected business-as-usual (BAU) level by 2030 through a combination of the following: unconditional reductions of 10% below BAU, resulting in an absolute emissions level of 12,430Gg CO2e in 2030; with an additional 54% conditional upon international support, which would result in absolute emissions level of 4,537Gg CO2e in 2030.</t>
    <phoneticPr fontId="7"/>
  </si>
  <si>
    <t>10% (unconditional), 64% (conditional)</t>
    <phoneticPr fontId="7"/>
  </si>
  <si>
    <t>Economy-wide</t>
    <phoneticPr fontId="7"/>
  </si>
  <si>
    <t>Yes</t>
    <phoneticPr fontId="7"/>
  </si>
  <si>
    <t>N/A</t>
    <phoneticPr fontId="7"/>
  </si>
  <si>
    <t>The NDC Costing and Cost-Benefit analysis estimated that a total investment of US$490,590,000 dollars through 2025 will be needed to achieve Liberia’s NDC mitigation and adaptation targets. Of this amount, US$400,645,000 dollars will be required to achieve Liberia’s mitigation targets, whilst US$89,945,000 dollars will be required to achieve its adaptation targets. To achieve the conditional portion of its NDC target, Liberia intends to mobilize approximately US$460,000,000 dollars from the private sector, bilateral and multilateral sources and all other sources, mechanisms, and instruments.</t>
    <phoneticPr fontId="7"/>
  </si>
  <si>
    <t>The country will consider inclusion of international carbon market mechanisms, including cooperative approaches under Article 6 of the Paris Agreement, as these economic instruments, supported by appropriate accounting systems (i.e., MRV systems), can be used to help finance low-carbon and climate-resilient infrastructure investments. Liberia considers that some low carbon development options in the NDC, or additional actions, could be financed in full or in part, through the transfer of international carbon credits/assets or results-based financing, in line with the guidance to be agreed under Article 6, taking into account environmental integrity and transparency.</t>
    <phoneticPr fontId="7"/>
  </si>
  <si>
    <t>The adaptation policy framework of Liberia recognizes that there are four principles that provide the basis from which integrated actions to adapt to climate change can be developed: (1) adaptation to short-term climate variability and extreme events serve as a starting point for reducing vulnerability to longer-term climate change; (2) adaptation must occur at different levels in society, including the local level; (3) adaptation policy and measures must be assessed in a development context; and (4) the adaptation strategy and the stakeholder process by which it is implemented must be given equal importance. Based on this framework and the elements of adaptation strategy, key additional sectors were identified, and their corresponding adaptation policy and strategies formulated.</t>
    <phoneticPr fontId="7"/>
  </si>
  <si>
    <t>[Translated] 
increase the percentage of electricity generation through renewable energy sources, to 60% by 2030.</t>
    <phoneticPr fontId="7"/>
  </si>
  <si>
    <t>NDCs for Mitigation intends to reduce the GHG emissions against BAU scenario by 20% in the energy sector (4% unconditionally and 16% conditionally) and by 10% in other sectors (transport, industry, forests and waste) by 3% unconditionally and 7% conditionally by 2030. The NDCs for the energy sector include:
* NDC 1: Establishment of large scale wind power plants of 514 MW
* NDC 2: Establishment of 115 MW of solar power plants
* NDC 3: Establishment of 105 MW of biomass power plants
* NDC 4: Establishment of 176 MW of mini hydro power plants
* NDC 5: Introduction of Demand Side Management (DSM) activities
* NDC 6: Strengthening sustainable energy related policies with a view to increasing the share of renewable energy from the existing 50%, to 60% in 2020. (...)
* NDC 7: Converting existing fuel oil based power plants to LNG</t>
    <phoneticPr fontId="7"/>
  </si>
  <si>
    <t>Aug-2021</t>
    <phoneticPr fontId="7"/>
  </si>
  <si>
    <t>・Updated information of Angola, Armenia, Barbados, Bhutan, Bosnia-Herzegovina, Canada, Congo, Ethiopia, Georgia, Guinea, Honduras, Indonesia, Israel, Lao PDR, Liberia, Malaysia, Malawi, Montenegro, Morocco, Namibia, Nigeria, North Macedonia, Oman, Paraguay, Philippines, Samoa, Sao Tome and Princie, Seychelles, Sierra Leone, Solomon Islands, Somalia, Sri Lanka, Sudan, Tanzania, Ukraine, USA, Zambia based on their updated first NDC/second NDC.</t>
    <phoneticPr fontId="7"/>
  </si>
  <si>
    <t>Tomohiko Hattori
Kentaro Takahashi</t>
    <phoneticPr fontId="7"/>
  </si>
  <si>
    <t>Oct-2021</t>
    <phoneticPr fontId="7"/>
  </si>
  <si>
    <t>N/A</t>
    <phoneticPr fontId="7"/>
  </si>
  <si>
    <t>Relative emission reduction</t>
    <phoneticPr fontId="7"/>
  </si>
  <si>
    <t>The reduction of 25% in GHG emissions for the year 2030, relative to BAU scenario is consistent with provisions stipulated in Articles 4.3, 4.4 and 4.7 of PA. Also, Article 6 is considered in the implementation.</t>
    <phoneticPr fontId="7"/>
  </si>
  <si>
    <t>Yes</t>
    <phoneticPr fontId="7"/>
  </si>
  <si>
    <t>Qatar supports the development and operationalization of Article 6 of the Paris Agreement to serve as a driver for sustainable development.</t>
    <phoneticPr fontId="7"/>
  </si>
  <si>
    <t>a) Water Management
b) Infrastructure
c) Awareness
d) Food Security</t>
    <phoneticPr fontId="7"/>
  </si>
  <si>
    <t>Economy-wide</t>
    <phoneticPr fontId="7"/>
  </si>
  <si>
    <t>6.73% (unconditional), 21.85% (conditional)</t>
    <phoneticPr fontId="7"/>
  </si>
  <si>
    <t>In the unconditional scenario, GHG emissions would be reduced by 27.56 Mt CO2e (6.73%) below BAU in 2030 in the respective sectors. 26.3 Mt CO2e (95.4%) of this emission reduction will be from the Energy sector while 0.64 (2.3%) and 0.6 (2.2%) Mt CO2e reduction will be from AFOLU (agriculture) and waste sector respectively. There will be no reduction in the IPPU sector.</t>
    <phoneticPr fontId="7"/>
  </si>
  <si>
    <t>• Sustainable Ecosystem and Livelihood
• Disaster Management
• Agriculture and Food Security
• Water Resources Management
• Surface Water Use and Rainwater Harvesting</t>
    <phoneticPr fontId="7"/>
  </si>
  <si>
    <t>Yes</t>
    <phoneticPr fontId="7"/>
  </si>
  <si>
    <t>N/A</t>
    <phoneticPr fontId="7"/>
  </si>
  <si>
    <t>It currently spends US$1 billion a year, around 6 to 7 per cent of its annual budget, on climate change adaptation (CCA). However, the World Bank estimates that the country would need US$5.7 billion as adaptation finance by 2050, which is more than 5 times higher than the current expenditure for CCA.</t>
    <phoneticPr fontId="7"/>
  </si>
  <si>
    <t>Bangladesh will require international support in Technology transfer related to GHG emission reduction for different sectors. The achievement of conditional contribution will heavily depend on new and more efficient technologies.</t>
    <phoneticPr fontId="7"/>
  </si>
  <si>
    <t>Yes, when appropriate. Bangladesh has participated in the Clean Development Mechanism of the Kyoto Protocol and continues to believe in the important role of innovative financing mechanism for climate actions with sustainable development benefits. The cooperative approaches in market and non-market mechanisms under Article 6 of the Paris Agreement are an important instrument to raise mitigation ambition while promoting sustainable development.</t>
    <phoneticPr fontId="7"/>
  </si>
  <si>
    <t>Relative emission reduction</t>
    <phoneticPr fontId="7"/>
  </si>
  <si>
    <t>5.6 MTCO2e ( cumulative avoided emissions), 1 MTCO2e (annual reduction)</t>
    <phoneticPr fontId="7"/>
  </si>
  <si>
    <t>The mitigation actions included in the updated NDC are estimated to result in over 5.6 MTCO2e in cumulative avoided emissions by 2030, and a reduction of 1.0 MTCO2e in annual emissions by 2030 (not including additional deforestation targets)</t>
    <phoneticPr fontId="7"/>
  </si>
  <si>
    <t>• Increase resilience to climate impacts for coastal communities and habitats by managing further development of the coastline to reverse net coastal habitat and land loss by 2025
• Strengthen the resilience of coastal communities by developing an early warning system for storm surges by 2025
• Reduce post-harvest losses through the implementation of the National Adaptation Strategy to Address Climate Change in the Agricultural Sector to increase the adaptive capacity of the agricultural sector
・Develop and implement an enhanced early warning system for drought and extreme weather events to support farmers in planning for and responding to the impacts of climate change by 2025
• Build capacity in fisheries and aquaculture sector through research, diversification and retraining to support livelihoods while protecting coastal ecosystems.
• Build adaptive capacity in the health sector by assessing vulnerability and investing in capacity to respond to climate-related threats
・ Increase the adaptive capacity of tourism sector through the development of climate resilient planning frameworks and infrastructure</t>
    <phoneticPr fontId="7"/>
  </si>
  <si>
    <t>The mitigation targets and actions included above are estimated to cost close to USD$ 1.39 billion between 2021 and 2030. Recognizing funding that is already committed, the funding gap to deliver these actions is estimated at USD$ 1.24 billion. ...
The targets and actions included in the NDC related to adapting to the impacts of climate change are estimated to cost a total of USD$ 318 million between 2021 and 2030. Recognizing funding that is already committed, the funding gap to deliver these actions is estimated at USD$ 146 million.</t>
    <phoneticPr fontId="7"/>
  </si>
  <si>
    <t>Explore alongside Article 6 of the Paris Agreement, new financing options to support forest protection and restoration, including REDD+ performance-based payments, multilateral and bilateral funds, insurance products, debt-for-nature swaps, private investment, carbon credits and bonds, and other innovative conservation financing mechanisms</t>
    <phoneticPr fontId="7"/>
  </si>
  <si>
    <t>Will be considered</t>
    <phoneticPr fontId="7"/>
  </si>
  <si>
    <t>Yes
 (First NDC and Updated NDC)</t>
    <phoneticPr fontId="7"/>
  </si>
  <si>
    <t>86% renewable energy</t>
    <phoneticPr fontId="7"/>
  </si>
  <si>
    <t>・86% renewable energy generation in the electricity sector by 2030
・100% all new vehicle sales to be electric vehicles by 2030</t>
    <phoneticPr fontId="7"/>
  </si>
  <si>
    <t>The indicative cost for Antigua and Barbuda’s identified NDC measures through 2030 is between
USD 1 billion and USD 1.7B for mitigation and adaptation actions.</t>
    <phoneticPr fontId="7"/>
  </si>
  <si>
    <t>Antigua and Barbuda considers the establishment of an international market mechanism through the negotiations under Article 6 of the Paris Agreement
as an important complementary option to reduce total cost associated with limiting GHG emissions and to assist global efforts limiting temperatures to
1.5 degrees Celsius above pre-industrial levels. The final mechanism should be a robust system that guarantees transparency and environmental integrity, and delivers real, permanent and verifies emissions reductions and ensures that double counting is avoided.
Upon the completion of the negotiations of Article 6 of the Paris Agreement, Antigua and Barbuda intends to discuss the potential of a regional climate
change market for participation— either to support the achievement of its own NDC or to provide additional mitigation outcomes to support NDC attainment by other countries.</t>
    <phoneticPr fontId="7"/>
  </si>
  <si>
    <t>2021
2026</t>
    <phoneticPr fontId="7"/>
  </si>
  <si>
    <t>2025
2030</t>
    <phoneticPr fontId="7"/>
  </si>
  <si>
    <t>Peak of carbon emissions</t>
    <phoneticPr fontId="7"/>
  </si>
  <si>
    <t>398-510 Mt CO2-eq in 2025,
350-420 Mt CO2-eq in 2030</t>
    <phoneticPr fontId="7"/>
  </si>
  <si>
    <t>In 2025, South Africa’s annual GHG emissions will be in a range from 398-510 Mt CO2-eq. In 2030, South Africa’s annual GHG emissions will be in a range from 350-420 Mt CO2-eq. Note that “GHG emissions” are defined as total net GHG emissions as specified in the national inventory report for 2030, including all sectors, and excluding emissions from natural disturbances in the land sector.</t>
    <phoneticPr fontId="7"/>
  </si>
  <si>
    <t>Yes</t>
    <phoneticPr fontId="7"/>
  </si>
  <si>
    <t>N/A</t>
    <phoneticPr fontId="7"/>
  </si>
  <si>
    <t>South Africa’s key goal for its updated first NDC is to access significantly higher levels of climate finance
during the periods of implementation of the first NDC, with a view to achieving a floor of USD 8 billion
per year by 2030.</t>
    <phoneticPr fontId="7"/>
  </si>
  <si>
    <t>Goal 1: Enhance climate change adaptation governance and legal frameworks
Goal 2: Develop an understanding of the impacts on South Africa of 1.5 and 2oC global warming and the underlying global emission pathways through geo-spatial
mapping of the physical climate hazards, and adaptation needs in the context of strengthening the key sectors of the economy. [...]
Goal 3: Implementation of NCCAS adaptation interventions for the period 2021 to 2030
Goal 4: Access to funding for adaptation implementation through multilateral funding mechanisms
Goal 5: Quantification and acknowledgement of the national adaptation and resilience efforts.</t>
    <phoneticPr fontId="7"/>
  </si>
  <si>
    <t>Any international transfers of mitigation outcomes to other Parties will be accounted for as specified in decisions of the CMA. South Africa currently hosts a number of CDM projects under the Kyoto Protocol. Whether these will be recognised in terms of Article 6 of the Paris Agreement is still a subject of ongoing negotiations. It is expected that South Africa will host Article 6.4 projects under the Paris Agreement, and may enter into co-operative approaches under Article 6.2 with other countries.</t>
    <phoneticPr fontId="7"/>
  </si>
  <si>
    <t>Turkey aims to use carbon credits from international market mechanisms to achieve its 2030 mitigation target in a cost effective manner and in accordance with the relevant rules and standards.</t>
    <phoneticPr fontId="7"/>
  </si>
  <si>
    <t>Excluding LULUCF and for Low Emissions Scenario, overall emissions will be reduced by about 44.4% in 2025 and 45.4% in 2030.</t>
    <phoneticPr fontId="7"/>
  </si>
  <si>
    <t>Relative emission reduction</t>
    <phoneticPr fontId="7"/>
  </si>
  <si>
    <t>BAU</t>
    <phoneticPr fontId="7"/>
  </si>
  <si>
    <t>The mitigation measures described in the NDC2 will allow the country to reduce its GHG emissions by 49.7 percent compared to the expected 2030 baseline. In absolute figures, the mitigation measures will reduce The Gambia’s GHG emissions by 3,290 GgCO2e.</t>
    <phoneticPr fontId="7"/>
  </si>
  <si>
    <t>・Developing an enabling environment for climate resilience in The Gambia
・Climate-resilient land use mapping, planning and information systems
・Developing climate-resilient infrastructure, services and energy systems
・Developing integrated approaches to build rural climate resilience in The Gambia</t>
    <phoneticPr fontId="7"/>
  </si>
  <si>
    <t>Yes</t>
    <phoneticPr fontId="7"/>
  </si>
  <si>
    <t>N/A</t>
    <phoneticPr fontId="7"/>
  </si>
  <si>
    <t>Adaptation: agriculture (conservation agriculture, tidal irrigation, aquaculture), coastal resources (sustainable dand management, breakwater systems, groyne systems), water resources (water conservation, relocation of waer points, aquifer recharge)
Mitigation: electricity generation (combined cycle diesel generator), road transportation (direct fuel injection, turbocharger systems), waste management (bioreactor landfill, sanitary landfill)</t>
    <phoneticPr fontId="7"/>
  </si>
  <si>
    <t>Although The Gambia did not benefit from the international market mechanisms under the Kyoto Protocol, it intends to make use of voluntary cooperation under the framework provided by Article 6 of the Paris Agreement. The Gambia does not plan to achieve any of its commitment by acquiring internationally transferred mitigation outcomes (ITMOs). Instead, The Gambia would be a host country of mitigation projects aiming at securing the protection of the planet by meeting standards that deliver real, permanent, additional and verified mitigation outcomes that contribute to sustainable development while avoiding the double counting of emission reductions. Mitigation measures that are in need of additional resources to be implemented, such as those identified in the NDC as conditional upon international support, could be facilitated by international voluntary cooperation under Article 6.2 (cooperative approaches) or be registered under the Article 6.4 Mechanism. Furthermore, The Gambia welcomes international support through non-market approaches (NMAs) as recognised by Article 6.8.</t>
    <phoneticPr fontId="7"/>
  </si>
  <si>
    <t>Will be considered</t>
    <phoneticPr fontId="7"/>
  </si>
  <si>
    <t>Policies and actions</t>
    <phoneticPr fontId="7"/>
  </si>
  <si>
    <t>18% reduction compared to 2017 level (agriculture)</t>
    <phoneticPr fontId="7"/>
  </si>
  <si>
    <t>・Agriculture, livestock and fisheries:  18% reduction in GHG emissions compared to 2017 level
・Infrastructure (construction and buildings): Procurement of green cement
・Forestry: 70% reduction in deforested area
・Electricity: Installation of 2,729.5 MW of renewable energy based power plants (including hydropower)
・Waste: 30% reduction in GHG emissions compared to baseline
・Transport 44% reduction in GHG emissions compared to baseline
In total, by implementing these strategies South Sudan can reduce an estimated 109.87 million tonnes of carbon dioxide equivalent (tCO2e) and sequester 45.06 million tCO2e by 2030.</t>
    <phoneticPr fontId="7"/>
  </si>
  <si>
    <t>・Promote climate-smart agriculture and livestock techniques.
・Mainstream climate resilience in construction activities
・Sustainable management of forests through community involvement
・Conduct a biodiversity mapping study
・Increase the use of clean and renewable energy
・Rehabilitate irrigation schemes</t>
    <phoneticPr fontId="7"/>
  </si>
  <si>
    <t>Economy-wide</t>
    <phoneticPr fontId="7"/>
  </si>
  <si>
    <t>It is estimated that South Sudan will require a total of US$100 billion for the implementation of all NDC interventions and strategies over a period of 10 years. Of this, international investments of $93.5–93 billion will be required, while $6.5–7 billion will be financed domestically by the Government of South Sudan.</t>
    <phoneticPr fontId="7"/>
  </si>
  <si>
    <t>• Renewable energy and energy-efficient technologies;
• Access to climate information systems to carry out real time monitoring of hydrometeorological events and establish early warning systems;
• Technologies that can be used for water recycling, harvesting, irrigation and sustainable management of water resources;
• Availability of tools and methodologies to assess climate vulnerability, risks and impacts, and to identify adaptation options;
• Transportation technologies that are resilient to the adverse impacts of climate change, particularly roads and large-scale transportation
of goods; and
• Technologies for the protection and development of climate-resilient infrastructure, especially for development of flood-proof infrastructure.</t>
    <phoneticPr fontId="7"/>
  </si>
  <si>
    <t>Regional and international carbon markets can play a significant role in increasing private sector participation in NDC implementation by providing
economic incentives through trading emission reduction credits. Carbon markets can be used particularly by the waste and renewable energy sectors in South Sudan.</t>
    <phoneticPr fontId="7"/>
  </si>
  <si>
    <t>・Sri Lanka interprets unconditional policy responses as those actions that have been identified in national plans and programmes, prioritised for domestic investments (public and private) which can be implemented with domestic capacity. These actions amount to 4.0% of GHG emissions reduction with respective to BAU scenario for the period 2021-2030.
・conditional NDC actions account for additional 10.5% of GHG emissions reduction respective to the BAU scenario for the period 2021-2030.
・Sri Lanka expects to achieve its Carbon Neutrality by 2050</t>
    <phoneticPr fontId="7"/>
  </si>
  <si>
    <t xml:space="preserve">The Mitigation Contribution for Zimbabwe is given as 33% below the projected Business As Usual energy emissions per capita by 2030. </t>
    <phoneticPr fontId="7"/>
  </si>
  <si>
    <t>Carbon intensity reduction</t>
    <phoneticPr fontId="7"/>
  </si>
  <si>
    <t>40% reduction in GHG emissions per capita compared to BAU by 2030, conditional on international support.</t>
    <phoneticPr fontId="7"/>
  </si>
  <si>
    <t>• Develop, implement and scale-up climate smart agriculture solutions and strengthen agricultural value chains and markets;
• Enhance early warning and climate-related disaster risk reduction systems (including information management systems);
• Ensure climate resilient infrastructure designs and development; and
• Develop and promote resilient and sustainable water resources management,</t>
    <phoneticPr fontId="7"/>
  </si>
  <si>
    <t>The mitigation measures alone will cost an estimated
US$4,834.47 million. Zimbabwe’s adaptation measures will be costed in the forthcoming NAP</t>
    <phoneticPr fontId="7"/>
  </si>
  <si>
    <t>As outlined in the first NDC, Zimbabwe also intends to leverage on its resources through the sale of carbon credits or emission reductions units through international and regional carbon markets and/or carbon pricing mechanisms to mobilise more resources for managing climate change.</t>
    <phoneticPr fontId="7"/>
  </si>
  <si>
    <t>• Unconditional target: 3% of GHG emission reduction compared to business as usual by 2030.
• Objectif conditionnel: 20% of GHG emission reduction compared to business as usual by 2030, starting from 2016.</t>
    <phoneticPr fontId="7"/>
  </si>
  <si>
    <t>2025 and 2030</t>
    <phoneticPr fontId="7"/>
  </si>
  <si>
    <t>1.58% and 3.04% (unconditional), 11.4% and 12.61% (conditional)</t>
    <phoneticPr fontId="7"/>
  </si>
  <si>
    <t>[translated]
• Agriculture: Enhance and promote plants indigenous plants medicinal, nutritional and melliferous plants
• Health: Raise awareness of the population of of the harmful effects of changes climate change on human health
• Infrastracture, transport and buildings: Developing the infrastructure for non-motorised transport in Bujumbura
• Waste: Manage rationally waste</t>
    <phoneticPr fontId="7"/>
  </si>
  <si>
    <t>[translated]
Target values for the baseline indicator (relative reduction of GHG emissions compared to BAU) :
Unconditional scenario - 2025: 1.58%
Unconditional scenario - 2030: 3.04%
Conditional scenario - 2025: 11.40%
Conditional scenario - 2030: 12.61%.</t>
    <phoneticPr fontId="7"/>
  </si>
  <si>
    <t>[translated]
・Strengthen sectoral institutions on building reliable databases on climate change.
・Supporting climate-related research and development.</t>
    <phoneticPr fontId="7"/>
  </si>
  <si>
    <t>[translated]
Yes under Article 6 of the Paris Agreement to access funding for the implementation of the 2020 NDC</t>
    <phoneticPr fontId="7"/>
  </si>
  <si>
    <t>• The enhancement of the knowledge base regarding the risks of climate change and the impacts on communities; 
• Developing and implementing an integrated approach which combines the following sectors namely; Fisheries (Blue Economy), Tourism, Biodiversity (Terrestrial and Marine), Forestry, Agriculture and Coastal Zone;
• Enhancing strategic frameworks to address policy gaps and improve expertise in the Health sector, including, through integrating climate risks into planning and developing policies in the National Adaptation Plan; and
• Increasing resilience of human-led activities whilst preserving ecosystem functions, through improving governance, enhancing disaster preparedness and response mechanisms, for infrastructure and disaster risk reduction sectors.</t>
    <phoneticPr fontId="7"/>
  </si>
  <si>
    <t xml:space="preserve">The total financial needs to implement the NDC targets are estimated at USD 6.5 billion. The total needs for implementing the mitigation and adaptation actions identified in this NDC are estimated respectively at USD 2 billion and USD 4.5 billion. </t>
    <phoneticPr fontId="7"/>
  </si>
  <si>
    <t>Mauritius intends to continue using voluntary cooperation to achieve its mitigation objectives. Clean Development Mechanism (CDM) projects are already implemented and on-going.</t>
    <phoneticPr fontId="7"/>
  </si>
  <si>
    <t>Based on current projections, Mauritius aims to reduce overall GHG emissions by 40% in 2030 compared to the Business as Usual (BAU) scenario of around 6,900 ktCO2eq (including LULUCF) in 2030.</t>
    <phoneticPr fontId="7"/>
  </si>
  <si>
    <t>The overall mitigation goal of the Kyrgyz Republic is to unconditionally reduce GHG emissions by 16.63% by 2025 and by 15.97% by 2030, under the business-as-usual scenario. Should international support be provided, GHG emissions will be reduced by 2025 by 36.61% and by 2030 by 43.62%, under the business-as-usual scenario.</t>
    <phoneticPr fontId="7"/>
  </si>
  <si>
    <t>16.63% and 15.97% (unconditional), 36.61% and 43.62%  (conditional)</t>
    <phoneticPr fontId="7"/>
  </si>
  <si>
    <t>1. Water resources
2. Agriculture
3. Energy
4. Health care
5. Reducing the risks of emergencies caused by climate change
6. Forest and biodiversity
7. Climate resilient areas and green cities
8. Improving the adaptation reporting system</t>
    <phoneticPr fontId="7"/>
  </si>
  <si>
    <t>The overall estimated cost of the implementation of mitigation and adaptation actions will total at around USD 10 billion including 37% coming from own resources (funding by the private sector, international donors, and the national budget) and 63% sought in the form of investments of international financial assistance.</t>
    <phoneticPr fontId="7"/>
  </si>
  <si>
    <t>19.60% (unconditional), 29.42% (conditional)</t>
    <phoneticPr fontId="7"/>
  </si>
  <si>
    <t xml:space="preserve">[translated]
The country commits, in relation to its mitigation actions, to reduce its GHG emissions by 31682.3 Gg CO2eq by 2030, i.e. 29.42% compared to the Business As Usual scenario. This commitment is 21074.94 Gg CO2eq for the unconditional scenario or 19.60% and 10557.91 Gg CO2eq for the conditional scenario or 9.82%. </t>
    <phoneticPr fontId="7"/>
  </si>
  <si>
    <t>The State of Palestine, therefore, increases its commitment to reduce its GHG emissions by 17.5% by 2040 relative to the business-as-usual (BAU) levels under a scenario where the Israeli occupation continues (Status-quo Scenario), and by 26.6% by 2040 under a scenario where the Israeli occupation ends17 (Independence Scenario).</t>
    <phoneticPr fontId="7"/>
  </si>
  <si>
    <t>17.5% (status quo), 26.6% (independence)</t>
    <phoneticPr fontId="7"/>
  </si>
  <si>
    <t>Conditional NDC actions:
1. Agriculture: 50% of farms in the State of Palestine apply gender-sensitive CSA by 2040
.2 Energy: Upgrade of the electricity grid to enable distribution of renewable energy, primarily from solar photovoltaic (PV), by 2030
3. Health: Improve the capacity for disease prevention by training 300 health professionals in disease prevention by 2025
Transport: Reducing the emissions of the passenger vehicle fleet by 8% by 2030, and 24% by 2040
4. Waste; Reduce the volume of leachate by 50% by 2030 from suitable landfill sites.
5. Water: 70% of the treated wastewater in large-scale wastewater treatment plants in the West Bank and Gaza are re-used by 2030.
6. Coastal and marine: Rainwater harvesting
7. Food: Enhancing agricultural value chain and improving infrastructure for livestock production
8. Industry: Replace imported raw materials with local materials whenever possible
9. Terrestrial ecosystems: National network of protected areas, including 50 protected areas and 51 biodiversity hotspots (West Bank), Wadi Gaza and 3 biodiversity hotspots (Gaza Strip).
10. Tourism: Identify, design, and implement flood management schemes for cultural heritage sites, where appropriate.
11. Urban and infrastructure: Promoting green buildings</t>
    <phoneticPr fontId="7"/>
  </si>
  <si>
    <t>N/A</t>
    <phoneticPr fontId="7"/>
  </si>
  <si>
    <t>There is a funding gap of at least USD 2,742m for the period 2021-2040, which needs to be filled in order to implement the activities outlined above</t>
    <phoneticPr fontId="7"/>
  </si>
  <si>
    <t>Energy: 1. National grid assessment and electricity grid upgrade 2. Various applications of solar PV technologies 3. Energy efficiency 4. Solar water heating
Agriculture: 1. Climate smart agriculture (precision agriculture) 2. Efficient irrigation 3. Resilient animal fodder 4. Conservation agriculture 5. Water harvesting 
Water and wastewater: 1. Rainwater harvesting 2. Water resources monitoring technologies 3. Wastewater collection and treatment plants and advanced wastewater treatment technologies
Transportation: 1. Upgrade of the existing vehicle fleet 2. Reducing emissions through greater use of electric and hybrid vehicles 3. Public transportation (modal shift) 
Solid waste: 1. Waste sorting 2. Modernise waste collection and management equipment 3. Composting 4. Recycling and re-using waste (including generating electricity from waste) 
Others: 1. Provision of beach nourishment, reclamation, and beach drift rehabilitation 2. Development of water, food and sanitation monitoring and safety systems using high technology related to health</t>
    <phoneticPr fontId="7"/>
  </si>
  <si>
    <t>Given the funding gap outlined above, and Palestine’s significant mitigation potential, there are opportunities for Palestine to participate in the Article 6 mechanisms. Palestine will first explore establishing carbon pricing at the national level to determine a domestic carbon price and assess the extent to which carbon pricing will help it fund and achieve its Updated NDCs. To do so, Palestine will undertake an economic modelling exercise in which it will simulate a domestic carbon market under different conditions (e.g. grandfathering vs. auctioning of allowances to regulated entities, stand-alone or linked to other carbon markets, etc.). The domestic carbon price arising from this exercise will then be compared with an international carbon price, to simulate participation in the Article 6 market mechanism. The comparison between the two prices will determine whether Palestine will be a buyer or a seller of ITMOs under Article 6. Indeed, if the carbon price emerging domestically is lower than that of other Parties, then Palestine will be an ITMOs seller and it could use the proceeds to cover the funding gaps identified.</t>
    <phoneticPr fontId="7"/>
  </si>
  <si>
    <t>Carbon intensity reduction</t>
    <phoneticPr fontId="7"/>
  </si>
  <si>
    <t>27% (unconditional), 45% (conditional)</t>
    <phoneticPr fontId="7"/>
  </si>
  <si>
    <t>Yes</t>
    <phoneticPr fontId="7"/>
  </si>
  <si>
    <t>[translated]
• Achieving the digital transition of agro-sylvopastoral production systems, livestock, fisheries and aquaculture production systems, improve the sharing information, data and knowledge for a better resilience to the resilience to the effects of climate change on territories and societies.
• Improving water governance and the quantitative and qualitative management of conventional water resources in the face of climate change impacts 
• Establish a national framework for adaptation to climate change with consideration of spatial planninge
• Modernising information management, facilitating access to and sharing of knowledge and predicting risks related to climate change
• Strengthen the capacity of the public health sector for better climate integration and building climate resilient health infrastructure. resilient to climate change.
• (productive ecosystems): monitor, protect, rehabilitate and rationalise use of natural resources, achieving neutrality in land degradation and land degradation and ensure the sustainability of natural ecosystem goods and services. natural ecosystems.
• Développer une gouvernance intégrée et multi-niveaux de la RRC-GRC</t>
    <phoneticPr fontId="7"/>
  </si>
  <si>
    <t>[translated]
Tunisia's updated NDC targets a 45% reduction in its carbon intensity in 2030 compared to 2010.
Tunisia's "unconditional" contribution corresponds to to a 27% reduction in carbon intensity in 2030 compared to that of the reference year 2010.
The "conditional" contribution provides for an additional reduction in carbon intensity in 2030 of 18% compared to the 2010 base year.</t>
    <phoneticPr fontId="7"/>
  </si>
  <si>
    <t>[translated] The implementation of the Tunisian contribution to mitigation requires the mobilisation of significant financial resources estimated at around USD 14.4 billion over the period 2021-2030.
(adaptation) Based on these annual simulations, the funding requirements for the funding needs for the period 2021-2030 could amount to more than USD 4 223 million.</t>
    <phoneticPr fontId="7"/>
  </si>
  <si>
    <t>[translated]
1. The mass development of renewable energies, which includes five main sectors: wind (onshore and offshore), photovoltaics, concentrated solar power and solar energy (CSP), biogas and green hydrogen
2. Choosing the best energy technologies and practices for the building sector building sector
3. Participation, via international partnerships, in international research on sustainable mobility on sustainable mobility (electric, hydrogen, etc.), and storage systems, as well as immediate storage systems, as well as immediate applications on captive fleets (e.g. La Poste, public public transport, etc.).
4. Monitoring major global changes in working patterns, particularly in relation to the development of teleworking
5. Active involvement in international partnerships for research and development of mechanisms for managed ecosystems and soils for productive purposes, preservation against all forms of degradation, restoration and productive purposes, preservation against all forms of degradation, restoration and increase carbon sequestration.
6. Tunisia also wishes to follow closely the major research orientations to reduce CH4 emissions from livestock through policies that focus on (a) livestock feeding methods, in parallel with the increase in yields (b) the use of agricultural by-products, particularly energy, and the agriculture in general and livestock farming in particular.
7. Positioning on technological niches in the field of CO2 capture and storage (CCS), by integrating into the major research and industrial application initiatives industrial applications.</t>
    <phoneticPr fontId="7"/>
  </si>
  <si>
    <t>[translated]
To finance its contribution, which is conditional on obtaining international financial support, Tunisia intends to make full and  voluntary use of the cooperative mechanisms provided for in Article 6 of the Paris Agreement, whether they are market-based (paragraphs 2 and 4 of Article 6) or non market-based (Article 6.8). In general, Tunisia wishes to engage in these cooperative approaches on all sources eligible for Article 6 mechanisms, and more particularly to develop the production of electricity from all renewable energy sources, and improving its energy efficiency, the control of emissions in the process sector, controlled and improved environmental management of waste and waste water, as well as measures agriculture and forestry and land use.</t>
    <phoneticPr fontId="7"/>
  </si>
  <si>
    <t>31% (energy), 25% (agriculture), 39% (LULUCF), 31% (waste)</t>
    <phoneticPr fontId="7"/>
  </si>
  <si>
    <t>[Translated] The level of GHG reduction ambition of the mitigation scenario compared to the baseline scenario in 2030 is: 
- 31% for energy sector;
- 25% for agriculture sector
- 39% for forestry and land use change sector
- 31% for waste sector</t>
    <phoneticPr fontId="7"/>
  </si>
  <si>
    <t>[Translated]
• establishment of an institutional framework 
• Function of a financial contribution based on the user-pays principles, and mobilised for the benefit of the water sector
• Function of a Water Police, with two components: awareness / education of the population and control
• Capacity building, with three components: long-term diploma training programme; further development of technical instruments for water management, its uses and risks; strengthening of technical services</t>
    <phoneticPr fontId="7"/>
  </si>
  <si>
    <t>[Translated] For mitigation, hydroelectricity, solar photovoltaic, improved stoves, biofuels, intensive rice cultivation (SRI), microdosing, reforestation
For adaptation, it is the practice of fodder crops to cover ecological zones; the development of cultivated land according to contour lines; agro-meteorological techniques to minimize climatic risks on agricultural production; the use of improved crop varieties (millet, rice, maize, and sorghum) adapted to climate change; boreholes, small water retaining dams, sinking of ponds and large diameter wells</t>
    <phoneticPr fontId="7"/>
  </si>
  <si>
    <t>[Translated] Reducing GHG emissions by 32% compared to business as usual levels for the target year (2035), and conditional on the support of the international community in the form of financing, capacity building, and technology transfers.</t>
    <phoneticPr fontId="7"/>
  </si>
  <si>
    <t>[Translated] The level of GHG reduction by 2030 is 35% distributed as follows:
- 23% in a conditional scenario
- 12% unconditional</t>
    <phoneticPr fontId="7"/>
  </si>
  <si>
    <t>12% (unconditional), 35% (conditional)</t>
    <phoneticPr fontId="7"/>
  </si>
  <si>
    <t>[Translated]
• Agriculture: Promote climate-smart agriculture to build resilience and enhance investments in adaptation and build community resilience to the adverse effects of climate change through improved access and connectivity, and food storage
• Energy: Ensuring sustainable energy supply and certification of the climate resilience of energy infrastructure
• Infrastructure: Build climate-resilient infrastructure, including rail systems, airports and seaports, through the integration of adaptation and resilience measures to improve sustainability.
• Resilience: Building community resilience to the adverse effects of climate change through improved access and connectivity, and food storage
・Economy and development: Strengthening the business environment to increase investment in the transition to resilient development</t>
    <phoneticPr fontId="7"/>
  </si>
  <si>
    <t>[Translated] The investments required for mitigation actions to reach the 2030 target are estimated at USD 25,784.66 million or CFAF 12,785 billion.
The necessary investments to be devoted to adaptation actions are estimated at 31,856 million USD or 15,928 billion FCFA.</t>
    <phoneticPr fontId="7"/>
  </si>
  <si>
    <t>[Translated] 
Agriculture: Intermittent irrigation practice of rice fields (CH4 reduction of rice crops)
Forestry: Reforestation
Energy: Biomass direct combustion for electricity generation
Waste: Waste management (Waste hierarchy)</t>
    <phoneticPr fontId="7"/>
  </si>
  <si>
    <t>[Translated] Cameroon is in favour of participating in the financial and cooperation mechanisms provided for in Article 6 of the Paris Agreement. Cameroon is also considering building its capacity for effective participation in the Article 6 mechanisms.</t>
    <phoneticPr fontId="7"/>
  </si>
  <si>
    <t>Will be considered</t>
    <phoneticPr fontId="7"/>
  </si>
  <si>
    <t>The year 1990 is the base year for determining the target for reducing greenhouse gas emissions until 2030. The level of greenhouse gas emissions in 1990 was 137.8 million tonnes of CO2-eq. exclusive of the LULUCF sector, and 117.2 million tonnes of CO2-eq. inclusive of the LULUCF sector. The type of commitment is the absolute reduction of greenhouse gas emissions until 2030 as compared to the base year emissions, inclusive of the LULUCF sector.
The unconditional target is to reduce greenhouse gas emissions by at least 35 per cent.
The conditional target is to reduce greenhouse gas emissions by at least 40 per cent.</t>
    <phoneticPr fontId="7"/>
  </si>
  <si>
    <t>35% (unconditional), 40% (conditional)</t>
    <phoneticPr fontId="7"/>
  </si>
  <si>
    <t>Strategic documents on the adaptation of individual economic sectors to climate change are being developed. In 2022, the National Action Plan for Climate Adaptation will be developed.</t>
    <phoneticPr fontId="7"/>
  </si>
  <si>
    <t>[Translated] For the coming years, the measures envisaged in the revised NDC, in the energy, agriculture and waste sectors, are likely to contribute to reducing cumulative GHG emissions (excluding LULUCF) by about 48.75 Mt CO2e compared to the baseline scenario, i.e. a reduction of about 20.15% over the period 2021-2030.</t>
    <phoneticPr fontId="7"/>
  </si>
  <si>
    <t>Relative emission reduction</t>
    <phoneticPr fontId="7"/>
  </si>
  <si>
    <t>BAU</t>
    <phoneticPr fontId="7"/>
  </si>
  <si>
    <t>[Translated] The total estimated cost for the implementation of the plans, programmes and projects included in Benin's updated NDC amounts to US$10515.88 million, of which US$5661.89 million are unconditional options and US$4853.99 million are conditional options</t>
    <phoneticPr fontId="7"/>
  </si>
  <si>
    <t>[Translated] Addaptation:
・Agriculture: Development and extension of technical itineraries adapted to the new climatic constraints in the agro ecological zone 5
・Water resources: Development of small watersheds to improve food and nutrition security for vulnerable populations
Mitigation:
・Agriculture: Integrated soil fertility management
・Forestry: Reforestation of forest land
・Energy: Efficient refrigerators and air conditioners</t>
    <phoneticPr fontId="7"/>
  </si>
  <si>
    <t>[Translated] Unconditional commitment to reduce GHG emissions by 11% (1905GgEq-CO2) in 2030 compared to the (BAU) scenario with international support levels in force in 2020. This reduction can be achieved with greater international support, allowing for the development of a larger share of the country's renewable energy potential. This conditional reduction will be 16008.045 GgEq-CO2 or 92.49% in 2030 compared to the (BAU) scenario.</t>
    <phoneticPr fontId="7"/>
  </si>
  <si>
    <t>11% (unconditional), 92.49% (conditional)</t>
    <phoneticPr fontId="7"/>
  </si>
  <si>
    <t>[Translated]
▪ Health-climate
▪ Resilience Nouakchott / Marine incursions &amp; Floods
▪ Resilience of coastal cities / Floods
▪ Farmers insurance system
▪ Development of irrigated village perimeters
▪ Promotion of market gardening and livestock
▪ Genetic improvement of local breeds
▪ Pastoral insurance and disaster funds
▪ Zoning and transhumance corridors
▪ Coastal community resilience
▪ Inland fisheries
▪ Water &amp; sanitation
▪ Drinking water 12 localities
▪ Drinking water 4 wilayas
▪ AEP / Water stations 2580 localities with more than 150 inhabitants</t>
    <phoneticPr fontId="7"/>
  </si>
  <si>
    <t>[Translated] 
Unconditional: 635 million USD for mitigation, 451.83 for adaptation
Conditional: 33620 for mitigation, 10174.63 for adaptation</t>
    <phoneticPr fontId="7"/>
  </si>
  <si>
    <t>[translated]
Technology transfer needs assessments were conducted in 2017. They led to the identification of two priority sectors for adaptation (agriculture, rangelands and forests) and two priority sectors for mitigation (energy and waste)</t>
    <phoneticPr fontId="7"/>
  </si>
  <si>
    <t>[Translated] Mauritania intends to use voluntary cooperation under Article 6 of the Paris Agreement to achieve part of its mitigation objective by using carbon market mechanisms (tranformative carbon asset facility, etc.). In this context, the country is considering using these tools in the development and management of NAMA projects under the CDM mechanism.</t>
    <phoneticPr fontId="7"/>
  </si>
  <si>
    <t>10% (unconditional), 30% (conditional)</t>
    <phoneticPr fontId="7"/>
  </si>
  <si>
    <t>Unconditional commitment to reduce GHG emissions by 10% (1.8 MtCO2e reduction) in 2030 compared to the reference scenario with the international support levels in force in 2020, increased to 30% (5.5 MtCO2e) with higher international support.</t>
    <phoneticPr fontId="7"/>
  </si>
  <si>
    <t>To finance its conditional contribution, Guinea-Bissau aspires to make full and voluntary use of the cooperative mechanisms provided for in Article 6 of the Paris Agreement, whether they are market-based (paragraphs 2 and 4 of Article 6) or they are not market-based (paragraph 8 of Article 6).
In general, Guinea-Bissau wishes to engage in these cooperative approaches on all sources eligible for the mechanisms of Article 6, particularly to develop electricity generation from renewable energy sources.
For this, Guinea-Bissau intends to strengthen its capacities in the field of carbon pricing through the establishment of specific training programs for the actors concerned.</t>
    <phoneticPr fontId="7"/>
  </si>
  <si>
    <t>・Food Security
・Water Resources
・Coastal Zone
・Forests</t>
    <phoneticPr fontId="7"/>
  </si>
  <si>
    <t>Yes</t>
    <phoneticPr fontId="7"/>
  </si>
  <si>
    <t>N/A</t>
    <phoneticPr fontId="7"/>
  </si>
  <si>
    <t>the amount required for climate change mitigation in the years 2021-2030 is estimated at USD 664 million. (...) The conditional portion of Guinea-Bissau’s NDC mitigation target amounts to USD 531 million. Significant adaptation investments will also need to be carried out. (...), significant funding gaps have been identified in fisheries and ocean ecosystems, energy, water resources, human health, capacity development, disaster risk management, infrastructure (roads, bridges, houses, etc.) and local adaptation.</t>
    <phoneticPr fontId="7"/>
  </si>
  <si>
    <t>development of renewable energies and energy efficiency in the different sectors of the economy</t>
    <phoneticPr fontId="7"/>
  </si>
  <si>
    <t xml:space="preserve">The Republic of Tajikistan is committed to an unconditional target which is an emissions cap of 60 to 70% of existing GHG emissions in 1990 level by 2030, which stands at 21.32 to 24.87 MtCO₂eq by 2030, or 1.9 to 2.2 tCO2eq per capita.
The conditional target of reducing GHG emissions in the Republic of Tajikistan would have an emissions cap of 50 to 60% compared to the 1990 level by 2030, which stands at 17.76 to 21.32 MtCO₂eq by 2030, or 1.5-1.9 tCO₂eq per capita if support in terms of finance, technology transfer and capacity building is provided to the Republic of Tajikistan by the international community. </t>
    <phoneticPr fontId="7"/>
  </si>
  <si>
    <t>30-40% (unconditional), 40-50% (conditional)</t>
    <phoneticPr fontId="7"/>
  </si>
  <si>
    <t>・Energy: development of short-term impact models and effective adaptation options for extreme weather conditions such as droughts.
・Use of water resources: increasing the efficiency of water use, recycling, processing and demand management
・Agriculture: Introduction of "green" technologies and "green" infrastructure in agro-industrial production
・Forestry: reforestation/afforestation, natural and active/assisted regeneration
・Transport: improving the protection and long-term maintenance of transport infrastructure
・Industry and construction: equipping large enterprises with modern energy-saving and digital technologies
・Cross-sectoral: creating an enabling environment for the introduction of new technologies for climate change mitigation and disaster risk management</t>
    <phoneticPr fontId="7"/>
  </si>
  <si>
    <t>At least 7% of Tajikistan's GDP is required for financing climate change activities throughout the decade of 2020-2030. The last implies that the overall climate finance required by 2030 could represent more than 1 billion USD per year.</t>
    <phoneticPr fontId="7"/>
  </si>
  <si>
    <t>・Assessment of the effectiveness of the implementation of projects to adapt to climate change throughout the life cycle of projects;
・Introduction of quantitative and qualitative indicators of new technologies and their effectiveness into the monitoring system;
・Financing technologies for adaptation to climate change with the budget framework by the private sector and development partners through a multilateral development fund, co-financing
or public-private partnerships;
・Lower loans rate interest for the use/purchase of climate change adaptation technologies for a long period;
・Income tax exemption for Local manufacturers and service providers if they use climate resilient technologies;
・Availability of the best practices in new technologies to all users;
・Creation of techno parks for the introduction of new technologies for adaptation to climate change;
・Encouraging regional experience in the exchange of information on new technologies, which reduces, directly or indirectly, the impact of climate change;
・Creation of a platform to share experience on new technologies at national and regional levels.</t>
    <phoneticPr fontId="7"/>
  </si>
  <si>
    <t>The enhanced and more ambitious NDC of Eswatini represents a progression beyond the 2015 NDC by adopting an economy wide GHG emissions reduction target of 5% by 2030 compared to the baseline scenario  and help achieve a low carbon and climate resilient development. This economy wide emission reduction can increase to 14% with external financing and this translates to 1.04 million tonnes fewer GHG emissions in 2030 compared to a baseline scenario.</t>
    <phoneticPr fontId="7"/>
  </si>
  <si>
    <t>BAU</t>
    <phoneticPr fontId="7"/>
  </si>
  <si>
    <t>5% (unconditional), 14% (conditional)</t>
    <phoneticPr fontId="7"/>
  </si>
  <si>
    <t>Relative emission reduction</t>
    <phoneticPr fontId="7"/>
  </si>
  <si>
    <t>・Agriculture: Increase the contribution of agriculture to economic development to support both food security and income generation (…)
・Water: Improve water governance and compliance to help manage water resources more efficiently and effectively to adapt to resultant water shortages from climate change
・Health: Enhance legal, policy and institutional frameworks for health sector
・Ecosystems and biodiversity: Scale up actions and investments in ecological infrastructure including actions
・Infrastructure: Improve evidence base of climate change impacts on infrastructure to support decision making</t>
    <phoneticPr fontId="7"/>
  </si>
  <si>
    <t>The estimated total cost of implementing NDC is $950 million to $1.5 billion.</t>
    <phoneticPr fontId="7"/>
  </si>
  <si>
    <t>Eswatini is committed to contributing towards developing market mechanisms via international cooperation under Article 6 of the Paris Agreement. While at present, there is no clarity on Article 6, Eswatini does not exclude the possible of utilizing international market mechanisms to achieve its NDC targets.</t>
    <phoneticPr fontId="7"/>
  </si>
  <si>
    <t>Jordan sets the target of achieving 31% reduction of emissions by 2030. Which is quantified to be 11269 Gg CO2 eq.
Jordan committed to reduce 5% compared to the BAU scenario unconditionally, and to reduce conditionally an additional 26% compared to BAU scenario if the resources and means of implementation are available.</t>
    <phoneticPr fontId="7"/>
  </si>
  <si>
    <t>5% (unconditional), 31% (conditional)</t>
    <phoneticPr fontId="7"/>
  </si>
  <si>
    <t>Economy-wide</t>
    <phoneticPr fontId="7"/>
  </si>
  <si>
    <t>・Water reource management: Lower water resources availability: Climate change will reduce both, surface and groundwater resources availability, by 15% until 2040.
・Agriculture and food security: Developing and implementing a climate change agriculture resilience investment plan
・Biodiversity and ecosystems: Conducting a comprehensive review of the National Network of Protected Areas. The revision will aim at identifying/validating climate-vulnerable ecosystems, extending conservation efforts in PA-surroundings and designing buffer zones as deemed necessarily for strengthening the adaptive capacities of key ecological hotspots
・Health: Updating the climate change and health vulnerability and adaptation assessment (V&amp;A)
(...)</t>
    <phoneticPr fontId="7"/>
  </si>
  <si>
    <t>The estimated cost of mitigation actions to reach 31% target is totaling USD billion 7.54 from which the government plans to secure USD Million 565 by its own means to meet the unconditional target.</t>
    <phoneticPr fontId="7"/>
  </si>
  <si>
    <t>・the deployment of electric buses
・waste separation and recycling</t>
    <phoneticPr fontId="7"/>
  </si>
  <si>
    <t>Jordan will explore the use of the international cooperative mechanisms in Article 6 of the Paris Agreement to meet national development and climate policy objectives while considering the environmental integrity, cost effectiveness and the principles of transparency to avoid double counting.</t>
    <phoneticPr fontId="7"/>
  </si>
  <si>
    <t>Policies and actions</t>
    <phoneticPr fontId="7"/>
  </si>
  <si>
    <t>Kuwait's economic target to reduce 7.4% compared to BAU by 2035 covers sectors of (Energy, IPPU, Agriculture, Forestry and Other Land Use), where the energy sector is the primary emission source.</t>
    <phoneticPr fontId="7"/>
  </si>
  <si>
    <t>Reduction of 7.4% in 2035 relative to BAU voluntary funded, other financial support facilitate from the using of the new mechanism.
Furthermore, article 6 of the Paris Agreement is an additional mechanism to achieve cost-efficient emission reductions, facilitate the transfer of carbon mitigation technology, and deliver significant sustainable development benefits.</t>
    <phoneticPr fontId="7"/>
  </si>
  <si>
    <t>20.51% (unconditional), 50.57% (conditional)</t>
    <phoneticPr fontId="7"/>
  </si>
  <si>
    <t>[translated] Overall, Togo's contribution amounts to 50.57%, or 15,378.55 Gg CO2-eq by 2030, distributed as follows:
✓ Unconditional target: 20.51% ;
✓ Conditional target: 30.06%.</t>
    <phoneticPr fontId="7"/>
  </si>
  <si>
    <t>[translated]
• Energy: Strengthen actions in favour of energy efficiency and low carbon technologies
• Agriculture: Strengthening the resilience of agricultural production systems and assets
• Water resources management: Supporting the capture of surface water resources through multi-purpose hill water reservoirs 
• Human settlements: Establish an early warning system for risks
• Coastal zone: Initiate IGAs for market gardening and fishing communities in the coastal zone</t>
    <phoneticPr fontId="7"/>
  </si>
  <si>
    <t>[translated]
Achieving the overall target of 50.57% requires an estimated investment of about USD 5.4 billion between 2020 and 2030. (…) This support can give impetus to all the actions of the revised NDC in terms of both mitigation and adaptation. The shares for mitigation and adaptation measures are USD 2.7 billion and USD 2.6 billion respectively.</t>
    <phoneticPr fontId="7"/>
  </si>
  <si>
    <t>・Agriculture: 1) development of agricultural land, 2) integrated agricultural production systems and 3) off-season agriculture.
・Water resources: 1) mini-drinking water supply, 2) rehabilitation of surface water reservoirs and 3) gravity drainage of rainwater.</t>
    <phoneticPr fontId="7"/>
  </si>
  <si>
    <t>[translated] Togo recognises the important role of market-based international cooperation in contributing to the mitigation of GHG emissions and the promotion of sustainable development. Togo will continue to explore the potential of bilateral, multilateral and regional market-based cooperation, including in the context of Article 6 of the PA, which can facilitate, accelerate and enhance technology development and transfer, capacity building and access to financial resources that support Togo's sustainable transition to low-emission and climate-resilient growth.</t>
    <phoneticPr fontId="7"/>
  </si>
  <si>
    <t>Japan aims to reduce its greenhouse gas emissions by 46 percent in fiscal year 2030 from its fiscal year 2013 levels, setting an ambitious target which is aligned with the long-term goal of achieving net-zero by 2050. Furthermore, Japan will continue strenuous efforts in its challenge to meet the lofty goal of cutting its emission by 50 percent.</t>
    <phoneticPr fontId="7"/>
  </si>
  <si>
    <t>Japan will establish and implement the Joint Crediting Mechanism (JCM) in order to quantitatively evaluate contributions of Japan to greenhouse gas emission reductions and removals which are achieved through the diffusion of, among others, leading decarbonizing technologies, products, systems, services, and infrastructures as well as through the implementation of measures in developing countries and others, and in order to use such contributions to achieve Japan’s NDC. By doing so, through public-private collaborations, Japan aims to secure accumulated emission reductions and removals at the level of approximately 100 million t-CO2 by fiscal year 2030. Japan will appropriately count the acquired credits to achieve its NDC.
With regards to the JCM which Japan has initiated to establish, Japan secures environmental integrity and the avoidance of double-counting in line with the international rules including the Paris Agreement. Also, based on its experience in the JCM, Japan intends to lead international discussions, thereby contributing to the development of appropriate international rules for the use of market mechanisms.
Furthermore, Japan will also make proactive efforts in the area of international cooperation to promote decarbonization and to improve resilience in developing countries and others, including from developing policies and institutional platforms to promoting sector- and city-level efforts as well as facilitating technology diffusion.</t>
    <phoneticPr fontId="7"/>
  </si>
  <si>
    <t>The INDC of Albania is a baseline scenario target: it commits to reduce CO2 emissions compared to the baseline scenario in the period of 2016 and 2030 by 11.5 %. This reduction means 708 kT carbon‐dioxide emission reduction in 2030.</t>
    <phoneticPr fontId="7"/>
  </si>
  <si>
    <t>Albania is committed to reduce its GHG emissions from its projected BAU baseline by the year 2030. Therefore, the target is expressed as a mitigation effort of -20.9% total GHG emissions reduction in 2030 compared to business-as-usual scenario for this year.</t>
    <phoneticPr fontId="7"/>
  </si>
  <si>
    <t>Energy: low-carbon technologies, renewable energy, energy efficiency, and grid infrastructure.</t>
    <phoneticPr fontId="7"/>
  </si>
  <si>
    <t>Albania intends to sell carbon credits during the period until 2030 to contribute to cost‐effective implementation of the low emission development pathway and its sustainable development. Albania foresees that for the utilization of international market mechanism is conditional on having effective accounting rules developed under the UNFCCC to ensure the environmental integrity of the mechanisms. </t>
    <phoneticPr fontId="7"/>
  </si>
  <si>
    <t>Energy security:
• Increased access to cleaner and affordable energy
• Reduced greenhouse gas emissions
• Reduced dependency on fossil-fuel intensive technology and transport
• Reduced risk to energy supply chain disruptions</t>
    <phoneticPr fontId="7"/>
  </si>
  <si>
    <t>Adaptation:
• Infrastructure with increased resilience to climate change impacts and
natural disasters
• Increased economic resilience and diversification
• Increased ability to invest in other sustainable development and climate
priorities</t>
    <phoneticPr fontId="7"/>
  </si>
  <si>
    <t xml:space="preserve">• Conditional Reduction based on identified mitigation actions:
To replace a substantial part of electricity generation with the existing diesel operated plants with a large scale grid connected solar photovoltaic (PV) system with an estimated cost of 42 million US$ which would assist in reducing the emissions from fossil fuels. 
• Unconditional Reduction:
The unconditional contribution includes a secured funding of US$5 million for implementation of a 0.6 MW solar PV system which is expected to assist in unconditional reduction of CO2 emissions
marginally. </t>
    <phoneticPr fontId="7"/>
  </si>
  <si>
    <t>Energy security: (conditional)
• Establishing a grid capable of providing stable and affordable power
• Renewable energy comprises half of Nauru’s power generation
• Achieving 30% Energy Savings</t>
    <phoneticPr fontId="7"/>
  </si>
  <si>
    <t>National Renewable Energy Action Plan (NREAP) identified feasible solar, wind and biogas renewable energy options for Bahrain, establishing national renewable energy targets, also adopted by Cabinet, of 5% of peak capacity by 2025 and 10% by 2035.</t>
    <phoneticPr fontId="7"/>
  </si>
  <si>
    <t>• Coastal Resilience to Sea-Level Rise
• clear, comprehensive, and integrated water resources policy and strategy
• Mangrove habitats</t>
    <phoneticPr fontId="7"/>
  </si>
  <si>
    <t>Bahrain supports key technologies such as carbon capture and utilization, direct air capture and others which are necessary for hard-to-abate sectors.</t>
    <phoneticPr fontId="7"/>
  </si>
  <si>
    <t>In implementation of its NDC, Bahrain will consider voluntary cooperation and cooperative approaches that involve the use of internationally transferred mitigation outcomes as per Article 6 of the Paris Agreement. For the Kingdom of Bahrain such cooperation and cooperative approaches will be multi-metric in their nature and include not only GHG but also other related parameters such as renewable energy, energy efficiency etc.</t>
    <phoneticPr fontId="7"/>
  </si>
  <si>
    <t>Will be considered</t>
    <phoneticPr fontId="7"/>
  </si>
  <si>
    <t>[Translated] Unconditional emissions reduction of 18.2% compared to the baseline scenario by 2030, or about 41,700 GgCO2e. Conditional emissions reduction of 71% in 2030, or a cumulative reduction of 162,000 GgCO2e.</t>
    <phoneticPr fontId="7"/>
  </si>
  <si>
    <t>Absolute emission reduction</t>
    <phoneticPr fontId="7"/>
  </si>
  <si>
    <t>[Translated] An unconditional reduction target of 0.5% in 2030 compared to a reference scenario (- 389 kt CO2eq reduction). This target is increased to a total of 19.3% under the scenario (-16,372 kt CO2eq reduction) with international support.</t>
    <phoneticPr fontId="7"/>
  </si>
  <si>
    <t>0.5% (unconditional), 19.3% (conditional)</t>
    <phoneticPr fontId="7"/>
  </si>
  <si>
    <t>[Translated] 
• Agriculture and livestock: Promotion of improved crop varieties
• Environment and Forestry: Promotion and valorisation of non-timber forest products
• Water and sanitation: Construction of modern wells and boreholes
• Renewable energy: Extension of improved cookstoves
• Gender and social protection: Promotion of green entrepreneurship for women and youth
・Risk Management, Infrastructure and Spatial Planning: Raising community awareness on climate risk prevention and management of climate risks
Education and Communication: Promotion des clubs environnementaux dans les
établissements scoloaires et universitaires
・Fisheries Resources and Aquaculture: Amplified fishing practice</t>
    <phoneticPr fontId="7"/>
  </si>
  <si>
    <t>[translated] For the preparation and implementation of mitigation projects, the country intends to seek international assistance from various available sources, including development aid agencies, bilateral and multilateral financial institutions, the financial mechanisms of the UNFCCC as well as the use of market-based mechanisms for sustainable development in Article 6.4, but also non-market-based approaches under Article 6.8 of the Paris Agreement.</t>
    <phoneticPr fontId="7"/>
  </si>
  <si>
    <t>[translated] The implementation of the actions covered by the conditional scenario requires international financial support support of USD 6,285,385,669, i.e. 94% of the investments needed to achieve the national the national objective.
Based on these annual simulations, the financing needs for the period for the period 2021-2030 could amount to over USD 5.002 billion</t>
    <phoneticPr fontId="7"/>
  </si>
  <si>
    <t>The priority sectors are:
・ Finance
・ Protected/Managed Areas
・ Infrastructure and Housing
・ Tourism
・ Food Security
・ Wholesale and Retail</t>
    <phoneticPr fontId="7"/>
  </si>
  <si>
    <t>N/A</t>
    <phoneticPr fontId="7"/>
  </si>
  <si>
    <t>Iran, Yemen</t>
    <phoneticPr fontId="7"/>
  </si>
  <si>
    <t>Policies and actions</t>
    <phoneticPr fontId="7"/>
  </si>
  <si>
    <t>N/A</t>
    <phoneticPr fontId="7"/>
  </si>
  <si>
    <t>Yes</t>
    <phoneticPr fontId="7"/>
  </si>
  <si>
    <t>[Translated]
Energy: Reducing the levels of associated gas flaring and investing it in oil and natural gas extraction processes
Industry: 1. Developing and rehabilitating industrial processes in existing projects by introducing low carbon technologies (Developing and qualifying industrial processes in existing projects) as in the manufacture of cement, bricks, fertilizers and petrochemicals
Agriculture: Controlling the cultivation of crops that produce a large amount of methane, such as rice cultivation, as well as reducing its consumption of a large amount of water, combating soil erosion and rehabilitating its degraded lands
Waste: Issuance of the Solid Waste Management Law, which encourages waste recycling, converting waste into energy, and eliminating waste burning</t>
    <phoneticPr fontId="7"/>
  </si>
  <si>
    <t>[translated] Use of methane emissions from waste</t>
    <phoneticPr fontId="7"/>
  </si>
  <si>
    <t xml:space="preserve">[translated] 
1. Water resources
2. Agriculture
3. Health
4. Natural systems and forests
5. Coastal areas and sea level rise
6. Sewage and waste sector
7. Climate, recurring and slow-onset events and risks resulting from climate change
8. Higher education, scientific research, science and technology
9. Energy
10. Tourism and World Heritage (Natural and Cultural)
</t>
    <phoneticPr fontId="7"/>
  </si>
  <si>
    <t>・Parties not submitted NDCs: Iran, Libya, Yemen
・Eritrea has not ratified the PA but submitted both INDC and NDC</t>
    <phoneticPr fontId="7"/>
  </si>
  <si>
    <t>Relative emission reduction</t>
    <phoneticPr fontId="7"/>
  </si>
  <si>
    <t>Explanatory notes - NDC Mitigation Coverage</t>
    <phoneticPr fontId="7"/>
  </si>
  <si>
    <t>Sectoral scope and covered gas</t>
    <phoneticPr fontId="7"/>
  </si>
  <si>
    <t>Sectoral scope and covered gas are identified based on information in NDCs. When the information is not clearly indicated, sectoral scope and covered gas are identified from relevant information such as information on mitigation actions.</t>
    <phoneticPr fontId="7"/>
  </si>
  <si>
    <t>Pakistan intends to set a cumulative ambitious aim of conditional and voluntary contributions of overall 50% reduction of its projected emissions by 2030, with a 15% drop below business as usual (BAU) from the country’s own resources, and an additional 35% drop below BAU subject to international financial support.</t>
    <phoneticPr fontId="7"/>
  </si>
  <si>
    <t>15% (unconditional), 50% (conditional)</t>
    <phoneticPr fontId="7"/>
  </si>
  <si>
    <t>・By 2030, the project envisages the reduction of flood risk and enhanced water recharge at six sites in the Indus Basin, building resilience of 10 million people, as well as strengthening vulnerable ecosystems. The project is under review by Green Climate Fund (GCF) for funding. In the meantime, Pakistan has allocated PKR 6 billion from national resources to commence the activities in three sites, namely Manchar &amp; Hamal wetland, Taunsa pond area, and Dera Ismail Khan.</t>
    <phoneticPr fontId="7"/>
  </si>
  <si>
    <t>N/A</t>
    <phoneticPr fontId="7"/>
  </si>
  <si>
    <t>Pakistan considers employing the instruments on enhanced ambition provided in Article 6 of the Paris Agreement. This may include the mitigation mechanism under Article 6.4 Paris as well as bilateral cooperative approaches under Article. 6.2 Paris Agreement. Pakistan may also pilot integrated, holistic and balanced non-market approaches under Article 6.8, as outlined in Chapter 9 below.</t>
    <phoneticPr fontId="7"/>
  </si>
  <si>
    <t>availability of renewable technology at reduced costs (including offshore)</t>
    <phoneticPr fontId="7"/>
  </si>
  <si>
    <t>Pakistan intends to set a cumulative ambitious conditional target of overall 50% reduction of its projected emissions by 2030, with 15% from the country’s own resources and 35% subject to provision of international grant finance that would require USD 101 billion just for energy transition.</t>
    <phoneticPr fontId="7"/>
  </si>
  <si>
    <t>Yes</t>
    <phoneticPr fontId="7"/>
  </si>
  <si>
    <t>・Updated information of Albania, Antigua and Barbuda, Bahrain, Bangladesh, Belarus, Belize, Benin, Burkina Faso, Burundi, Cameroon, Chad, Gambia, Guinea-Bissau, Iraq, Japan, Jordan, Kyrgyzstan, Kuwait, Mali, Mauritania, Mauritius, Nauru, Pakistan, Palestine, Qatar, South Africa, South Sudan, Sri Lanka, Swaziland, Tajikistan, Togo, Tunisia, Turkey, Uganda, Zimbabwe</t>
    <phoneticPr fontId="7"/>
  </si>
  <si>
    <t xml:space="preserve">The actions and plans outlined in this submission seek to achieve mitigation co-benefits ambitions of up to 130 million tons of CO2eq avoided by 2030 annually through contributions to economic diversification and adaptation. These ambitions are contingent on the Kingdom’s economy continuing to grow with an increasingly diversified economy and a robust contribution from oil export revenues to the national economy. </t>
    <phoneticPr fontId="7"/>
  </si>
  <si>
    <t xml:space="preserve">The Kingdom aims at reducing and avoiding GHG emissions by 278 million tons of CO2eq annually by 2030, with the year 2019 designated as the base year for this NDC. (...) This NDC is driven by the aim to implement measures that accelerate the economic diversification process (...). Estimates and ambitions will be adjusted depending on the level of development and progress toward economic diversification as well as feedback from different sectors of the economy. </t>
    <phoneticPr fontId="7"/>
  </si>
  <si>
    <t>N/A</t>
    <phoneticPr fontId="7"/>
  </si>
  <si>
    <t>278 million tons of CO2eq emission reduction and avoidance annually</t>
    <phoneticPr fontId="7"/>
  </si>
  <si>
    <t>Adaptation with mitigation co-benefits: Water and waste water management; Urban planning; Marine Protection; Reduced desertification / Tree planting.
Adaptation undertakings: Integrated coastal zone management (ICZM) planning; Early Warning Systems (EWS); Integrated water management planning; Infrastructure and cities designs</t>
    <phoneticPr fontId="7"/>
  </si>
  <si>
    <t>Yes</t>
    <phoneticPr fontId="7"/>
  </si>
  <si>
    <t>Given their abatement potential, deployment of and collaboration on the following technologies is crucial: carbon capture, utilization and storage (CCUS), direct-air capture (DAC), clean hydrogen. 
In climate adaptation, the following technologies are prioritized: (a) water saving, recycling, capture, irrigation and sustainable management for agriculture purposes and (b) early warning system against meteorological extreme events (such as floods, sandstorms and droughts).</t>
    <phoneticPr fontId="7"/>
  </si>
  <si>
    <t>The Kingdom of Saudi Arabia considers voluntary cooperation and approaches referred to in Article 6.2 as well as the mechanism referred to in Article 6.4 of the Paris Agreement as essential for international climate goals. Once operationalized, such cooperation, approaches and mechanisms including internationally transferred mitigation outcomes, will play a role in achieving the Kingdom’s climate change ambitions. They will enhance private sector engagement, advance innovation in business models, unlock investment flows and support cleaner energy technology development. Therefore, the Kingdom reaffirms its support for the completion of rules required for Article 6 operationalization.</t>
    <phoneticPr fontId="7"/>
  </si>
  <si>
    <t>St. Kitts and Nevis' economy-wide target will reduce CO2 emissions by 61% by 2030 relative to 2010, mostly conditional upon adequate international financial and capacity building support through the following interventions:
・Transition to 100% renewable energy in power generation*
・Improve efficiency in transmission and distribution of electricity
・Electrification of 2% of the total vehicle
・Development of EV infrastructure</t>
    <phoneticPr fontId="7"/>
  </si>
  <si>
    <t>・ Natiional Readiness: Integrate adaptation into relevant national legislation
・ Settlements and Infrastructure: Develop and implement national land development policy
・ Public Health: Increase safe water storage measures in households
・ Vulnerable Groups and Community-Based Adaptation: Catalyze development of community-based organizations to improve adaptive capacity of communities
・ Coastal and Marine Ecosystems: Develop and implement seasonal and post-storm beach and nourishments monitoring program
・ Freshwater Resources: Identify and support methods to expand water supply and storage capacities
・ Agriculture: Expand SMART aquaponics and aquaculture systems
・ Tourism: Conduct beach replenishment and install coastal protection measures to prevent beach erosion</t>
    <phoneticPr fontId="7"/>
  </si>
  <si>
    <t>N/A</t>
    <phoneticPr fontId="7"/>
  </si>
  <si>
    <t>The indicative cost for the identified mitigation measures through 2030 is 637 million USD.
The cost of achieving the St. Kitts and Nevis National Climate Change Adaptation Strategy is estimated at 127 million USD.</t>
    <phoneticPr fontId="7"/>
  </si>
  <si>
    <t>St. Kitts and Nevis currently does not use any market mechanism but is willing to explore its potential under the UNFCCC process.</t>
    <phoneticPr fontId="7"/>
  </si>
  <si>
    <t>Absolute emission reduction</t>
    <phoneticPr fontId="7"/>
  </si>
  <si>
    <t>・2030
・2050</t>
    <phoneticPr fontId="7"/>
  </si>
  <si>
    <t>・ To have CO2 emissions peak before 2030 and achieve carbon neutrality before 2060; 
・ To lower CO2 emissions per unit of GDP by over 65% from the 2005 level, 
・ To increase the share of non-fossil fuels in primary energy consumption to around 25%
・ To increase the forest stock volume by 6 billion cubic meters from the 2005 level, and
・ To bring its total installed capacity of wind and solar power to over 1.2 billion kilowatts by 2030.</t>
    <phoneticPr fontId="7"/>
  </si>
  <si>
    <t>・Develop the Adaptation Strategy 2035
・Enhancement of resilience of natural ecosystems to the impacts of climate change
・Enhance adaptability in the economic and social fields
・Build a regional pattern of climate change adaptation</t>
    <phoneticPr fontId="7"/>
  </si>
  <si>
    <t>Making progress in carbon emissions trading market
In July 2021, China officially launched the national carbon emission trading market. The market took the year 2021 as the first compliance cycle, included 2162 key emission units of the power generation sector and covered approximately 4.5 billion tonnes of CO2 emission, being the largest carbon market worldwide.</t>
    <phoneticPr fontId="7"/>
  </si>
  <si>
    <t>The Republic of Uzbekistan has increased its commitments in the updated natio nally determined contribution (NDC) and intends to reduce specific gree nhouse gas emissions per unit of GDP by 35% by 2030 from the level of 2010 instead of 10% specified in the NDC1.</t>
    <phoneticPr fontId="7"/>
  </si>
  <si>
    <t>Carbon intensity reduction</t>
    <phoneticPr fontId="7"/>
  </si>
  <si>
    <t>Yes</t>
    <phoneticPr fontId="7"/>
  </si>
  <si>
    <t>・ Water management: improve the use of water resources and prevent further salinization and land degradation;
・ Agriculture: crop diversification (expansion of perennial tree plantations and perennial grasses);
・ Social sphere: raise awareness and improve access to information on climate change for all population groups;
・ Ecosystem adaptation: reforest mountains foothills and preserve native plant species in semi-deserts and deserts;
・ Strategy: introduce adaptation criteria into public investment projects for construction, modernization, operation and maintenance of infrastructure in various sectors of the economy;
・ infrastructure and production facilities: reconstruct and modernize irrigation and drainage infrastructure in the water sector;</t>
    <phoneticPr fontId="7"/>
  </si>
  <si>
    <t>Argentina’s updated goal is to not exceed the net emission of 349 million tons of carbon dioxide equivalent (MtCO2e) in 2030.</t>
    <phoneticPr fontId="7"/>
  </si>
  <si>
    <t>net emission of 349 MtCO2e (unconditional)</t>
    <phoneticPr fontId="7"/>
  </si>
  <si>
    <t>Emissions will be reduced by 50 per cent below gross 2005 levels by 2030, which corresponds to a 41 per cent reduction when managed using a multi-year emissions budget.</t>
    <phoneticPr fontId="7"/>
  </si>
  <si>
    <t>In meeting its 2021-2030 NDC, New Zealand intends to use cooperative approaches, including international market mechanisms. New Zealand is committed to ensuring all cooperative approaches it engages in have environmental integrity through robust accounting including transparency in accounting and governance, and safeguards against double counting.</t>
    <phoneticPr fontId="7"/>
  </si>
  <si>
    <t>Ghana aims to implement 34 mitigation measures to achieve absolute emission reductions of 64 MtCO2e by 2030. Out of the 34, nine unconditional measures are expected to lead to a 24.6 MtCO2e emission reduction amount. An additional 25 conditional measures can be implemented to further achieve 39.4 MtCO2e if financial support from the international and private sector is made available to cover the full cost for implementation.</t>
    <phoneticPr fontId="7"/>
  </si>
  <si>
    <t>24.6 MtCO2e (unconditional), 64 MtCO2e (conditional)</t>
    <phoneticPr fontId="7"/>
  </si>
  <si>
    <t>・Manage climate-induced and gender-related health risks.
・City-wide resilient infrastructure planning.
・Integrated water resources management.
・Enhance climate services for efficient weather information management.
・Early warning and disaster risk management.
・Build resilience and promote livelihood opportunities for the youth and women in climate-vulnerable Agriculture landscapes and food systems.
・Enhance climate resilience of women and the vulnerable.</t>
    <phoneticPr fontId="7"/>
  </si>
  <si>
    <t>Ghana requires between US$ 9.3 and US$ 15.5 billion of investment to implement the 47 nationally determined contribution measures from 2020 to 2030. US$ 3.9 billion would be required to implement the 16 unconditional programmes of action till 2030. The remaining US$ 5.4 billion for the 31 conditional programmes of action would be mobilised from the public, international, and private sector sources and carbon markets. Ghana will need an additional US$ 3 million biennially to support coordination actions and the regular international reporting of the nationally determined contribution.</t>
    <phoneticPr fontId="7"/>
  </si>
  <si>
    <t>Ghana intends to use voluntary cooperation under Article 6.2 of the Paris Agreement to achieve up to 55% (which is about 24 million tonnes of emission reductions) of its conditional absolute emission reductions. Accounting and reporting for emissions reductions emanating from the voluntary cooperation under Article 6 of the Paris Agreement would be consistent with the guidance adopted by CMA1 and any further guidance agreed by the CMA.</t>
    <phoneticPr fontId="7"/>
  </si>
  <si>
    <t>BAU</t>
    <phoneticPr fontId="7"/>
  </si>
  <si>
    <t>[Translated] 
・ an increase of the net sink by 47%; and
・ a 23% reduction in its greenhouse gas emissions in 2030, excluding LULUCF, compared to emissions in the baseline scenario</t>
    <phoneticPr fontId="7"/>
  </si>
  <si>
    <t>[Translated]
・Agriculture and livestock: Developing a climate-smart and resilient agricultural policy
・Biodiversity and forests: Extension of the area with protected area status
･Fisheries and coastal and marine ecosystems: Monitoring and restoration of marine and coastal ecosystems
・Water resources: Access of the population to an improved water source
・Health: Development of a sustainable strategy to fight malaria and new emerging diseases such as COVID-19
・Infrastructures économiques et sociales: Développement et mis en oeuvre de plans d’aménagement/développement des infrastructures économiques et sociales intégrant le changement climatique
・DRR: Identification and mapping of areas vulnerable to natural disasters.
・Intégration et sensibilisation: Raising awareness of the impacts of CC</t>
    <phoneticPr fontId="7"/>
  </si>
  <si>
    <t>[Translated] The Union of Comoros will need a global envelope of more than EUR 1,301 million to successfully implement its NDC, i.e. an average annual amount of EUR 130 million, of which at least EUR 902 million for mitigation measures and EUR 399 million for adaptation measures.</t>
    <phoneticPr fontId="7"/>
  </si>
  <si>
    <t>[Translated] The Bolivarian Republic of Venezuela ratifies its commitment to reduce its GHG emissions by 20% by 2030 compared to the baseline scenario. To this end, the country envisages activities in various sectors between adaptation and mitigation actions, with adaptation being the national priority. The extent to which this target is achieved will depend on the fulfilment of developed countries' commitments in terms of the provision of finance, technology transfer and capacity building in accordance with the provisions of Article 4.7 of the Convention.</t>
    <phoneticPr fontId="7"/>
  </si>
  <si>
    <t>[Translated] From the perspective of shared but differentiated responsibilities, Venezuela has been developing State policies in actions related to adaptation to climate change and to the commitments assumed in the framework of the UNFCCC.</t>
    <phoneticPr fontId="7"/>
  </si>
  <si>
    <t>No</t>
    <phoneticPr fontId="7"/>
  </si>
  <si>
    <t>N/A</t>
    <phoneticPr fontId="7"/>
  </si>
  <si>
    <t>Yes</t>
    <phoneticPr fontId="7"/>
  </si>
  <si>
    <t>No</t>
    <phoneticPr fontId="7"/>
  </si>
  <si>
    <t>• Unconditional reduction of 2.5% (BAU 2020) and of 3.5% (2030). 
• Conditional Reduction of 25% (BAU 2020) and 34.6% (2030, or a reduction of 33,400 GgCO2Eq).</t>
    <phoneticPr fontId="7"/>
  </si>
  <si>
    <t>2025, 2030</t>
    <phoneticPr fontId="7"/>
  </si>
  <si>
    <t>Energy sector: 11.2%, 10.6% (unconditional), 48%, 45% (conditional)</t>
    <phoneticPr fontId="7"/>
  </si>
  <si>
    <t>[translated] Total cost of the NDC over 10 years: USD 9.9077 billion (USD 990.77 million/year), of which - Adaptation: USD 6.743 billion of which USD 2.40 billion unconditional (36%) and USD 4.343 billion conditional (64%) - Mitigation: USD 3.1651 billion of which USD 0.2127 billion unconditional (6.72%) and USD 2.9524 billion conditional (93.28%)</t>
    <phoneticPr fontId="7"/>
  </si>
  <si>
    <t>[translated]
Afolu: Unconditional reductions: 4.50% (BAU 2025) and 12.57% (BAU 2030). - Conditional reductions: 14.60% (BAU-2025) and 22.75% (BAU 2030) 
Energy: Unconditional reductions: 11.20% (BAU-2025) and 10.60% (BAU-2030) - Conditional reductions: 48% (BAU-2025) and 45% (BAU-2030).</t>
    <phoneticPr fontId="7"/>
  </si>
  <si>
    <t>[translated]
The vulnerability assessment of the AFOLU and Energy sectors identified the following adaptation options: 
i) Promotion of Climate Smart Agriculture
ii) Valorisation of meteorological data by producers
iii) Development of sustainable land and water management
iv) Strengthening of participatory and digitised management of forest areas
v) Elaboration and implementation of a ten-year reforestation plan
vi) Development of urban and peri-urban forestry
vii) Subsidies for fossil and solar energy kits
viii) Development of Public Private Partnerships (PPP) for the development of new and renewable energies.</t>
    <phoneticPr fontId="7"/>
  </si>
  <si>
    <t>[translated] Priority needs for technology transfer are identified in the framework of the Technology Needs Assessment (TNA) project and a portfolio of projects and programmes has been identified to address the adverse effects of CC through the transfer of and access to clean technologies. Technology transfer is relevant to both adaptation and mitigation.</t>
    <phoneticPr fontId="7"/>
  </si>
  <si>
    <t>N/A</t>
    <phoneticPr fontId="7"/>
  </si>
  <si>
    <t>Switzerland will realize its NDC mainly domestically and will partly use internationally transferred mitigation outcomes (ITMOs) from cooperation under Article 6. Switzerland will implement the guidance on cooperative approaches referred to in Article 6, paragraph 2 of the Paris Agreement, adopted at COP26, and the San José principles for high ambition and integrity in international carbon markets7, to apply robust rules that avoid any form of double counting, ensure environmental integrity and promote sustainable development, including the protection of human rights, and not to use pre-2020 units towards the achievement of its NDC.
As of December 2021, Switzerland signed bilateral agreements with Peru, Ghana, Senegal, Georgia, Vanuatu, and Dominica, creating the necessary frameworks for cooperative approaches under Article 6.2 of the Paris Agreement. The agreements govern the transfers of mitigation outcomes and their use and define the method for corresponding adjustment. The ITMOs may be used for other mitigation purposes, such as e.g. voluntary climate neutrality targets by private or sub-state actors, which would not be counted towards Switzerland’s emissions reductions objectives. Furthermore, the agreements ensure environmental integrity, prevents double counting, and foresees concrete requirements regarding the promotion of sustainable development, including the protection of human rights.</t>
    <phoneticPr fontId="7"/>
  </si>
  <si>
    <t>・at least 50% by 2030
・Average of 35% between 2021-2030</t>
    <phoneticPr fontId="7"/>
  </si>
  <si>
    <t>Switzerland is committed to follow recommendations of science in order to limit warming to 1.5 degrees Celsius. In view of its climate neutrality target by 2050, Switzerland’s NDC is to reduce its greenhouse gas emissions by at least 50 percent by 2030 compared with 1990 levels, corresponding to an average reduction of greenhouse gas emissions by at least 35 percent over the period 2021–2030. By 2025, a reduction of greenhouse gases by at least 35 percent compared with 1990 levels is anticipated. Internationally transferred mitigation outcomes (ITMOs) from cooperation under Article 6 of the Paris Agreement will partly be used. The methodological approaches underlying the Swiss NDC are included in this communication.</t>
    <phoneticPr fontId="7"/>
  </si>
  <si>
    <t xml:space="preserve">The Republic of Korea’s updated NDC target is to reduce 40% from the total national GHG emissions in 2018, which is 727.6 MtCO2eq, by 2030. The Republic of Korea plans to use voluntary cooperation under Article 6 of the Paris Agreement as a complementary measure to its domestic mitigation efforts including LULUCF to achieve its target. </t>
    <phoneticPr fontId="7"/>
  </si>
  <si>
    <t>1. establish and implement measures to manage 84 climate risks in 6 sectors including water management, ecosystems, national land and coastal areas, agriculture and fisheries, health and industry and energy
2. build infrastructure for science-based forecasting and assessment, and improve climate vulnerability and risk assessment tools.
3. put in place a right governance, cooperation mechanism and foundation for awareness-raising</t>
    <phoneticPr fontId="7"/>
  </si>
  <si>
    <t>Yes</t>
    <phoneticPr fontId="7"/>
  </si>
  <si>
    <t>Mozambique</t>
    <phoneticPr fontId="7"/>
  </si>
  <si>
    <t xml:space="preserve">The emission reduction target presented by Mozambique is divided into cumulative annual efforts between the years 2020 and 2025, whereby the country commits to reduce its emissions by about 40 MtCO2eq between 2020 and 2025. The country expects to reduce these emissions in comparison to the BAU of the specific actions and, should Mozambique benefit from international climate finance, the total investment required to generate these reductions and the other actions foreseen in this updated NDC 1 is estimated to be around USD 7.586 billion (from 2020 to 2025). </t>
    <phoneticPr fontId="7"/>
  </si>
  <si>
    <t>Absolute emission reduction</t>
    <phoneticPr fontId="7"/>
  </si>
  <si>
    <t>BAU</t>
    <phoneticPr fontId="7"/>
  </si>
  <si>
    <t>Reduction of 40 Mt CO2eq between 2020 and 2025</t>
    <phoneticPr fontId="7"/>
  </si>
  <si>
    <t>Yes</t>
    <phoneticPr fontId="7"/>
  </si>
  <si>
    <t>• Strengthening of the early warning system 
• Strengthening Climate Risk Preparedness and Response Capacity
• Increasing the resilience of agriculture and livestock
• Increasing the resilience of fisheries
• Development of low carbon agricultural practices
• Increasing water resources management capacity
・Increased access and capacity for water collection, storage, treatment and distribution
・Promoting more resilient rural sanitation solutions for floods
・Conservation of rainwater in excavated and underground reservoirs mainly
in the South</t>
    <phoneticPr fontId="7"/>
  </si>
  <si>
    <t>the total investment required to generate these eductions and the other actions foreseen in this updated NDC 1 is estimated to be around USD 7.586 billion (from 2020 to 2025).</t>
    <phoneticPr fontId="7"/>
  </si>
  <si>
    <t>Mozambique recognises the experience gained from implementing the Clean Development Mechanism and wishes to be supported by market mechanisms with high environmental integrity that contribute to sustainable development and establish strong incentives to harness the strength of the private sector.
In the medium and long term it intends to plan and use the carbon market or new market mechanisms.
Mozambique supports the use of market mechanisms including pre-2020 mitigation outcomes such as:
• Certified Emission Reductions (CERs) generated by CDM projects and programmes;
• Carbon market efforts, so as to make actions economically viable within the specific contexts of least developed countries, developing countries;
• The further development of accounting rules within the United Nations Framework Convention on Climate Change (UNFCCC) to ensure the environmental integrity of market mechanisms
and avoid double counting.</t>
    <phoneticPr fontId="7"/>
  </si>
  <si>
    <t>[Translated] the DRC commits to a combined unconditional and conditional contribution of 21% reduction of total GHG emissions compared to BAU in 2030 (19% conditional and 2% unconditional) equivalent to an estimated mitigation level up to 650 Mt CO2e by 2030.</t>
    <phoneticPr fontId="7"/>
  </si>
  <si>
    <t>2% (unconditional), 21% (conditional)</t>
    <phoneticPr fontId="7"/>
  </si>
  <si>
    <t>[Translated] The DRC commits to reduce its emissions by 17% by 2030 compared to business-as-usual  emissions (430 Mt CO2e), or a reduction of slightly more than 70 Mt CO2e avoided (Ministry of the Environment, 2009)</t>
    <phoneticPr fontId="7"/>
  </si>
  <si>
    <t>[Translated]
・ electrification of urban and rural areas
・ the catchment and drilling of water wells;
・ development of water reservoirs;
・ the fight against erosion and flooding;
・ the rational management of forestry resources
・ protection of coastal areas;
・ construction and rehabilitation of communication routes (roads, railroads and waterways)
・ Sedentarization in rural areas;
・ strengthening the capacity of agricultural production; and
・ capacity building of national meteorological services.</t>
    <phoneticPr fontId="7"/>
  </si>
  <si>
    <t>[Translated] The total estimated cost is approximately twenty-five point six (25.6) billion USD for the 30 identified NDC mitigation actions, and over twenty-three point zero eight (23.08) billion USD for the 52 adaptation priorities, representing a funding requirement of approximately forty-eight point sixty-eight (48.68) billion USD.</t>
    <phoneticPr fontId="7"/>
  </si>
  <si>
    <t>[Translated] 
・ Access and removal of barriers to the dissemination of appropriate clean technologies;
・ Building climate information systems;
・ Promotion of renewable energy and energy efficiency, including private sector involvement;
・ Establishment of public-private partnerships.</t>
    <phoneticPr fontId="7"/>
  </si>
  <si>
    <t>[Translated]
The DRC reiterates the importance of finalizing the negotiations on Article 6 of the Paris Agreement so that the country can sell carbon credits through the international carbon market and thus finance its NDC measures. Also, in order for the country to benefit from adequate compensation for its efforts to reduce and avoid carbon emissions from deforestation and forest degradation, which will serve the entire world, it is essential that a fair and robust carbon price be established at the global level. To this end, in its contracts for the sale of emission reductions on carbon markets, the DRC reserves the right to negotiate an appropriate price.</t>
    <phoneticPr fontId="7"/>
  </si>
  <si>
    <t>2025 and 2030</t>
    <phoneticPr fontId="7"/>
  </si>
  <si>
    <t>39% in 2025 and 61% in 2030 (conditional)</t>
    <phoneticPr fontId="7"/>
  </si>
  <si>
    <t>[Translated] The emission reduction targets of 61% in 2030 and 39% in 2025, compared to a BAU scenario as of 2019, are conditional on BAU scenario from 2019 are conditional on the installation of a 100 MW plant using CCS technology in the period up to those years.</t>
    <phoneticPr fontId="7"/>
  </si>
  <si>
    <t>・Between 2020 and 2024, the production chains of vegetables, fruits, livestock, beekeeping and aquaculture will be improved, including basic frog farming
・By 2025, training in the implementation of this manual will be provided to sugarcane producers who manage 60% of the cultivated areas in that year.</t>
    <phoneticPr fontId="7"/>
  </si>
  <si>
    <t xml:space="preserve">[Translated]  through technical assistance, it is possible to strengthen the capacity for watershed restoration from a resilience perspective. </t>
    <phoneticPr fontId="7"/>
  </si>
  <si>
    <t>[Translated] technical assistance is required for the development of capacities that will enable access to carbon markets at the international level and the generation of a carbon market at the national level.</t>
    <phoneticPr fontId="7"/>
  </si>
  <si>
    <t>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t>
    <phoneticPr fontId="7"/>
  </si>
  <si>
    <t>[Translated] 
CAR's vision for mitigation is to promote low-carbon development by reducing emissions by 10% to 25% (unconditional and conditional scenario) compared to the trend scenario by 2030. It is broken down into several objectives: (i) the development of renewable energy resources and energy saving; (ii) the promotion of agroecology; (iv) the sustainable exploitation of natural resources; and (v) the improvement of the living environment.</t>
    <phoneticPr fontId="7"/>
  </si>
  <si>
    <t>10% (unconditional), 25% (conditional)</t>
    <phoneticPr fontId="7"/>
  </si>
  <si>
    <t>BAU</t>
    <phoneticPr fontId="7"/>
  </si>
  <si>
    <t>Yes</t>
    <phoneticPr fontId="7"/>
  </si>
  <si>
    <t>[translated]
・Guaranteeing the security of agro-sylvo-pastoral systems and water resources, by capturing the opportunities associated with the climatic variations projected
・Adapting the territory and the energy systems to current and future climate changes
・Informing and preparing infrastructures and habitats, health systems, for climate risks, by improveing and generating evidence in these areas</t>
    <phoneticPr fontId="7"/>
  </si>
  <si>
    <t>[translated]
NDC funding needs over the decade 2021-2030 are estimated at $1.764 billion, of which $1,321 billion is for mitigation and $443.872 million for adaptation. CAR's contribution from its domestic resources is $280.44 million (or 16%). The expected contribution of expected from international partners is $1.483 billion (84%).</t>
    <phoneticPr fontId="7"/>
  </si>
  <si>
    <t xml:space="preserve">
[translated]
• Mitigation: Cogeneration technology (Biogas, Wood and wood products), Bio methanization technology, Solar PV, hydro power, energy efficiency, Metal engineering (Improved fireplace,
Solar cooker)
・Adaptation: Non-Timber Forest Products (NTFPs) :
processing technology and conservation of wild pepper, Meteorological instrumentation devices, 
Simplified no-till technology or Simplified cultivation techniques (TCS), Drought-resistant crops, Materials and tools for monitoring bushfire alerts by remote sensing
</t>
    <phoneticPr fontId="7"/>
  </si>
  <si>
    <t>N/A</t>
    <phoneticPr fontId="7"/>
  </si>
  <si>
    <t>Relative emission reduction</t>
    <phoneticPr fontId="7"/>
  </si>
  <si>
    <t>Relative emission reduction</t>
    <phoneticPr fontId="7"/>
  </si>
  <si>
    <t>Yes</t>
    <phoneticPr fontId="7"/>
  </si>
  <si>
    <t>2020-2030</t>
    <phoneticPr fontId="7"/>
  </si>
  <si>
    <t>The Argentine Republic is committed to an absolute, economy wide and unconditional goal of not exceeding the net emission of 359 million tons of carbon dioxide equivalent (MtCO2e) in 2030.</t>
    <phoneticPr fontId="7"/>
  </si>
  <si>
    <t>net emission of 349 MtCO2e (unconditional)</t>
    <phoneticPr fontId="7"/>
  </si>
  <si>
    <t>N/A</t>
    <phoneticPr fontId="7"/>
  </si>
  <si>
    <t>Brazil confirms the commitment originally presented in its intended Nationally Determined Contribution (iNDC), to reduce its greenhouse
gas emissions in 2025 by 37%, compared with 2005. Additionally, Brazil commits to reduce its emissions in 2030 by 43%, compared with 2005.</t>
    <phoneticPr fontId="7"/>
  </si>
  <si>
    <t>37% by 2025, 43% by 2030</t>
    <phoneticPr fontId="7"/>
  </si>
  <si>
    <t>2025, 2030</t>
    <phoneticPr fontId="7"/>
  </si>
  <si>
    <t xml:space="preserve">Myanmar </t>
    <phoneticPr fontId="7"/>
  </si>
  <si>
    <t>Absolute emission reduction</t>
    <phoneticPr fontId="7"/>
  </si>
  <si>
    <t>emission reduction/avoidance of 245 MtCO2 (unconditional), 415 MtCO2 (conditional</t>
    <phoneticPr fontId="7"/>
  </si>
  <si>
    <t>Yes</t>
    <phoneticPr fontId="7"/>
  </si>
  <si>
    <t>Myanmar‟s unconditional targets for Total Emissions Avoided/Reduced over the period 2021-2030 will amount to 244,525,968 tCO2e. If Myanmar receives sufficient and timely technical and financial support from the international community, the government aims to be able to achieve a conditional target for Total Emissions Avoided/Reduced over the period 2021- 2030 of  14,760,604 tCO2e.</t>
    <phoneticPr fontId="7"/>
  </si>
  <si>
    <t>a) Climate-smart agriculture, fisheries, and livestock for food security
b) Sustainable management of natural resources for healthy ecosystems
c) Resilient, inclusive, and sustainable cities and towns where people can live and thrive
d) Climate risk Management for people‟s health and well being
e) Education, science, and technology for a resilient society.</t>
    <phoneticPr fontId="7"/>
  </si>
  <si>
    <t>Sectoral</t>
    <phoneticPr fontId="7"/>
  </si>
  <si>
    <t>For mitigation actions the Government plans to rely on a mix of grants, support from revolving funds, and project financing through concessional loans, etc. The country applied for a soft-loan of US$400 million for power sector development (US$310 upgrading  ransmission systems, US$90 million rural electrification), and MOEE has developed a financing needs outline for the further promotion of renewable energy of $874m. The country is also in the process of signing a $100m loan to support implementation of the Myanmar  ehabilitation and Reforestation Plan, although the  esources will be insufficient to finance its complete implementation nation-wide.</t>
    <phoneticPr fontId="7"/>
  </si>
  <si>
    <t>Key mitigation technologies will be required in industry, power production, waste management, transport, energy efficiency, biomass, clean cooking and the building sector.
The TNA has identified different technologies pertaining to water resources management for agriculture, waste management and  enewables Access to these technologies and its deployment will also be help in both adaptation and mitigation actions.</t>
    <phoneticPr fontId="7"/>
  </si>
  <si>
    <t>Myanmar is currently exploring Article 6 carbon trading through fuel efficient cookstove distribution programs of 10,249,200 tCO2e.
Myanmar is currently exploring potential Article 6 mechanisms. However, any future adoption will be directed by outcomes from ongoing PA and COP  egotiations. These mechanisms will be explored to identify means and methods of supporting NDC implementation. Myanmar needs technical assistance in identifying specific climate actions that can be used to mobilize international climate finance for meeting own NDC targets and those that can be put up on the markets.</t>
    <phoneticPr fontId="7"/>
  </si>
  <si>
    <t>[Translated] 
• Energy: By 2030, 79% of the energy consumed will come from renewable energy plants (50% of installed capacity).
・ Forestry: By 2030, reduce deforestation to 80% compared to the baseline (2020).</t>
    <phoneticPr fontId="7"/>
  </si>
  <si>
    <t>• By 2030, 100% drinking water coverage has been achieved with resilient service delivery systems.
・By 2030, 100% basic sanitation has been achieved.
・By 2030, at least 725,000 additional hectares of degraded soils will be recovered and increased for food production.</t>
    <phoneticPr fontId="7"/>
  </si>
  <si>
    <t>Yes</t>
    <phoneticPr fontId="7"/>
  </si>
  <si>
    <t>N/A</t>
    <phoneticPr fontId="7"/>
  </si>
  <si>
    <t>No</t>
    <phoneticPr fontId="7"/>
  </si>
  <si>
    <t xml:space="preserve">37% by 2025, 50% by 2030 </t>
    <phoneticPr fontId="7"/>
  </si>
  <si>
    <t>Brazil confirms its commitment to reduce its greenhouse gas emissions in 2025 by 37%, compared with 2005. Additionally, Brazil commits to reduce its emissions in 2030 by 50%, compared with 2005. Brazil´s commitments also include a long-term objective to achieve climate neutrality by 2050. Brazil’s updated NDC is broad in scope and includes a consideration of means of implementation and the implementation of mitigation and adaptation actions in all economic sectors.</t>
    <phoneticPr fontId="7"/>
  </si>
  <si>
    <t>Brazil will strive to achieve its NDC through domestic measures to be coordinated and implemented by the federal government. The Brazilian government does not rule out the use of internationally transferred mitigation outcomes (ITMOs), as defined in Article 6 of the Paris Agreement, to  omplement national efforts in the achievement of the Brazilian NDC. Brazil can also consider the possibility of transferring international mitigation outcomes generated within the national territory. Any international transfers of mitigation outcomes obtained within the Brazilian territory will be subject to prior and  ormal consent by the federal government, in accordance with the terms and  onditions, including legislation, to be nationally developed to that end.</t>
    <phoneticPr fontId="7"/>
  </si>
  <si>
    <t>BAU</t>
    <phoneticPr fontId="7"/>
  </si>
  <si>
    <t xml:space="preserve">[Translated] 
Agriculture, livestock and food security: By 2025, soil conservation measures have been implemented on an additional 19 500 hectares over and above the 2020 baseline.
Marine-coastal zones: At least 1500 hectares of mangrove ecosystems are restored and reforested by 2025, with the full participation of local communities, indigenous and Garifuna peoples, women's groups and youth.
Forest resources, ecosystems and protected areas: By 2025, 32 % of the national territory (3 479 124 ha) is covered by forests and at least 30 % of the forests under management are managed by indigenous and non-indigenous women.
Integrated water resources management: By 2025, at least 35% of the country's basins, sub-basins and micro-basins have implemented programmes, plans, strategies and technical manuals for the integrated management of water resources at the territorial level, respecting their governance, with a gender approach and cultural relevance.
</t>
    <phoneticPr fontId="7"/>
  </si>
  <si>
    <t>Yes</t>
    <phoneticPr fontId="7"/>
  </si>
  <si>
    <t>N/A</t>
    <phoneticPr fontId="7"/>
  </si>
  <si>
    <t>Relative emission reduction</t>
    <phoneticPr fontId="7"/>
  </si>
  <si>
    <t>[Translated] Reduction of 28% in GHG emissions compared to emissions in the target year (2030) in a baseline scenario (BAU or Business As Usual).</t>
    <phoneticPr fontId="7"/>
  </si>
  <si>
    <t>BAU</t>
    <phoneticPr fontId="7"/>
  </si>
  <si>
    <t>Relative emission reduction</t>
    <phoneticPr fontId="7"/>
  </si>
  <si>
    <t>30.41% (unconditional), 98.95% (conditional)</t>
    <phoneticPr fontId="7"/>
  </si>
  <si>
    <t>[Translated] The objective is an economy-wide percentage reduction of total national GHG emissions in 2030 compared to a baseline scenario. The target is a 98.95% reduction of GHG emissions in 2030 compared to a baseline scenario. The unconditional target is a 30.41% reduction of total national GHG emissions in 2030 compared to a baseline scenario. The conditional target is a 68.54% reduction of total national GHG emissions in 2030 compared to a baseline scenario.</t>
    <phoneticPr fontId="7"/>
  </si>
  <si>
    <t>Yes</t>
    <phoneticPr fontId="7"/>
  </si>
  <si>
    <t>[Translated] The mitigation component includes thirty-eight (38) measures, twenty-seven (27) of which are unconditional and eleven (11) conditional, whose implementation is estimated at approximately ten (10) billion dollars.
The adaptation component aims to achieve reduction of the high vulnerability and increase the resilience of the increase the resilience of the identified sectors water resources, agriculture, livestock and aquaculture, forestry forestry, land use, health and coastal zones. health and coastal areas. The implementation of of adaptation measures is estimated at approximately twelve (12) billion US dollars</t>
    <phoneticPr fontId="7"/>
  </si>
  <si>
    <t>[Translated] Management of water resources</t>
    <phoneticPr fontId="7"/>
  </si>
  <si>
    <t>[Translated] Cote d'Ivoire intends to use the Carbon Market and Non-Market Mechanisms under Article 6 of the Paris Agreement to implement its NDCs and to participate, if necessary, in international mitigation outcome transactions (ITMOs) as part of a voluntary cooperation.</t>
    <phoneticPr fontId="7"/>
  </si>
  <si>
    <t>N/A</t>
    <phoneticPr fontId="7"/>
  </si>
  <si>
    <t>The objective of the adaptation component by 2030 is to reduce vulnerability and increase resilience in the five (5) sectors identified as priorities namely :
(i) Agriculture, livestock, aquaculture;
(ii) Forestry and land use;
(iii) Water resources;
(iv) Health;
(v) Coastal zones.</t>
    <phoneticPr fontId="7"/>
  </si>
  <si>
    <t>[Transslated]
Unconditional: By 2030, 11.2% of GHG emissions have been reduced compared to the baseline scenario, which is a reduction of 64.9 million tonnes of CO2-eq.
Conditional: By 2030, 22.6 % of GHG emissions have been reduced compared to the baseline scenario, which is a reduction of 56.6 million tonnes of CO2-eq.</t>
    <phoneticPr fontId="7"/>
  </si>
  <si>
    <t>[Translated] 
Unconditional: Reduce 5% of GHG emissions compared to reference scenario.
Conditional: Reduce 26% of GHG emissions compared to reference scenario.</t>
    <phoneticPr fontId="7"/>
  </si>
  <si>
    <t>6% (unconditional), 32% (conditional)</t>
    <phoneticPr fontId="7"/>
  </si>
  <si>
    <t>[Translated] With the implementation of mitigation measures, emissions will decrease from 18,970 ktCO2e in the baseline scenario to 17774 ktCO2e in the unconditional scenario and 12,938 ktCO2e in the conditional scenario. This represents a net reduction in emissions of 32% by 2030 compared to the baseline scenario, of which 6% is unconditional.</t>
    <phoneticPr fontId="7"/>
  </si>
  <si>
    <t>[Translated] Adaptation priorities Strengthening the adaptive capacity and resilience of the population through: watershed management and soil conservation; coastal zone management; development and conservation of natural resources; preservation and strengthening of food security; protection and conservation of water; construction and rehabilitation of infrastructure, rational waste management and implementation of information-education and awareness programmes.</t>
    <phoneticPr fontId="7"/>
  </si>
  <si>
    <t>Yes</t>
    <phoneticPr fontId="7"/>
  </si>
  <si>
    <t>[Translated] the total cost of which over the period 2021-2030 is estimated at USD 22.036 billion, including USD13 billion for adaptation initiatives, USD 4.98 billion for loss and damage and USD 4.056 billion for mitigation.</t>
    <phoneticPr fontId="7"/>
  </si>
  <si>
    <t>[Translated] Agroforestry, fruit orchards, solar photovoltaic power plants, solar water pumps, impluvium, gabionage, progressive terrace, elevated building, water meters</t>
    <phoneticPr fontId="7"/>
  </si>
  <si>
    <t>[Translated] The Republic of Haiti intends to use the financial mechanisms and voluntary cooperation as defined in Article 6 of the Paris Agreement</t>
    <phoneticPr fontId="7"/>
  </si>
  <si>
    <t>・43% by 2030
・Net-zero by 2050</t>
    <phoneticPr fontId="7"/>
  </si>
  <si>
    <t>・Multi-year budjet target: Australia’s 2030 target is a 43% reduction
below 2005 levels by 2030, implemented as an emissions budget (reference indicator) covering the period 2021-2030. The indicative value of the emissions budget is 4381 million tonnes CO2-e, corresponding to the 43% target.
・Single year target: Australia’s 2030 target is a 43% reduction below 2005 levels (reference indicator) by 2030, implemented as a single-year
point target.
・Net zero emissions by 2050</t>
    <phoneticPr fontId="7"/>
  </si>
  <si>
    <t>Should Australia decide to use cooperative approaches under Article 6 of the Paris Agreement towards achievement of its NDC or to authorize the use of internationally transferred mitigation outcomes towards the NDCs of other Parties, it would report on such use or authorization through its Biennial Transparency Reports and consistent with guidance adopted under Article 6.</t>
    <phoneticPr fontId="7"/>
  </si>
  <si>
    <t>Yes</t>
    <phoneticPr fontId="7"/>
  </si>
  <si>
    <t>Absolute emission reduction</t>
    <phoneticPr fontId="7"/>
  </si>
  <si>
    <t>39% by 2025
45% by 2030</t>
    <phoneticPr fontId="7"/>
  </si>
  <si>
    <t>2025 and 2030</t>
    <phoneticPr fontId="7"/>
  </si>
  <si>
    <r>
      <t xml:space="preserve">Overall Emissions Reduction Targets
</t>
    </r>
    <r>
      <rPr>
        <sz val="10"/>
        <color theme="1"/>
        <rFont val="Wingdings"/>
        <family val="2"/>
        <charset val="2"/>
      </rPr>
      <t></t>
    </r>
    <r>
      <rPr>
        <sz val="10"/>
        <color theme="1"/>
        <rFont val="ＭＳ Ｐゴシック"/>
        <family val="2"/>
        <scheme val="minor"/>
      </rPr>
      <t xml:space="preserve"> 39% by 2025
</t>
    </r>
    <r>
      <rPr>
        <sz val="10"/>
        <color theme="1"/>
        <rFont val="Wingdings"/>
        <family val="2"/>
        <charset val="2"/>
      </rPr>
      <t></t>
    </r>
    <r>
      <rPr>
        <sz val="10"/>
        <color theme="1"/>
        <rFont val="ＭＳ Ｐゴシック"/>
        <family val="2"/>
        <scheme val="minor"/>
      </rPr>
      <t xml:space="preserve"> 45% by 2030;
Sectoral Emissions Reduction Targets
</t>
    </r>
    <r>
      <rPr>
        <sz val="10"/>
        <color theme="1"/>
        <rFont val="Wingdings"/>
        <family val="2"/>
        <charset val="2"/>
      </rPr>
      <t></t>
    </r>
    <r>
      <rPr>
        <sz val="10"/>
        <color theme="1"/>
        <rFont val="ＭＳ Ｐゴシック"/>
        <family val="2"/>
        <scheme val="minor"/>
      </rPr>
      <t xml:space="preserve"> Energy Industries: 98.6%
</t>
    </r>
    <r>
      <rPr>
        <sz val="10"/>
        <color theme="1"/>
        <rFont val="Wingdings"/>
        <family val="2"/>
        <charset val="2"/>
      </rPr>
      <t></t>
    </r>
    <r>
      <rPr>
        <sz val="10"/>
        <color theme="1"/>
        <rFont val="ＭＳ Ｐゴシック"/>
        <family val="2"/>
        <scheme val="minor"/>
      </rPr>
      <t xml:space="preserve"> Agriculture: 50%
</t>
    </r>
    <r>
      <rPr>
        <sz val="10"/>
        <color theme="1"/>
        <rFont val="Wingdings"/>
        <family val="2"/>
        <charset val="2"/>
      </rPr>
      <t></t>
    </r>
    <r>
      <rPr>
        <sz val="10"/>
        <color theme="1"/>
        <rFont val="ＭＳ Ｐゴシック"/>
        <family val="2"/>
        <scheme val="minor"/>
      </rPr>
      <t xml:space="preserve"> Solid Waste: 78.6%
</t>
    </r>
    <r>
      <rPr>
        <sz val="10"/>
        <color theme="1"/>
        <rFont val="Wingdings"/>
        <family val="2"/>
        <charset val="2"/>
      </rPr>
      <t></t>
    </r>
    <r>
      <rPr>
        <sz val="10"/>
        <color theme="1"/>
        <rFont val="ＭＳ Ｐゴシック"/>
        <family val="2"/>
        <scheme val="minor"/>
      </rPr>
      <t xml:space="preserve"> Industrial Processes: 8.8%
</t>
    </r>
    <r>
      <rPr>
        <sz val="10"/>
        <color theme="1"/>
        <rFont val="Wingdings"/>
        <family val="2"/>
        <charset val="2"/>
      </rPr>
      <t></t>
    </r>
    <r>
      <rPr>
        <sz val="10"/>
        <color theme="1"/>
        <rFont val="ＭＳ Ｐゴシック"/>
        <family val="2"/>
        <scheme val="minor"/>
      </rPr>
      <t xml:space="preserve"> Transport: 20%
</t>
    </r>
    <r>
      <rPr>
        <sz val="10"/>
        <color theme="1"/>
        <rFont val="Wingdings"/>
        <family val="2"/>
        <charset val="2"/>
      </rPr>
      <t></t>
    </r>
    <r>
      <rPr>
        <sz val="10"/>
        <color theme="1"/>
        <rFont val="ＭＳ Ｐゴシック"/>
        <family val="2"/>
        <scheme val="minor"/>
      </rPr>
      <t xml:space="preserve"> Shipping: 100%
</t>
    </r>
    <r>
      <rPr>
        <sz val="10"/>
        <color theme="1"/>
        <rFont val="Wingdings"/>
        <family val="2"/>
        <charset val="2"/>
      </rPr>
      <t></t>
    </r>
    <r>
      <rPr>
        <sz val="10"/>
        <color theme="1"/>
        <rFont val="ＭＳ Ｐゴシック"/>
        <family val="2"/>
        <scheme val="minor"/>
      </rPr>
      <t xml:space="preserve"> Commercial/Institutional, Residential and Fishing: 8.1% 
Other Targets
</t>
    </r>
    <r>
      <rPr>
        <sz val="10"/>
        <color theme="1"/>
        <rFont val="Wingdings"/>
        <family val="2"/>
        <charset val="2"/>
      </rPr>
      <t></t>
    </r>
    <r>
      <rPr>
        <sz val="10"/>
        <color theme="1"/>
        <rFont val="ＭＳ Ｐゴシック"/>
        <family val="2"/>
        <scheme val="minor"/>
      </rPr>
      <t xml:space="preserve"> 100% renewable energy by 2030 (principally from geothermal resources)
</t>
    </r>
    <r>
      <rPr>
        <sz val="10"/>
        <color theme="1"/>
        <rFont val="Wingdings"/>
        <family val="2"/>
        <charset val="2"/>
      </rPr>
      <t></t>
    </r>
    <r>
      <rPr>
        <sz val="10"/>
        <color theme="1"/>
        <rFont val="ＭＳ Ｐゴシック"/>
        <family val="2"/>
        <scheme val="minor"/>
      </rPr>
      <t xml:space="preserve"> 200Gg+ annual export of geothermal resources to Martinique and Guadeloupe from 2027
</t>
    </r>
    <r>
      <rPr>
        <sz val="10"/>
        <color theme="1"/>
        <rFont val="Wingdings"/>
        <family val="2"/>
        <charset val="2"/>
      </rPr>
      <t></t>
    </r>
    <r>
      <rPr>
        <sz val="10"/>
        <color theme="1"/>
        <rFont val="ＭＳ Ｐゴシック"/>
        <family val="2"/>
        <scheme val="minor"/>
      </rPr>
      <t xml:space="preserve"> ~648Gg forest carbon sequestration 2020-2025, ~621Gg 2025-2030 through REDD+ Strategy
</t>
    </r>
    <r>
      <rPr>
        <sz val="10"/>
        <color theme="1"/>
        <rFont val="Wingdings"/>
        <family val="2"/>
        <charset val="2"/>
      </rPr>
      <t></t>
    </r>
    <r>
      <rPr>
        <sz val="10"/>
        <color theme="1"/>
        <rFont val="ＭＳ Ｐゴシック"/>
        <family val="2"/>
        <scheme val="minor"/>
      </rPr>
      <t xml:space="preserve"> 50% increase in agroforestry farmers
</t>
    </r>
    <r>
      <rPr>
        <sz val="10"/>
        <color theme="1"/>
        <rFont val="Wingdings"/>
        <family val="2"/>
        <charset val="2"/>
      </rPr>
      <t></t>
    </r>
    <r>
      <rPr>
        <sz val="10"/>
        <color theme="1"/>
        <rFont val="ＭＳ Ｐゴシック"/>
        <family val="2"/>
        <scheme val="minor"/>
      </rPr>
      <t xml:space="preserve"> 10% HFC emissions reduction by 2030</t>
    </r>
    <phoneticPr fontId="7"/>
  </si>
  <si>
    <t>N/A</t>
    <phoneticPr fontId="7"/>
  </si>
  <si>
    <t>Dominica has engaged in a bilateral agreement with Switzerland, enabling the island to sell its carbon credits in an emissions trading deal, with the aim of generating offsets in Switzerland that can be used to help meet its Nationally Determined Contributions and generate internationally transferred mitigation outcomes. Under the agreement, Switzerland will undertake a project to finance the electrification of the island’s transport sector and geothermal energy which will count towards Switzerland’s
greenhouse gas reduction target. This will be done consistent with cooperative approaches outlined in Article 6.2 and Article 6.4, with constant project monitoring to ensure the specified criteria are met. In
addition, the Government of Dominica intends to explore carbon-trading schemes under REDD+ for the Forestry sector when it becomes feasible.</t>
    <phoneticPr fontId="7"/>
  </si>
  <si>
    <t>Yes</t>
    <phoneticPr fontId="7"/>
  </si>
  <si>
    <t>No</t>
    <phoneticPr fontId="7"/>
  </si>
  <si>
    <t>Summary data on NDCs' mitigation, adaptation, financial and technological needs, use of market mechanism and UNFCCC status.</t>
    <phoneticPr fontId="7"/>
  </si>
  <si>
    <t xml:space="preserve">List of each successive NDC submission (from INDC to first NDC, from first to second NDC etc.) from Parties that introduced a change in their NDC's mitigation component. </t>
    <phoneticPr fontId="7"/>
  </si>
  <si>
    <t xml:space="preserve">In-depth data analysis is provided in form of charts and tables. </t>
    <phoneticPr fontId="7"/>
  </si>
  <si>
    <t>• Modified "Global share (%)" of "GHG emissions" data 
• Added Suriname's first NDC submission date and made subsequent changes in Analytics
• Add and Modify Marshall Islands' NDC information correnspoinding with their submission of the 2nd NDC
1) Modified information in NDC Master Sheet
2) Added column regarding 2nd NDC to "NDC Change Tracker" and reflected changes by Marshall Islands
3) Added "2nd NDC submitted" to Table 1 and Figure 1 in Analytics
• Updated information on the 1st NDCs
1) Added "Reference" on Brunei Darussalam, Columbia, Ecuatorial guinea, Eritoria, Guinea-Bissau, Kuwait, Nicaragua (Spanish), San Marino, Syria (Arabic), Uzbekistan in Master sheet. 
2) Updated information on Canada, Eritrea, El Salvador and Lesotho in Master sheet and NDC change Tracker
3) Change numbers in NDC submitted in Guidance
4) Added "Ratification date" for Equatorial Guinea, Guinea-Bissau, Uzbekistaｎ</t>
    <phoneticPr fontId="7"/>
  </si>
  <si>
    <t>IGES's NDC Database compiles the main features of the Nationally Determined Contributions (NDCs), which are communicated by the Parties to the United Nations Framework Convention on Climate Change (UNFCCC) to present the national targets and measures that will be taken in order to implement the Paris Agreement, according to countries’ national circumstances. This database summarizes the main climate pledges from each NDC concerning mitigation, or how countries intend to limit their greenhouse has (GHG) emissions to lessen their impact on climate change, and adaptation, or how countries are planning to adapt to the effects of climate change.</t>
    <phoneticPr fontId="7"/>
  </si>
  <si>
    <t xml:space="preserve">The adaptation summary column contains a summary of each Party’s adaptation measures included in NDCs. As adaptation components cannot be summarized in one fixed quantified target, a list of policy measures is shown. This list is not exhaustive, but is comprised of the most essential or most unique measures in each adaptation sector. </t>
    <phoneticPr fontId="7"/>
  </si>
  <si>
    <t>[Translated]
Gabon is in the process of completing its national climate change adaptation plan. It is clear that it will need support to enable it to adapt to the effects of climate change, including sea level rise, the intensity of extreme weather events, the temperature of our cities, and the impacts of climate change on neighbouring countries, particularly climate-related migration. There is also the issue of economic adaptation, given that our economy depends on oil and gas revenues and that these will diminish or even disappear in the next two or three decades. The Gabon will improve its future NDCs to include clearer objectives and needs for adaptation, based on based on the future national adaptation plan.</t>
    <phoneticPr fontId="7"/>
  </si>
  <si>
    <t>Sectoral targets</t>
    <phoneticPr fontId="7"/>
  </si>
  <si>
    <t>N/A</t>
    <phoneticPr fontId="7"/>
  </si>
  <si>
    <t>subject to continued access to international markets for its wood products, access to a carbon market for its net-sequestration carbon credits in the form of ITMOs (Internationally Transferred Mitigation Outcomes) at a competitive carbon price and / or appropriate international support through non-market mechanisms, Gabon will strive to maintain its net absorption of at least 100 million tons of CO2eq per year beyond 2050.</t>
    <phoneticPr fontId="7"/>
  </si>
  <si>
    <t>Will be considered</t>
    <phoneticPr fontId="7"/>
  </si>
  <si>
    <t>{Translated] In 2030, gross emissions from the forestry sector are expected to reach 30.4 million tCO 2 eq (30,381 GgCO 2 eq) as a result of the measures put in place Similarly, gross removals are expected to reach 152.5 million tCO 2 eq (152,489 GgCO 2 eq)
In 2030, emissions from the energy and agriculture sectors will amount to 3.8 million tCO 2 eq (3,798 GgCO 2 eq) in the controlled scenario: 3,322 GgC O 2 eq for the energy sector, 476 GgCO 2 eq for the agriculture sector.
Gabon commits unconditionally to remain carbon-neutral up to and beyond 2050.
Conditionally, Gabon will strive to maintain its net absorption of carbon at a minimum of 100 million tonnes of CO2 equivalent per year beyond 2050.</t>
    <phoneticPr fontId="7"/>
  </si>
  <si>
    <t>BAU</t>
    <phoneticPr fontId="7"/>
  </si>
  <si>
    <t>Relative emission reduction</t>
    <phoneticPr fontId="7"/>
  </si>
  <si>
    <t>Yes</t>
    <phoneticPr fontId="7"/>
  </si>
  <si>
    <t>・Electricity sector: 33% reduction by 2030
・Oil &amp; Gas sector: 65% reduction by 2030
・Transport: 7%
Policies and measures for the following
sectors:
•Industry
•Buildings and Urban Cities
•Tourism
•Waste Management
Agriculture and Land Use</t>
    <phoneticPr fontId="7"/>
  </si>
  <si>
    <t>N/A</t>
    <phoneticPr fontId="7"/>
  </si>
  <si>
    <t>• Rehabilitation of 20,000 km of irrigation canals for agricultural climate resilience
(Beneficiary: 60 million people) Renewable water desalination of 4 million m3 daily
(Beneficiary: 33 million people)
・Adaptation of crop production in the Nile Valley and Delta (Beneficiary: 10 million people)
・On-farm irrigation in old lands (Beneficiary: 6 million people)
・Modernizing on-farm practices for climate resilience (Beneficiary: 1.75 million people)
・Crop yield increases from 10-15%
・Adaptation of the Northern Delta affected by Sea Level Rise (SLR) (Beneficiary: 10 million people)
・Natural protection of Rosetta shoreline using the sand motor (Beneficiary: 4.25 million people)
・Integration of coastal protection in 3 Egyptian Mediterranean cities (Beneficiary: 6 million people)
・Protectorates to cover 17% of the national marine and wildlife areas
Sustainable parks in new cities from 5 to 20 feddans
・Establishing an early warning system (Beneficiary: 30 million people)
Resilience for most vulnerable and marginal regions (Beneficiary: 5 million people)</t>
    <phoneticPr fontId="7"/>
  </si>
  <si>
    <t>The financial resources required to implement the updated NDC up to 2030 is estimated at minimum USD 246 billion. The mitigation interventions require USD 196 billion and the adaptation interventions require USD 50 billion.</t>
    <phoneticPr fontId="7"/>
  </si>
  <si>
    <t>Energy storage</t>
    <phoneticPr fontId="7"/>
  </si>
  <si>
    <t>Egypt expresses interest for voluntary cooperation in emerging international
carbon markets governed by Article 6 of the Paris Agreement.</t>
    <phoneticPr fontId="7"/>
  </si>
  <si>
    <t>Will be considered</t>
    <phoneticPr fontId="7"/>
  </si>
  <si>
    <t>33% for electricity sector</t>
    <phoneticPr fontId="7"/>
  </si>
  <si>
    <t>Reduction of 31% in GHG emissions, measured in CO2eq, relative to BAU in 2030. BAU scenario emissions in 2030 are projected to be about 301.2
million tons, assuming a moderate annual linear sector specific growth rate in line with projected economic growth, national circumstance and historical trends. The BAU scenario includes all mitigation measures implemented prior to and during 2016.</t>
    <phoneticPr fontId="7"/>
  </si>
  <si>
    <t>In keeping with the ambition articulated its first NDC and the goals set by the National Climate Change Plan of the UAE 2017-2050, the country has developed
the National Climate Change Adaptation Program. The program is geared towards increasing climate resilience by minimizing risks and improving adaptive capacity, particularly among vulnerable groups, such as women, the elderly, persons living with disabilities, and young people who will inherit the increasing impacts of climate change. The Program entails the following:
• risk and vulnerability assessment, and adoption of immediate low-cost measures;
• mainstreaming of adaptation planning in development policies; and
• monitoring and evaluation to ensure implementation of evidence-based adaptation measures.</t>
    <phoneticPr fontId="7"/>
  </si>
  <si>
    <t>In order to promote a shared international effort guided by Article 6 of the Paris Agreement and related modalities, the UAE supports the development and operationalization of market mechanisms aimed at emission reductions. The Kyoto Protocol’s Clean Development Mechanism (CDM) has been a driver of sustainability projects in the UAE, with the country having engaged in the implementation of 15 CDM projects. As the UAE’s engagements with the global carbon market multiply, the country has also announced the establishment of a fully regulated carbon trading exchange and clearing house. ADGM, the international financial center in Abu Dhabi, is working in partnership with AirCarbon Exchange (ACX) to launch the trading platform in 2022.</t>
    <phoneticPr fontId="7"/>
  </si>
  <si>
    <t>Uganda has committed to reduce her economy-wide Greenhouse gas emissions by 24.7% in 2030 below the BAU baseline. 82.7% of the mitigation action will come from the Agriculture, Forestry and Other Land Use AFOLU sector.
Uganda will use domestic sources of support to reduce emissions by 5.9% below the BAU trajectory in 2030 (un conditional contribution). International support in form of financial, capacity-building and technology transfer, will enable the country to reduce emissions by 18.8% in 2030 below the BAU (conditional contribution).</t>
    <phoneticPr fontId="7"/>
  </si>
  <si>
    <t>5.9% (unconditional), 24.7% (conditional)</t>
    <phoneticPr fontId="7"/>
  </si>
  <si>
    <t>Yes</t>
    <phoneticPr fontId="7"/>
  </si>
  <si>
    <t>Uganda will use voluntary cooperation provided for in Article 6 in accordance with the National Climate Change Act 2021 to demonstrate her mitigation and adaptation ambition and mobilise support to promote sustainable development.</t>
    <phoneticPr fontId="7"/>
  </si>
  <si>
    <t>1. Promote climate-resilient and low-carbon agricultural development
2. Promote and apply land management practices that support sustainable and productive use
3. Promote climate-resilient water supply systems, increase water supply capacity and use efficiency.
4. Promote sustainable management of ecosystems and the use of nature-based solutions, including through community engagement
5. Strengthen climate information services through improved data collection and sharing infrastructure
6. Develop and promote a clean and resilient energy system
7. Promote climate resilient and low-carbon urban planning and development
8. Increase availability and promote access to finance for climate-resilience, low-carbon investments and climate impacts recovery
9. Promote education and training on climate change science, and sharing of indigenous knowledge
10. Mainstream and institutionalize climate change responses in policies, plans, programmes and budgets at all levels of governance
11. Promote a multimodal shift to low carbon mobility and create climate-resilient transport infrastructure to support economic growth
12. Promote a resource-efficient circular economy
13. Further develop a resilient and “fit for future” health systems</t>
    <phoneticPr fontId="7"/>
  </si>
  <si>
    <t>Uganda requires USD 28.1 billion to implement both unconditional and conditional adaptation and mitigation actions and targets of the updated NDC and its cross-cutting issues of technology development and transfer, gender, and capacity building across all sectors up to 2030. The financial support is expected to be mobilized from domestic and international sources.
The estimated cost of the adaptation up to 2030 across all sectors is USD 17.7 billion of which USD 2.5 billion equivalent to 14% of the total adaptation cost is unconditional and USD 15.2 billion equivalent to 86% is conditional on international support.
The estimated cost of the mitigation policies and measures up to 2030 across all sectors is USD 10.3 billion of which USD 1.6 billion equivalent to 15% of the total mitigation cost is unconditional and USD 8.7 billion equivalent to 85% is conditional on international support.</t>
    <phoneticPr fontId="7"/>
  </si>
  <si>
    <t>• Implementing the technology action plans for adaptation and mitigation.
• Establishing national and regional demonstration centres of excellence to foster update of climate technologies.
• Building community ownership and capacity to operate and management climate technologies.
• Building partnership with private sector, research institutions and non-governmental organization to expand co-investment in technology transfer and diffusion.
• Creating an enabling environment to address barriers for the development and transfer of climate technologies.</t>
    <phoneticPr fontId="7"/>
  </si>
  <si>
    <t>N/A</t>
    <phoneticPr fontId="7"/>
  </si>
  <si>
    <t>• To reduce Emissions Intensity of its GDP by 45 percent by 2030, from
2005 level
• To achieve about 50 percent cumulative electric power installed
capacity from non-fossil fuel-based energy resources by 2030, with
the help of transfer of technology and low-cost international finance
including from Green Climate Fund (GCF)
• To create an additional carbon sink of 2.5 to 3 billion tonnes of CO2 equivalent through additional forest and tree cover by 2030.</t>
    <phoneticPr fontId="7"/>
  </si>
  <si>
    <t>1990, 2010</t>
    <phoneticPr fontId="7"/>
  </si>
  <si>
    <t>13.2%, 33.3%</t>
    <phoneticPr fontId="7"/>
  </si>
  <si>
    <t>The Republic of Serbia hereby communicates its updated Nationally Determined Contribution (NDC), in accordance with the Articles 3 and 4 of the Paris Agreement and paragraphs 22 and 24 of Decision 1 CP/21:
Increasing its ambition to the GHG emission reduction by 13.2% compared to 2010 level (i.e. 33,3% compared to 1990) by 2030</t>
    <phoneticPr fontId="7"/>
  </si>
  <si>
    <t>Close to 100% RE in electricity generation (conditional)</t>
    <phoneticPr fontId="7"/>
  </si>
  <si>
    <t> Vanuatu commits to mainstream climate variability, climate change and disaster risk reduction using adaptation and mitigation strategies in all agriculture initiatives and developments (Agriculture Sector Policy 12.1), including provide adequate funding for activities to address climate change
 Vanuatu commits to a collaborative effort against damage caused by pests and diseases due to favourable climatic conditions as a result of climate change (Biosecurity Policy TA 15), specifically by entering into formal agreements between Biosecurity Vanuatu and climate change organisations (local, regional and international)
 Vanuatu commits to strengthen communitybased fisheries management and climate adaptation, including preserving traditional resource management and fishing practices (National Fisheries Policy SA 25), ensuring that 40 integrated coastal management plans developed and implemented by 2030
 Vanuatu commits to develop forestry-related climate change adaptation demonstration projects including concerns for food security, soil stabilisation, water management, and coastal erosion.</t>
    <phoneticPr fontId="7"/>
  </si>
  <si>
    <t xml:space="preserve">Vanuatu’s conditional mitigation targets are estimated to cost USD 315,600,000. This cost estimate does not cover the costs of existing measures i.e. measures included in the first NDC of Vanuatu, since these measures are under implementation and already budgeted under NERM 2016–2030.
...
The approximate cost of achieving Vanuatu’s conditional adaptation targets is estimated to be USD 721,080,000 and loss and damage targets are estimated to cost USD 177,670,000. </t>
    <phoneticPr fontId="7"/>
  </si>
  <si>
    <t>Vanuatu will explore opportunities for climate resilient socio-economic development with international cooperation and support including carbon market under Article 6.
National level market-based instruments, such as cap-and-trade emission trading schemes and offsetting, may be a solution in Vanuatu to price carbon emissions and keep the costs of mitigation in Vanuatu low. These will be investigated further for applicability.
Vanuatu is in the process of implementing a national REDD+ programme.</t>
    <phoneticPr fontId="7"/>
  </si>
  <si>
    <t>Relative emission reduction</t>
    <phoneticPr fontId="7"/>
  </si>
  <si>
    <t>38% (energy (non-biomass)</t>
    <phoneticPr fontId="7"/>
  </si>
  <si>
    <t>・Energy (non-biomass): 38% reduction
・Forestry &amp; Energy (biomass): 45% reduction
・Waste: 20% reduction</t>
    <phoneticPr fontId="7"/>
  </si>
  <si>
    <t>・Water: enhancing rural water supply, building resilience against floods, sustainable water management, resilient small scale pump irrigation
・Agriculture: building resilience of crop production, climate resilient agriculture, climate resilient irrigated cropping systems, resilient livestock production systems, building resilience of rangelands, building resilience of livestock production systems
・Building resilience in the health sector
・Building resilience in coastal zones</t>
    <phoneticPr fontId="7"/>
  </si>
  <si>
    <t>N/A</t>
    <phoneticPr fontId="7"/>
  </si>
  <si>
    <t>Sudan does not exclude the use of voluntary cooperation under Art. 6 the Paris agreement</t>
    <phoneticPr fontId="7"/>
  </si>
  <si>
    <t>the UK commits to reducing economy-wide greenhouse gas emissions by at least 68% by 2030, compared to 1990 levels.</t>
    <phoneticPr fontId="7"/>
  </si>
  <si>
    <t>While the UK intends to meet its NDC target through reducing emissions domestically, it reserves the right to use voluntary cooperation under Article 6 of the Paris Agreement. Such use could occur through the linking of the UK emissions trading scheme to another emissions trading system or through the use of emissions reductions or removals units.</t>
    <phoneticPr fontId="7"/>
  </si>
  <si>
    <t>Yes</t>
    <phoneticPr fontId="7"/>
  </si>
  <si>
    <t>31.89% (unconditional), 43.2% (conditional)</t>
    <phoneticPr fontId="7"/>
  </si>
  <si>
    <t>The Enhanced NDC increases unconditional emission reduction target of 31.89%, compared to 29% in the 1st NDC. The commitment will be implemented through effective land use and spatial planning, sustainable forest management which include social forestry program, restoring functions of degraded ecosystems including wetland ecosystems, improved agriculture productivity, energy conservation and the promotion of clean and renewable energy sources, and improved waste management.
Indonesia can increase its contribution up to 43.20% reduction of emissions in 2030 conditionally, compared to 41% in the 1st NDC, subject to availability of international support for finance, technology transfer and development and capacity building.</t>
    <phoneticPr fontId="7"/>
  </si>
  <si>
    <t>・Economid resilience: sustainable agriculture and plantations, integrated watershed management, reduction of deforestation and forest degradation
・Social and livelihood resilience: enhancement of adaptive capacity, development of community capacity and participation in local planning processes, to secure access to key natural resources, ramping up disaster preparedness programs for natural disaster risk reduction, identification of highly vulnerable areas in local spatial and land use planning efforts, improvement of human settlements, provision of basic sservices, and climate resilient infrastructure development, conflict prevention and resolution
・Ecosystem and landscape resilience: social forestry, coastal zone protection, ecosystem conservation and restoration, integrated watershed management, climate resilient cities</t>
    <phoneticPr fontId="7"/>
  </si>
  <si>
    <t>The 3rd BUR (2021) estimated financial needs for conditional target from 2018-2030 about USD 285 billion and for unconditional target about USD 281 billion.</t>
    <phoneticPr fontId="7"/>
  </si>
  <si>
    <t>Indonesia welcomes bilateral, regional and international cooperation in
the NDC implementation as recognised under Article 6 of the Paris Agreement, that facilitate and expedite technology development and transfer, payment for performance, technical cooperation, and access to financial resources to support Indonesia’s climate mitigation and adaptation efforts towards a climate resilient future.</t>
    <phoneticPr fontId="7"/>
  </si>
  <si>
    <t>Version 7.7 (October 2022)</t>
    <phoneticPr fontId="7"/>
  </si>
  <si>
    <t>Oct-2022</t>
    <phoneticPr fontId="7"/>
  </si>
  <si>
    <t>(updated) First NDC</t>
    <phoneticPr fontId="7"/>
  </si>
  <si>
    <t>(updated) Second NDC</t>
    <phoneticPr fontId="7"/>
  </si>
  <si>
    <t>N/A</t>
    <phoneticPr fontId="7"/>
  </si>
  <si>
    <t>https://unfccc.int/sites/default/files/NDC/2022-06/NDC%20BiH_November%202020%20FINAL%20DRAFT%2005%20Nov%20ENG%20LR.pdf</t>
    <phoneticPr fontId="7"/>
  </si>
  <si>
    <t>https://unfccc.int/sites/default/files/NDC/2022-06/CND%20Bolivia%202021-2030.pdf</t>
    <phoneticPr fontId="7"/>
  </si>
  <si>
    <t>https://unfccc.int/sites/default/files/NDC/2022-06/Second%20NDC%20Bhutan.pdf</t>
    <phoneticPr fontId="7"/>
  </si>
  <si>
    <t>https://unfccc.int/sites/default/files/NDC/2022-06/INDC_AFG_20150927_FINAL.pdf</t>
    <phoneticPr fontId="7"/>
  </si>
  <si>
    <t>https://unfccc.int/sites/default/files/2022-08/Albania%20Revised%20NDC.pdf</t>
    <phoneticPr fontId="7"/>
  </si>
  <si>
    <t>https://unfccc.int/sites/default/files/NDC/2022-06/Alg%C3%A9rie%20-INDC-%2003%20septembre%202015.pdf</t>
    <phoneticPr fontId="7"/>
  </si>
  <si>
    <t>https://unfccc.int/sites/default/files/NDC/2022-06/20200514-%20Actualitzaci%C3%B3%20NDC.pdf</t>
    <phoneticPr fontId="7"/>
  </si>
  <si>
    <t>https://unfccc.int/sites/default/files/NDC/2022-06/NDC%20Angola.pdf</t>
    <phoneticPr fontId="7"/>
  </si>
  <si>
    <t>https://unfccc.int/sites/default/files/NDC/2022-06/ATG%20-%20UNFCCC%20NDC%20-%202021-09-02%20-%20Final.pdf</t>
    <phoneticPr fontId="7"/>
  </si>
  <si>
    <t>https://unfccc.int/sites/default/files/NDC/2022-05/Actualizacio%CC%81n%20meta%20de%20emisiones%202030.pdf</t>
    <phoneticPr fontId="7"/>
  </si>
  <si>
    <t>https://unfccc.int/sites/default/files/NDC/2022-06/NDC%20of%20Republic%20of%20Armenia%20%202021-2030.pdf</t>
    <phoneticPr fontId="7"/>
  </si>
  <si>
    <t>https://unfccc.int/sites/default/files/NDC/2022-06/Australias%20NDC%20June%202022%20Update%20%283%29.pdf</t>
    <phoneticPr fontId="7"/>
  </si>
  <si>
    <t>https://unfccc.int/sites/default/files/NDC/2022-06/INDC%20Azerbaijan.pdf</t>
    <phoneticPr fontId="7"/>
  </si>
  <si>
    <t>https://unfccc.int/sites/default/files/NDC/2022-06/Bahamas_COP-22%20UNFCCC.pdf</t>
    <phoneticPr fontId="7"/>
  </si>
  <si>
    <t>https://unfccc.int/sites/default/files/NDC/2022-06/NDC%20of%20the%20Kingdom%20of%20Bahrain%20under%20UNFCCC.pdf</t>
    <phoneticPr fontId="7"/>
  </si>
  <si>
    <t>https://unfccc.int/sites/default/files/NDC/2022-06/NDC_submission_20210826revised.pdf</t>
    <phoneticPr fontId="7"/>
  </si>
  <si>
    <t>https://unfccc.int/sites/default/files/NDC/2022-06/2021%20Barbados%20NDC%20update%20-%2021%20July%202021.pdf</t>
    <phoneticPr fontId="7"/>
  </si>
  <si>
    <t>https://unfccc.int/sites/default/files/NDC/2022-06/Belarus_NDC_Russian.pdf</t>
    <phoneticPr fontId="7"/>
  </si>
  <si>
    <t>https://unfccc.int/sites/default/files/NDC/2022-06/Belize%20Updated%20NDC.pdf</t>
    <phoneticPr fontId="7"/>
  </si>
  <si>
    <t>https://unfccc.int/sites/default/files/NDC/2022-06/CDN_ACTUALISEE_BENIN2021.pdf</t>
    <phoneticPr fontId="7"/>
  </si>
  <si>
    <t>https://unfccc.int/sites/default/files/NDC/2022-06/Updated%20-%20First%20NDC%20-%20%20FINAL%20-%20PDF.pdf</t>
    <phoneticPr fontId="7"/>
  </si>
  <si>
    <t>https://unfccc.int/sites/default/files/NDC/2022-06/BOTSWANA.pdf</t>
    <phoneticPr fontId="7"/>
  </si>
  <si>
    <t>https://unfccc.int/sites/default/files/NDC/2022-06/Brunei%20Darussalam%27s%20NDC%202020.pdf</t>
    <phoneticPr fontId="7"/>
  </si>
  <si>
    <t>https://unfccc.int/sites/default/files/NDC/2022-06/Rapport%20CDN_BKFA.pdf</t>
    <phoneticPr fontId="7"/>
  </si>
  <si>
    <t>https://unfccc.int/sites/default/files/NDC/2022-06/CDN%20%20%20Burundi%20ANNEXE%201.pdf</t>
    <phoneticPr fontId="7"/>
  </si>
  <si>
    <t>https://unfccc.int/sites/default/files/NDC/2022-06/20201231_NDC_Update_Cambodia.pdf</t>
    <phoneticPr fontId="7"/>
  </si>
  <si>
    <t>https://unfccc.int/sites/default/files/NDC/2022-06/CDN%20r%C3%A9vis%C3%A9e%20CMR%20finale%20sept%202021.pdf</t>
    <phoneticPr fontId="7"/>
  </si>
  <si>
    <t>https://unfccc.int/sites/default/files/NDC/2022-06/Canada%27s%20Enhanced%20NDC%20Submission1_FINAL%20EN.pdf</t>
    <phoneticPr fontId="7"/>
  </si>
  <si>
    <t>https://unfccc.int/sites/default/files/NDC/2022-06/CDN%20ACTUALISEE%20DU%20TCHAD.pdf</t>
    <phoneticPr fontId="7"/>
  </si>
  <si>
    <t>https://unfccc.int/sites/default/files/NDC/2022-06/CDN%20Revis%C3%A9e%20RCA.pdf</t>
    <phoneticPr fontId="7"/>
  </si>
  <si>
    <t>https://unfccc.int/sites/default/files/NDC/2022-06/Cabo%20Verde_NDC%20Update%202021.pdf</t>
    <phoneticPr fontId="7"/>
  </si>
  <si>
    <t>English/Spanish</t>
    <phoneticPr fontId="7"/>
  </si>
  <si>
    <t>https://unfccc.int/sites/default/files/NDC/2022-06/%E4%B8%AD%E5%9B%BD%E8%90%BD%E5%AE%9E%E5%9B%BD%E5%AE%B6%E8%87%AA%E4%B8%BB%E8%B4%A1%E7%8C%AE%E6%88%90%E6%95%88%E5%92%8C%E6%96%B0%E7%9B%AE%E6%A0%87%E6%96%B0%E4%B8%BE%E6%8E%AA.pdf</t>
    <phoneticPr fontId="7"/>
  </si>
  <si>
    <t>https://unfccc.int/sites/default/files/NDC/2022-06/NDC%20actualizada%20de%20Colombia.pdf</t>
    <phoneticPr fontId="7"/>
  </si>
  <si>
    <t>https://unfccc.int/sites/default/files/NDC/2022-06/Chile%27s_NDC_2020_english.pdf</t>
    <phoneticPr fontId="7"/>
  </si>
  <si>
    <t>https://unfccc.int/sites/default/files/NDC/2022-06/CDN_r%C3%A9vis%C3%A9e_Comores_vf.pdf</t>
    <phoneticPr fontId="7"/>
  </si>
  <si>
    <t>Chinese</t>
    <phoneticPr fontId="7"/>
  </si>
  <si>
    <t>https://unfccc.int/sites/default/files/NDC/2022-06/Cook%20Islands%20INDCsFINAL7Nov.pdf</t>
  </si>
  <si>
    <t>https://unfccc.int/sites/default/files/NDC/2022-06/CDN%20Revis%C3%A9e%20de%20la%20RDC.pdf</t>
    <phoneticPr fontId="7"/>
  </si>
  <si>
    <t>https://unfccc.int/sites/default/files/NDC/2022-06/CDN_Congo.pdf</t>
    <phoneticPr fontId="7"/>
  </si>
  <si>
    <t>https://unfccc.int/sites/default/files/NDC/2022-06/Contribucio%CC%81n%20Nacionalmente%20Determinada%20de%20Costa%20Rica%202020%20-%20Versio%CC%81n%20Completa.pdf</t>
    <phoneticPr fontId="7"/>
  </si>
  <si>
    <t>https://unfccc.int/sites/default/files/NDC/2022-06/CDN_CIV_2022.pdf</t>
    <phoneticPr fontId="7"/>
  </si>
  <si>
    <t>https://unfccc.int/sites/default/files/NDC/2022-06/Cuban%20First%20NDC%20%28Updated%20submission%29.pdf</t>
    <phoneticPr fontId="7"/>
  </si>
  <si>
    <t>https://unfccc.int/sites/default/files/NDC/2022-06/CPDN%20Djibouti_9%20-%20CPDN%20-%20Format%20pour%20soumission%20CCNUCC.pdf</t>
    <phoneticPr fontId="7"/>
  </si>
  <si>
    <t>https://unfccc.int/sites/default/files/2022-07/The%20Commonwealth%20of%20Dominica%20updated%20NDC%20July%204%20%2C.pdf</t>
    <phoneticPr fontId="7"/>
  </si>
  <si>
    <t>https://unfccc.int/sites/default/files/NDC/2022-06/Dominican%20Republic%20First%20NDC%20%28Updated%20Submission%29.pdf</t>
    <phoneticPr fontId="7"/>
  </si>
  <si>
    <t>https://unfccc.int/sites/default/files/NDC/2022-06/Primera%20NDC%20Ecuador.pdf</t>
    <phoneticPr fontId="7"/>
  </si>
  <si>
    <t>https://unfccc.int/sites/default/files/NDC/2022-06/NRC%20Eritrea.pdf</t>
    <phoneticPr fontId="7"/>
  </si>
  <si>
    <t>https://unfccc.int/sites/default/files/NDC/2022-06/Rep%C3%BAblica%20de%20Guinea%20Ecuatorial_INDC.pdf</t>
    <phoneticPr fontId="7"/>
  </si>
  <si>
    <t>https://unfccc.int/sites/default/files/NDC/2022-06/El%20Salvador%20NDC-%20Updated%20Dic.2021.pdf</t>
    <phoneticPr fontId="7"/>
  </si>
  <si>
    <t>https://unfccc.int/sites/default/files/NDC/2022-07/Egypt%20Updated%20NDC.pdf.pdf</t>
    <phoneticPr fontId="7"/>
  </si>
  <si>
    <t>https://unfccc.int/sites/default/files/NDC/2022-06/Ethiopia%27s%20updated%20NDC%20JULY%202021%20Submission_.pdf</t>
    <phoneticPr fontId="7"/>
  </si>
  <si>
    <t>https://unfccc.int/sites/default/files/NDC/2022-06/EU_NDC_Submission_December%202020.pdf</t>
    <phoneticPr fontId="7"/>
  </si>
  <si>
    <t>https://unfccc.int/sites/default/files/NDC/2022-06/NDC%20Georgia_ENG%20WEB-approved.pdf</t>
    <phoneticPr fontId="7"/>
  </si>
  <si>
    <t>https://unfccc.int/sites/default/files/NDC/2022-06/Second%20NDC%20of%20The%20Republic%20of%20The%20Gambia-16-12-2021.pdf</t>
    <phoneticPr fontId="7"/>
  </si>
  <si>
    <t>https://unfccc.int/sites/default/files/NDC/2022-07/20220706_Gabon_Updated%20NDC.pdf</t>
    <phoneticPr fontId="7"/>
  </si>
  <si>
    <t>https://unfccc.int/sites/default/files/NDC/2022-06/Republic%20of%20Fiji%27s%20Updated%20NDC%2020201.pdf</t>
    <phoneticPr fontId="7"/>
  </si>
  <si>
    <t>https://unfccc.int/sites/default/files/NDC/2022-06/Ghana%27s%20Updated%20Nationally%20Determined%20Contribution%20to%20the%20UNFCCC_2021.pdf</t>
    <phoneticPr fontId="7"/>
  </si>
  <si>
    <t>https://unfccc.int/sites/default/files/NDC/2022-06/GrenadaSecondNDC2020%20-%2001-12-20.pdf</t>
    <phoneticPr fontId="7"/>
  </si>
  <si>
    <t>https://unfccc.int/sites/default/files/2022-06/NDC%20-%20Guatemala%202021.pdf</t>
    <phoneticPr fontId="7"/>
  </si>
  <si>
    <t>https://unfccc.int/sites/default/files/NDC/2022-06/CDN%20GUINEE%202021_REVISION_VF.pdf</t>
    <phoneticPr fontId="7"/>
  </si>
  <si>
    <t>https://unfccc.int/sites/default/files/NDC/2022-06/NDC-Guinea%20Bissau-12102021.Final.pdf</t>
  </si>
  <si>
    <t>https://unfccc.int/sites/default/files/NDC/2022-06/Guyana%27s%20revised%20NDC%20-%20Final.pdf</t>
  </si>
  <si>
    <t>https://unfccc.int/sites/default/files/NDC/2022-06/CDN%20Revisee%20Haiti%202022.pdf</t>
    <phoneticPr fontId="7"/>
  </si>
  <si>
    <t>https://unfccc.int/sites/default/files/NDC/2022-06/NDC%20de%20Honduras_%20Primera%20Actualizaci%C3%B3n.pdf</t>
    <phoneticPr fontId="7"/>
  </si>
  <si>
    <t>https://unfccc.int/sites/default/files/NDC/2022-06/Iceland_updated_NDC_Submission_Feb_2021.pdf</t>
    <phoneticPr fontId="7"/>
  </si>
  <si>
    <t>https://unfccc.int/sites/default/files/NDC/2022-08/India%20Updated%20First%20Nationally%20Determined%20Contrib.pdf</t>
    <phoneticPr fontId="7"/>
  </si>
  <si>
    <t>https://unfccc.int/sites/default/files/NDC/2022-06/Iraq%20NDC%20Document.docx</t>
    <phoneticPr fontId="7"/>
  </si>
  <si>
    <t>https://unfccc.int/sites/default/files/NDC/2022-06/NDC%20update%20as%20submitted%20to%20the%20UNFCCC.docx</t>
    <phoneticPr fontId="7"/>
  </si>
  <si>
    <t>https://unfccc.int/sites/default/files/NDC/2022-06/Kuwait%20updating%20the%20first%20NDC-arabic.pdf</t>
  </si>
  <si>
    <t>https://unfccc.int/sites/default/files/NDC/2022-06/Kenya%27s%20First%20%20NDC%20%28updated%20version%29.pdf</t>
    <phoneticPr fontId="7"/>
  </si>
  <si>
    <t>https://unfccc.int/sites/default/files/NDC/2022-06/INDC_KIRIBATI.pdf</t>
    <phoneticPr fontId="7"/>
  </si>
  <si>
    <t>https://unfccc.int/sites/default/files/NDC/2022-06/2019.09.19_DPRK%20letter%20to%20SG%20special%20envoy%20for%20NDC.pdf</t>
    <phoneticPr fontId="7"/>
  </si>
  <si>
    <t>https://unfccc.int/sites/default/files/NDC/2022-06/UPDATED%20SUBMISSION%20OF%20JORDANS.pdf</t>
    <phoneticPr fontId="7"/>
  </si>
  <si>
    <t>https://unfccc.int/sites/default/files/NDC/2022-06/JAPAN_FIRST%20NDC%20%28UPDATED%20SUBMISSION%29.pdf</t>
    <phoneticPr fontId="7"/>
  </si>
  <si>
    <t>https://unfccc.int/sites/default/files/NDC/2022-06/Updated%20NDC%20Jamaica%20-%20ICTU%20Guidance.pdf</t>
    <phoneticPr fontId="7"/>
  </si>
  <si>
    <t>https://unfccc.int/sites/default/files/NDC/2022-06/INDC%20Kz_eng.pdf</t>
    <phoneticPr fontId="7"/>
  </si>
  <si>
    <t>https://unfccc.int/sites/default/files/NDC/2022-06/Malawi%20Updated%20NDC%20July%202021%20submitted.pdf</t>
    <phoneticPr fontId="7"/>
  </si>
  <si>
    <t>https://unfccc.int/sites/default/files/NDC/2022-06/Madagascar%20INDC.pdf</t>
    <phoneticPr fontId="7"/>
  </si>
  <si>
    <t>https://unfccc.int/sites/default/files/NDC/2022-06/150422_INDC_FL.pdf</t>
    <phoneticPr fontId="7"/>
  </si>
  <si>
    <t>https://unfccc.int/sites/default/files/NDC/2022-06/Lesotho%20First%20NDC.pdf</t>
    <phoneticPr fontId="7"/>
  </si>
  <si>
    <t>https://unfccc.int/sites/default/files/NDC/2022-06/Liberia%27s%20Updated%20NDC_RL_FINAL%20%28002%29.pdf</t>
    <phoneticPr fontId="7"/>
  </si>
  <si>
    <t>https://unfccc.int/sites/default/files/NDC/2022-06/NDC%202020%20of%20Lao%20PDR%20%28English%29%2C%2009%20April%202021%20%281%29.pdf</t>
    <phoneticPr fontId="7"/>
  </si>
  <si>
    <t>https://unfccc.int/sites/default/files/NDC/2022-06/%D0%9E%D0%9D%D0%A3%D0%92%20%D0%A0%D0%A3%D0%A1%20%D0%BE%D1%82%2008102021.pdf</t>
    <phoneticPr fontId="7"/>
  </si>
  <si>
    <t>https://unfccc.int/sites/default/files/NDC/2022-06/Monaco_NDC_2020.pdf</t>
    <phoneticPr fontId="7"/>
  </si>
  <si>
    <t>https://unfccc.int/sites/default/files/NDC/2022-06/NDC-Esp-30Dic.pdf</t>
    <phoneticPr fontId="7"/>
  </si>
  <si>
    <t>https://unfccc.int/sites/default/files/NDC/2022-06/Final%20Updated%20NDC%20for%20the%20Republic%20of%20Mauritius%2001%20October%202021.docx</t>
    <phoneticPr fontId="7"/>
  </si>
  <si>
    <t>https://unfccc.int/sites/default/files/NDC/2022-06/CDN-actualis%C3%A9%202021_%20Mauritania.pdf</t>
    <phoneticPr fontId="7"/>
  </si>
  <si>
    <t>https://unfccc.int/sites/default/files/NDC/2022-06/RMI%20NDC-UpdateUPDATED_01.20.2021.pdf</t>
    <phoneticPr fontId="7"/>
  </si>
  <si>
    <t>https://unfccc.int/sites/default/files/NDC/2022-06/NDC_File%20Amended%20_11222.pdf</t>
    <phoneticPr fontId="7"/>
  </si>
  <si>
    <t>https://unfccc.int/sites/default/files/NDC/2022-06/Niue%20INDC%20Final.pdf</t>
    <phoneticPr fontId="7"/>
  </si>
  <si>
    <t>https://unfccc.int/sites/default/files/NDC/2022-06/Norway_updatedNDC_2020%20%28Updated%20submission%29.pdf</t>
    <phoneticPr fontId="7"/>
  </si>
  <si>
    <t>https://unfccc.int/sites/default/files/NDC/2022-06/Second%20NDC%20Report%20Oman.pdf</t>
    <phoneticPr fontId="7"/>
  </si>
  <si>
    <t>https://unfccc.int/sites/default/files/NDC/2022-06/CDN_Niger_R%C3%A9vis%C3%A9e_2021.pdf</t>
    <phoneticPr fontId="7"/>
  </si>
  <si>
    <t>https://unfccc.int/sites/default/files/NDC/2022-06/Contribuciones_Nacionales_Determinadas_Nicaragua.pdf</t>
    <phoneticPr fontId="7"/>
  </si>
  <si>
    <t>https://unfccc.int/sites/default/files/NDC/2022-06/New%20Zealand%20NDC%20November%202021.pdf</t>
    <phoneticPr fontId="7"/>
  </si>
  <si>
    <t>https://unfccc.int/sites/default/files/NDC/2022-06/Second%20Nationally%20Determined%20Contribution%20%28NDC%29%20-%202020.pdf</t>
    <phoneticPr fontId="7"/>
  </si>
  <si>
    <t>https://unfccc.int/sites/default/files/NDC/2022-06/211223_The%20Republic%20of%20Korea%27s%20Enhanced%20Update%20of%20its%20First%20Nationally%20Determined%20Contribution_211227_editorial%20change.pdf</t>
  </si>
  <si>
    <t>https://unfccc.int/sites/default/files/NDC/2022-06/Eswatini%27s%20Revised%20NDC%2012%20Oct%202021.docx</t>
    <phoneticPr fontId="7"/>
  </si>
  <si>
    <t>Türkiye</t>
    <phoneticPr fontId="7"/>
  </si>
  <si>
    <t>https://unfccc.int/sites/default/files/NDC/2022-06/Zimbabwe%20Revised%20Nationally%20Determined%20Contribution%202021%20Final.pdf</t>
    <phoneticPr fontId="7"/>
  </si>
  <si>
    <t>https://unfccc.int/sites/default/files/NDC/2022-06/Final%20Zambia_Revised%20and%20Updated_NDC_2021_.pdf</t>
    <phoneticPr fontId="7"/>
  </si>
  <si>
    <t>https://unfccc.int/sites/default/files/NDC/2022-06/Viet%20Nam_NDC_2020_Eng.pdf</t>
    <phoneticPr fontId="7"/>
  </si>
  <si>
    <t>https://unfccc.int/sites/default/files/NDC/2022-06/Actualizacion%20NDC%20Venezuela.pdf</t>
    <phoneticPr fontId="7"/>
  </si>
  <si>
    <t>https://unfccc.int/sites/default/files/NDC/2022-08/Vanuatu%20NDC%20Revised%20and%20Enhanced.pdf</t>
    <phoneticPr fontId="7"/>
  </si>
  <si>
    <t>https://unfccc.int/sites/default/files/NDC/2022-06/Uzbekistan_Updated%20NDC_2021_RU.pdf</t>
    <phoneticPr fontId="7"/>
  </si>
  <si>
    <t>https://unfccc.int/sites/default/files/NDC/2022-06/Uruguay_Primera%20Contribuci%C3%B3n%20Determinada%20a%20nivel%20Nacional.pdf</t>
    <phoneticPr fontId="7"/>
  </si>
  <si>
    <t>https://unfccc.int/sites/default/files/NDC/2022-06/United%20States%20NDC%20April%2021%202021%20Final.pdf</t>
    <phoneticPr fontId="7"/>
  </si>
  <si>
    <t>https://unfccc.int/sites/default/files/NDC/2022-09/UK%20NDC%20ICTU%202022.pdf</t>
    <phoneticPr fontId="7"/>
  </si>
  <si>
    <t>https://unfccc.int/sites/default/files/NDC/2022-09/UpdateNDC-EN-2022.pdf</t>
    <phoneticPr fontId="7"/>
  </si>
  <si>
    <t>https://unfccc.int/sites/default/files/NDC/2022-06/Ukraine%20NDC_July%2031.pdf</t>
    <phoneticPr fontId="7"/>
  </si>
  <si>
    <t>https://unfccc.int/sites/default/files/NDC/2022-09/Updated%20NDC%20_Uganda_2022%20Final.pdf</t>
    <phoneticPr fontId="7"/>
  </si>
  <si>
    <t>https://unfccc.int/sites/default/files/NDC/2022-06/TUVALU%20INDC.pdf</t>
    <phoneticPr fontId="7"/>
  </si>
  <si>
    <t>https://unfccc.int/sites/default/files/NDC/2022-06/INDC_Turkmenistan.pdf</t>
    <phoneticPr fontId="7"/>
  </si>
  <si>
    <t>https://unfccc.int/sites/default/files/NDC/2022-06/The_INDC_of_TURKEY_v.15.19.30.pdf</t>
    <phoneticPr fontId="7"/>
  </si>
  <si>
    <t>https://unfccc.int/sites/default/files/NDC/2022-06/Tunisia%20Update%20NDC-french.pdf</t>
    <phoneticPr fontId="7"/>
  </si>
  <si>
    <t>https://unfccc.int/sites/default/files/NDC/2022-06/Trinidad%20and%20Tobago%20Final%20INDC.pdf</t>
    <phoneticPr fontId="7"/>
  </si>
  <si>
    <t>https://unfccc.int/sites/default/files/NDC/2022-06/Tonga%27s%20Second%20NDC.pdf</t>
    <phoneticPr fontId="7"/>
  </si>
  <si>
    <t>https://unfccc.int/sites/default/files/NDC/2022-06/CDN%20Revis%C3%A9es_Togo_Document%20int%C3%A9rimaire_rv_11%2010%2021.pdf</t>
    <phoneticPr fontId="7"/>
  </si>
  <si>
    <t>https://unfccc.int/sites/default/files/NDC/2022-06/Timor-Leste%20First%20NDC.pdf</t>
    <phoneticPr fontId="7"/>
  </si>
  <si>
    <t>https://unfccc.int/sites/default/files/NDC/2022-06/Thailand%20Updated%20NDC.pdf</t>
    <phoneticPr fontId="7"/>
  </si>
  <si>
    <t>https://unfccc.int/sites/default/files/NDC/2022-06/TANZANIA_NDC_SUBMISSION_30%20JULY%202021.pdf</t>
    <phoneticPr fontId="7"/>
  </si>
  <si>
    <t>https://unfccc.int/sites/default/files/NDC/2022-06/NDC_TAJIKISTAN_RUSS.pdf</t>
    <phoneticPr fontId="7"/>
  </si>
  <si>
    <t>https://unfccc.int/sites/default/files/NDC/2022-06/First%20NDC_Syrian%20Arab%20Republic.pdf</t>
    <phoneticPr fontId="7"/>
  </si>
  <si>
    <t>https://unfccc.int/sites/default/files/NDC/2022-06/Swiss%20NDC%202021-2030%20incl%20ICTU_December%202021.pdf</t>
    <phoneticPr fontId="7"/>
  </si>
  <si>
    <t>https://unfccc.int/sites/default/files/NDC/2022-06/Suriname%20Second%20NDC.pdf</t>
    <phoneticPr fontId="7"/>
  </si>
  <si>
    <t>https://unfccc.int/sites/default/files/NDC/2022-10/Sudan%20Updated%20First%20NDC-12102021.pdf</t>
    <phoneticPr fontId="7"/>
  </si>
  <si>
    <t>https://unfccc.int/sites/default/files/NDC/2022-06/Amendmend%20to%20the%20Updated%20Nationally%20Determined%20Contributions%20of%20Sri%20Lanka.pdf</t>
    <phoneticPr fontId="7"/>
  </si>
  <si>
    <t>https://unfccc.int/sites/default/files/NDC/2022-06/South%20Sudan%27s%20Second%20Nationally%20Determined%20Contribution.pdf</t>
    <phoneticPr fontId="7"/>
  </si>
  <si>
    <t>https://unfccc.int/sites/default/files/NDC/2022-06/South%20Africa%20updated%20first%20NDC%20September%202021.pdf</t>
    <phoneticPr fontId="7"/>
  </si>
  <si>
    <t>https://unfccc.int/sites/default/files/NDC/2022-06/Final%20Updated%20NDC%20for%20Somalia%202021.pdf</t>
    <phoneticPr fontId="7"/>
  </si>
  <si>
    <t>https://unfccc.int/sites/default/files/NDC/2022-06/NDC%20Report%202021%20Final%20Solomon%20Islands%20%281%29.pdf</t>
    <phoneticPr fontId="7"/>
  </si>
  <si>
    <t>https://unfccc.int/sites/default/files/NDC/2022-06/Singapore%27s%20Update%20of%201st%20NDC.pdf</t>
    <phoneticPr fontId="7"/>
  </si>
  <si>
    <t>https://unfccc.int/sites/default/files/NDC/2022-06/210804%202125%20SL%20NDC%20%281%29.pdf</t>
    <phoneticPr fontId="7"/>
  </si>
  <si>
    <t>https://unfccc.int/sites/default/files/NDC/2022-06/Seychelles%20-%20NDC_Jul30th%202021%20_Final.pdf</t>
    <phoneticPr fontId="7"/>
  </si>
  <si>
    <t>https://unfccc.int/sites/default/files/NDC/2022-08/NDC%20Final_Serbia%20english.pdf</t>
    <phoneticPr fontId="7"/>
  </si>
  <si>
    <t>https://unfccc.int/sites/default/files/NDC/2022-06/CDNSenegal%20approuv%C3%A9e-pdf-.pdf</t>
    <phoneticPr fontId="7"/>
  </si>
  <si>
    <t>https://unfccc.int/sites/default/files/resource/202203111154---KSA%20NDC%202021.pdf</t>
    <phoneticPr fontId="7"/>
  </si>
  <si>
    <t>https://unfccc.int/sites/default/files/NDC/2022-06/Updated_NDC_STP_2021_EN_.pdf</t>
    <phoneticPr fontId="7"/>
  </si>
  <si>
    <t>https://unfccc.int/sites/default/files/NDC/2022-06/SAN%20MARINO%20INDC%20EN.pdf</t>
    <phoneticPr fontId="7"/>
  </si>
  <si>
    <t>https://unfccc.int/sites/default/files/NDC/2022-06/Samoa%27s%20Second%20NDC%20for%20UNFCCC%20Submission.pdf</t>
    <phoneticPr fontId="7"/>
  </si>
  <si>
    <t>https://unfccc.int/sites/default/files/NDC/2022-06/Saint%20Vincent%20and%20the%20Grenadines_NDC.pdf</t>
    <phoneticPr fontId="7"/>
  </si>
  <si>
    <t>https://unfccc.int/sites/default/files/NDC/2022-06/Saint%20Lucia%20First%20NDC%20%28Updated%20submission%29.pdf</t>
    <phoneticPr fontId="7"/>
  </si>
  <si>
    <t>https://unfccc.int/sites/default/files/NDC/2022-06/St.%20Kitts%20and%20Nevis%20Revised%20NDC_Updated.pdf</t>
    <phoneticPr fontId="7"/>
  </si>
  <si>
    <t>https://unfccc.int/sites/default/files/NDC/2022-06/Rwanda_Updated_NDC_May_2020.pdf</t>
    <phoneticPr fontId="7"/>
  </si>
  <si>
    <t>https://unfccc.int/sites/default/files/NDC/2022-06/NDC_RF_ru.pdf</t>
    <phoneticPr fontId="7"/>
  </si>
  <si>
    <t>https://unfccc.int/sites/default/files/NDC/2022-06/Qatar%20NDC%20-%20Arabic.pdf</t>
    <phoneticPr fontId="7"/>
  </si>
  <si>
    <t>https://unfccc.int/sites/default/files/NDC/2022-06/Philippines%20-%20NDC.pdf</t>
    <phoneticPr fontId="7"/>
  </si>
  <si>
    <t>https://unfccc.int/sites/default/files/NDC/2022-06/Reporte%20de%20Actualizacio%CC%81n%20de%20las%20NDC%20del%20Peru%CC%81.pdf</t>
    <phoneticPr fontId="7"/>
  </si>
  <si>
    <t>https://unfccc.int/sites/default/files/NDC/2022-06/Actualizaci%C3%B3n-NDC%20VF%20PAG.%20WEB_MADES%20Mayo%202022.pdf</t>
    <phoneticPr fontId="7"/>
  </si>
  <si>
    <t>https://unfccc.int/sites/default/files/NDC/2022-06/PNG%20Second%20NDC.pdf</t>
    <phoneticPr fontId="7"/>
  </si>
  <si>
    <t>https://unfccc.int/sites/default/files/NDC/2022-06/CDN1%20Actualizada%20Rep%C3%BAblica%20de%20Panam%C3%A1.pdf</t>
    <phoneticPr fontId="7"/>
  </si>
  <si>
    <t>https://unfccc.int/sites/default/files/NDC/2022-06/Updated%20NDC_%20State%20of%20Palestine_2021_FINAL.pdf</t>
    <phoneticPr fontId="7"/>
  </si>
  <si>
    <t>https://unfccc.int/sites/default/files/NDC/2022-06/Palau_INDC.Final%20Copy.pdf</t>
    <phoneticPr fontId="7"/>
  </si>
  <si>
    <t>https://unfccc.int/sites/default/files/NDC/2022-06/Pakistan%20Updated%20NDC%202021.pdf</t>
    <phoneticPr fontId="7"/>
  </si>
  <si>
    <t>https://unfccc.int/sites/default/files/NDC/2022-06/Nauru%20Updated%20NDC%20pdf.pdf</t>
    <phoneticPr fontId="7"/>
  </si>
  <si>
    <t>https://unfccc.int/sites/default/files/NDC/2022-06/Namibia%27s%20Updated%20NDC_%20FINAL%2025%20July%202021.pdf</t>
    <phoneticPr fontId="7"/>
  </si>
  <si>
    <t>https://unfccc.int/sites/default/files/NDC/2022-06/Myanmar%20Updated%20%20NDC%20July%202021.pdf</t>
    <phoneticPr fontId="7"/>
  </si>
  <si>
    <t>https://unfccc.int/sites/default/files/NDC/2022-06/NDC_EN_Final.pdf</t>
    <phoneticPr fontId="7"/>
  </si>
  <si>
    <t>https://unfccc.int/sites/default/files/NDC/2022-06/Moroccan%20updated%20NDC%202021%20_Fr.pdf</t>
    <phoneticPr fontId="7"/>
  </si>
  <si>
    <t>https://unfccc.int/sites/default/files/NDC/2022-06/Updated%20NDC%20for%20Montenegro.pdf</t>
    <phoneticPr fontId="7"/>
  </si>
  <si>
    <t>https://unfccc.int/sites/default/files/NDC/2022-06/First%20Submission%20of%20Mongolia%27s%20NDC.pdf</t>
    <phoneticPr fontId="7"/>
  </si>
  <si>
    <t>https://unfccc.int/sites/default/files/NDC/2022-06/MD_Updated_NDC_final_version_EN.pdf</t>
    <phoneticPr fontId="7"/>
  </si>
  <si>
    <t>https://unfccc.int/sites/default/files/NDC/2022-06/MALI%20First%20NDC%20update.pdf</t>
    <phoneticPr fontId="7"/>
  </si>
  <si>
    <t>https://unfccc.int/sites/default/files/NDC/2022-06/Maldives%20Nationally%20Determined%20Contribution%202020.pdf</t>
    <phoneticPr fontId="7"/>
  </si>
  <si>
    <t>https://unfccc.int/sites/default/files/NDC/2022-06/Malaysia%20NDC%20Updated%20Submission%20to%20UNFCCC%20July%202021%20final.pdf</t>
    <phoneticPr fontId="7"/>
  </si>
  <si>
    <t>https://unfccc.int/sites/default/files/NDC/2022-06/Macedonian%20enhanced%20NDC%20%28002%29.pdf</t>
    <phoneticPr fontId="7"/>
  </si>
  <si>
    <t>https://unfccc.int/sites/default/files/NDC/2022-06/Lebanon%27s%202020%20Nationally%20Determined%20Contribution%20Update.pdf</t>
    <phoneticPr fontId="7"/>
  </si>
  <si>
    <t>https://unfccc.int/sites/default/files/NDC/2022-09/ENDC%20Indonesia.pdf</t>
    <phoneticPr fontId="7"/>
  </si>
  <si>
    <t>Venezuela (Bolivarian Republic of)</t>
    <phoneticPr fontId="7"/>
  </si>
  <si>
    <t>United Republic of Tanzania</t>
    <phoneticPr fontId="7"/>
  </si>
  <si>
    <t>United Arab Emirates (UAE)</t>
    <phoneticPr fontId="7"/>
  </si>
  <si>
    <t>United Kingdom (UK)</t>
    <phoneticPr fontId="7"/>
  </si>
  <si>
    <t>Syrian Arab Republic</t>
    <phoneticPr fontId="7"/>
  </si>
  <si>
    <t>Eswatini</t>
    <phoneticPr fontId="7"/>
  </si>
  <si>
    <t>Republic of Moldova</t>
    <phoneticPr fontId="7"/>
  </si>
  <si>
    <t>Republic of Korea</t>
    <phoneticPr fontId="7"/>
  </si>
  <si>
    <t>Democratic People's Republic of Korea</t>
    <phoneticPr fontId="7"/>
  </si>
  <si>
    <t>Democratic Republic of Congo</t>
    <phoneticPr fontId="7"/>
  </si>
  <si>
    <t>Congo</t>
    <phoneticPr fontId="7"/>
  </si>
  <si>
    <t>(Updated) First NDC submitted</t>
    <phoneticPr fontId="7"/>
  </si>
  <si>
    <t>(Updated) Second NDC submitted</t>
    <phoneticPr fontId="7"/>
  </si>
  <si>
    <t>Argentina, Bhutan, Gambia, Grenada, Marshall Islands, Nepal, Oman, Papua New Guinea, Samoa, South Sudan, Suriname, Tonga, UAE</t>
    <phoneticPr fontId="7"/>
  </si>
  <si>
    <t>State of Palestine</t>
    <phoneticPr fontId="7"/>
  </si>
  <si>
    <t xml:space="preserve"> Democratic republic of Congo</t>
    <phoneticPr fontId="7"/>
  </si>
  <si>
    <t>https://unfccc.int/sites/default/files/NDC/2022-10/Updated_NDC_of_the_Federated_States_of_Micronesia.pdf</t>
    <phoneticPr fontId="7"/>
  </si>
  <si>
    <t>65% from electricity generation</t>
    <phoneticPr fontId="7"/>
  </si>
  <si>
    <t>N/A</t>
    <phoneticPr fontId="7"/>
  </si>
  <si>
    <t>・By 2030, increase access to electricity to 100% nationwide
・By 2030, increase electricity generation from renewable energy to more than 70% of total generation
・By 2030, reduce carbon dioxide emissions from electricity generation by more than 65% below 2000 levels
・Meet Kigali Amendment HFC phase down commitments (in advance of schedule if possible)
・By 2030, reduce black carbon and methane emissions related to diesel electric generation by more than 65% below 2000 levels</t>
    <phoneticPr fontId="7"/>
  </si>
  <si>
    <t>・By 2030, provide universal access to clean drinking water through refurbishment of existing water infrastructure and extension of network to unserved and underserved areas
・By 2030, effectively manage 50% of marine resources and 30% of terrestrial resources, including restricting commercial fishing in up to 30% of the FSM marine environment
・By 2030, climate-proof all major island ring roads, airport access roads, and arterial roads
・By 2030, establish a surveillance system, including a laboratory facility, to detect and monitor VBD, WBD, and FBD to enable rapid response and control of outbreaks
・By 2025, complete an update of the National Disaster Response Plan</t>
    <phoneticPr fontId="7"/>
  </si>
  <si>
    <t>Yes</t>
    <phoneticPr fontId="7"/>
  </si>
  <si>
    <t>Energy efficieicny: The FSM National Energy Master Plans estimate an approximate cost of USD 296 million toimplement the plans over a 20-year period, plus an added cost of approximately 5% of the total
budget to provide additional capacity building and technical assistance—e.g., for coordinating and
monitoring implementation—over the course of the projects.</t>
    <phoneticPr fontId="7"/>
  </si>
  <si>
    <t>second NDCs submitted</t>
    <phoneticPr fontId="7"/>
  </si>
  <si>
    <t>Eritrea, Iran, Libya, Yemen</t>
    <phoneticPr fontId="7"/>
  </si>
  <si>
    <t>Parties not submitted INDCs: Libya, Nicaragua, Palestine, Syria</t>
    <phoneticPr fontId="7"/>
  </si>
  <si>
    <t>Table 2: GHG Emissions in different types of gas (for those submitted NDCs and noted in NDCs)</t>
    <phoneticPr fontId="7"/>
  </si>
  <si>
    <r>
      <t xml:space="preserve">Table 3: NDC mitigation coverage </t>
    </r>
    <r>
      <rPr>
        <sz val="12"/>
        <color theme="0"/>
        <rFont val="ＭＳ Ｐゴシック"/>
        <family val="2"/>
        <scheme val="minor"/>
      </rPr>
      <t>(in number of Parties)</t>
    </r>
    <phoneticPr fontId="7"/>
  </si>
  <si>
    <r>
      <t xml:space="preserve">Table 4: Mitigation Targets in NDCs </t>
    </r>
    <r>
      <rPr>
        <sz val="11"/>
        <color theme="0"/>
        <rFont val="ＭＳ Ｐゴシック"/>
        <family val="2"/>
        <scheme val="minor"/>
      </rPr>
      <t>(in number of Parties)</t>
    </r>
    <phoneticPr fontId="7"/>
  </si>
  <si>
    <t>Table 5: Quantified Financial Needs</t>
    <phoneticPr fontId="7"/>
  </si>
  <si>
    <r>
      <t xml:space="preserve">Table 6: Use of Market Mechanisms </t>
    </r>
    <r>
      <rPr>
        <sz val="11"/>
        <color theme="0"/>
        <rFont val="ＭＳ Ｐゴシック"/>
        <family val="2"/>
        <scheme val="minor"/>
      </rPr>
      <t>(in number of Parties)</t>
    </r>
    <phoneticPr fontId="7"/>
  </si>
  <si>
    <r>
      <t xml:space="preserve">Table 7: Implementation period of NDCs </t>
    </r>
    <r>
      <rPr>
        <sz val="11"/>
        <color theme="0"/>
        <rFont val="ＭＳ Ｐゴシック"/>
        <family val="2"/>
        <scheme val="minor"/>
      </rPr>
      <t>(in number of Parties)</t>
    </r>
    <phoneticPr fontId="7"/>
  </si>
  <si>
    <t xml:space="preserve">This section offers an overview of the status of accession and acceptance of the Paris Agreement by each country by showing if the agreement has been signed, signed and ratified, or remains unsigned.   </t>
    <phoneticPr fontId="7"/>
  </si>
  <si>
    <t>- NDCs documents can be found on the submission page of the UNFCCC Secretariat website:
https://unfccc.int/NDCREG
- INDCs documents can be found on the submission page of the UNFCCC Secretariat website:
https://www4.unfccc.int/sites/submissions/INDC/Submission%20Pages/submissions.aspx
- Information on ratification, acceptance and approval of the Paris Agreement can be found at the United Nation treaty Collection: https://treaties.un.org/Pages/ViewDetails.aspx?src=TREATY&amp;mtdsg_no=XXVII-7-d&amp;chapter=27&amp;clang=_en    
- Information on ratification, acceptance and approval of the Kyoto Protocol can be found at the United Nation treaty Collection: https://treaties.un.org/Pages/ViewDetails.aspx?src=TREATY&amp;mtdsg_no=XXVII-7-a&amp;chapter=27&amp;clang=_en  
- Undertakings in adaptation planning communicated by Parties, submitted separately from NDCs, can be found at: http://unfccc.int/focus/adaptation/undertakings_in_adaptation_planning/items/8932.php 
- The list of UNFCCC Annex I countries can be found at: http://unfccc.int/parties_and_observers/parties/annex_i/items/2774.php
- The list of UNFCCC Non-Annex I countries countries can be found at: http://unfccc.int/parties_and_observers/parties/non_annex_i/items/2833.php</t>
    <phoneticPr fontId="7"/>
  </si>
  <si>
    <t>・Updated information of Argentina, Australia, Brazil, Bolivia, Central African Republic, China, Comoros, Côte d'Ivoire, Democratic Republic of Congo, Dominica, Egypt, El Salvador, Gabon, Ghana, Guatemala, Haiti, India, Indonesia, Micronesia, Mozambique, New Zealand, Niger, Republic of Korea, Saint Kitts and Nevis, Saudi Arabia, Serbia, Sudan, Switzerland, UAE, Uganda, UK, Uzbekistan, Vanuatu, Venezuela</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</si>
</sst>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numFmt numFmtId="177" formatCode="0.0%"/>
    <numFmt numFmtId="178" formatCode="0_);[Red]\(0\)"/>
    <numFmt numFmtId="179" formatCode="#,##0.0;[Red]\-#,##0.0"/>
    <numFmt numFmtId="180" formatCode="0.0000000000000%"/>
    <numFmt numFmtId="181" formatCode="0.0_ "/>
  </numFmts>
  <fonts count="58">
    <font>
      <sz val="11"/>
      <color theme="1"/>
      <name val="ＭＳ Ｐゴシック"/>
      <family val="2"/>
      <scheme val="minor"/>
    </font>
    <font>
      <sz val="11"/>
      <color theme="1"/>
      <name val="ＭＳ Ｐゴシック"/>
      <family val="2"/>
      <scheme val="minor"/>
    </font>
    <font>
      <sz val="18"/>
      <color theme="3"/>
      <name val="ＭＳ Ｐゴシック"/>
      <family val="2"/>
      <scheme val="major"/>
    </font>
    <font>
      <b/>
      <sz val="11"/>
      <color theme="1"/>
      <name val="ＭＳ Ｐゴシック"/>
      <family val="2"/>
      <scheme val="minor"/>
    </font>
    <font>
      <i/>
      <sz val="11"/>
      <color theme="1"/>
      <name val="ＭＳ Ｐゴシック"/>
      <family val="2"/>
      <scheme val="minor"/>
    </font>
    <font>
      <u/>
      <sz val="11"/>
      <color theme="10"/>
      <name val="ＭＳ Ｐゴシック"/>
      <family val="2"/>
      <scheme val="minor"/>
    </font>
    <font>
      <sz val="11"/>
      <name val="ＭＳ Ｐゴシック"/>
      <family val="2"/>
      <scheme val="minor"/>
    </font>
    <font>
      <sz val="6"/>
      <name val="ＭＳ Ｐゴシック"/>
      <family val="3"/>
      <charset val="128"/>
      <scheme val="minor"/>
    </font>
    <font>
      <sz val="12"/>
      <name val="ＭＳ Ｐゴシック"/>
      <family val="2"/>
      <scheme val="minor"/>
    </font>
    <font>
      <b/>
      <sz val="12"/>
      <color theme="1"/>
      <name val="ＭＳ Ｐゴシック"/>
      <family val="2"/>
      <scheme val="minor"/>
    </font>
    <font>
      <sz val="11"/>
      <color theme="0"/>
      <name val="ＭＳ Ｐゴシック"/>
      <family val="2"/>
      <scheme val="minor"/>
    </font>
    <font>
      <sz val="10"/>
      <color theme="1"/>
      <name val="ＭＳ Ｐゴシック"/>
      <family val="2"/>
      <scheme val="minor"/>
    </font>
    <font>
      <sz val="10"/>
      <name val="ＭＳ Ｐゴシック"/>
      <family val="2"/>
      <scheme val="minor"/>
    </font>
    <font>
      <b/>
      <sz val="11"/>
      <name val="ＭＳ Ｐゴシック"/>
      <family val="2"/>
      <scheme val="minor"/>
    </font>
    <font>
      <b/>
      <sz val="14"/>
      <color theme="1"/>
      <name val="ＭＳ Ｐゴシック"/>
      <family val="2"/>
      <scheme val="minor"/>
    </font>
    <font>
      <sz val="10"/>
      <color rgb="FF000000"/>
      <name val="ＭＳ Ｐゴシック"/>
      <family val="2"/>
      <scheme val="minor"/>
    </font>
    <font>
      <b/>
      <sz val="12"/>
      <color theme="0"/>
      <name val="ＭＳ Ｐゴシック"/>
      <family val="2"/>
      <scheme val="minor"/>
    </font>
    <font>
      <sz val="12"/>
      <color theme="0"/>
      <name val="ＭＳ Ｐゴシック"/>
      <family val="2"/>
      <scheme val="minor"/>
    </font>
    <font>
      <sz val="12"/>
      <color theme="1"/>
      <name val="ＭＳ Ｐゴシック"/>
      <family val="2"/>
      <scheme val="minor"/>
    </font>
    <font>
      <sz val="12"/>
      <name val="ＭＳ Ｐゴシック"/>
      <family val="2"/>
      <scheme val="major"/>
    </font>
    <font>
      <b/>
      <sz val="18"/>
      <color rgb="FF324851"/>
      <name val="ＭＳ Ｐゴシック"/>
      <family val="2"/>
      <scheme val="minor"/>
    </font>
    <font>
      <b/>
      <sz val="14"/>
      <color theme="0"/>
      <name val="ＭＳ Ｐゴシック"/>
      <family val="2"/>
      <scheme val="minor"/>
    </font>
    <font>
      <sz val="13"/>
      <color theme="1"/>
      <name val="ＭＳ Ｐゴシック"/>
      <family val="2"/>
      <scheme val="minor"/>
    </font>
    <font>
      <i/>
      <sz val="12"/>
      <color theme="1"/>
      <name val="ＭＳ Ｐゴシック"/>
      <family val="2"/>
      <scheme val="minor"/>
    </font>
    <font>
      <b/>
      <u/>
      <sz val="12"/>
      <color theme="4" tint="-0.499984740745262"/>
      <name val="ＭＳ Ｐゴシック"/>
      <family val="2"/>
      <scheme val="minor"/>
    </font>
    <font>
      <sz val="10"/>
      <name val="ＭＳ Ｐゴシック"/>
      <family val="2"/>
      <scheme val="major"/>
    </font>
    <font>
      <sz val="9"/>
      <color theme="1"/>
      <name val="ＭＳ Ｐゴシック"/>
      <family val="2"/>
      <scheme val="minor"/>
    </font>
    <font>
      <sz val="9"/>
      <name val="ＭＳ Ｐゴシック"/>
      <family val="2"/>
      <scheme val="minor"/>
    </font>
    <font>
      <b/>
      <sz val="14"/>
      <color rgb="FF324851"/>
      <name val="ＭＳ Ｐゴシック"/>
      <family val="2"/>
      <scheme val="minor"/>
    </font>
    <font>
      <b/>
      <sz val="12"/>
      <name val="ＭＳ Ｐゴシック"/>
      <family val="2"/>
      <scheme val="minor"/>
    </font>
    <font>
      <sz val="20"/>
      <color theme="0"/>
      <name val="ＭＳ Ｐゴシック"/>
      <family val="2"/>
      <scheme val="minor"/>
    </font>
    <font>
      <sz val="9"/>
      <color indexed="81"/>
      <name val="MS P ゴシック"/>
      <family val="3"/>
      <charset val="128"/>
    </font>
    <font>
      <b/>
      <sz val="9"/>
      <color indexed="81"/>
      <name val="MS P ゴシック"/>
      <family val="3"/>
      <charset val="128"/>
    </font>
    <font>
      <sz val="10"/>
      <name val="ＭＳ Ｐゴシック"/>
      <family val="3"/>
      <charset val="128"/>
      <scheme val="minor"/>
    </font>
    <font>
      <b/>
      <sz val="11"/>
      <color theme="1"/>
      <name val="ＭＳ Ｐゴシック"/>
      <family val="3"/>
      <charset val="128"/>
      <scheme val="minor"/>
    </font>
    <font>
      <u/>
      <sz val="9"/>
      <color theme="10"/>
      <name val="ＭＳ Ｐゴシック"/>
      <family val="3"/>
      <charset val="128"/>
      <scheme val="minor"/>
    </font>
    <font>
      <sz val="12"/>
      <name val="ＭＳ Ｐゴシック"/>
      <family val="3"/>
      <charset val="128"/>
      <scheme val="minor"/>
    </font>
    <font>
      <sz val="11"/>
      <name val="ＭＳ Ｐゴシック"/>
      <family val="3"/>
      <charset val="128"/>
      <scheme val="minor"/>
    </font>
    <font>
      <sz val="9"/>
      <color theme="1"/>
      <name val="ＭＳ Ｐゴシック"/>
      <family val="3"/>
      <charset val="128"/>
      <scheme val="minor"/>
    </font>
    <font>
      <i/>
      <sz val="9"/>
      <color theme="1"/>
      <name val="ＭＳ Ｐゴシック"/>
      <family val="3"/>
      <charset val="128"/>
      <scheme val="minor"/>
    </font>
    <font>
      <u/>
      <sz val="9.5"/>
      <color theme="10"/>
      <name val="ＭＳ Ｐゴシック"/>
      <family val="3"/>
      <charset val="128"/>
      <scheme val="minor"/>
    </font>
    <font>
      <sz val="9.5"/>
      <color theme="1"/>
      <name val="ＭＳ Ｐゴシック"/>
      <family val="3"/>
      <charset val="128"/>
      <scheme val="minor"/>
    </font>
    <font>
      <u/>
      <sz val="9.5"/>
      <color theme="10"/>
      <name val="ＭＳ Ｐゴシック"/>
      <family val="2"/>
      <scheme val="minor"/>
    </font>
    <font>
      <sz val="9.5"/>
      <color rgb="FF000000"/>
      <name val="ＭＳ Ｐゴシック"/>
      <family val="3"/>
      <charset val="128"/>
      <scheme val="minor"/>
    </font>
    <font>
      <sz val="11"/>
      <color theme="1"/>
      <name val="ＭＳ Ｐゴシック"/>
      <family val="3"/>
      <charset val="128"/>
      <scheme val="minor"/>
    </font>
    <font>
      <sz val="11"/>
      <color rgb="FF006100"/>
      <name val="HGPｺﾞｼｯｸM"/>
      <family val="2"/>
      <charset val="128"/>
    </font>
    <font>
      <sz val="9.5"/>
      <name val="ＭＳ Ｐゴシック"/>
      <family val="3"/>
      <charset val="128"/>
      <scheme val="minor"/>
    </font>
    <font>
      <b/>
      <sz val="11"/>
      <color rgb="FF006100"/>
      <name val="ＭＳ Ｐゴシック"/>
      <family val="3"/>
      <charset val="128"/>
      <scheme val="minor"/>
    </font>
    <font>
      <sz val="10"/>
      <color theme="1"/>
      <name val="ＭＳ Ｐゴシック"/>
      <family val="3"/>
      <charset val="128"/>
      <scheme val="minor"/>
    </font>
    <font>
      <b/>
      <sz val="10"/>
      <color theme="1"/>
      <name val="ＭＳ Ｐゴシック"/>
      <family val="3"/>
      <charset val="128"/>
      <scheme val="minor"/>
    </font>
    <font>
      <sz val="10"/>
      <name val="ＭＳ Ｐゴシック"/>
      <family val="3"/>
      <charset val="128"/>
      <scheme val="major"/>
    </font>
    <font>
      <b/>
      <sz val="9.5"/>
      <name val="ＭＳ Ｐゴシック"/>
      <family val="3"/>
      <charset val="128"/>
      <scheme val="minor"/>
    </font>
    <font>
      <b/>
      <sz val="12"/>
      <name val="ＭＳ Ｐゴシック"/>
      <family val="3"/>
      <charset val="128"/>
      <scheme val="minor"/>
    </font>
    <font>
      <b/>
      <sz val="6"/>
      <color indexed="81"/>
      <name val="MS P ゴシック"/>
      <family val="3"/>
      <charset val="128"/>
    </font>
    <font>
      <b/>
      <sz val="10"/>
      <name val="ＭＳ Ｐゴシック"/>
      <family val="2"/>
      <scheme val="minor"/>
    </font>
    <font>
      <b/>
      <sz val="10"/>
      <name val="ＭＳ Ｐゴシック"/>
      <family val="3"/>
      <charset val="128"/>
      <scheme val="minor"/>
    </font>
    <font>
      <sz val="10"/>
      <color theme="1"/>
      <name val="Wingdings"/>
      <family val="2"/>
      <charset val="2"/>
    </font>
    <font>
      <u/>
      <sz val="10"/>
      <color theme="10"/>
      <name val="ＭＳ Ｐゴシック"/>
      <family val="3"/>
      <charset val="128"/>
      <scheme val="minor"/>
    </font>
  </fonts>
  <fills count="19">
    <fill>
      <patternFill patternType="none"/>
    </fill>
    <fill>
      <patternFill patternType="gray125"/>
    </fill>
    <fill>
      <patternFill patternType="solid">
        <fgColor theme="9" tint="0.59999389629810485"/>
        <bgColor indexed="65"/>
      </patternFill>
    </fill>
    <fill>
      <patternFill patternType="solid">
        <fgColor theme="9"/>
        <bgColor indexed="64"/>
      </patternFill>
    </fill>
    <fill>
      <patternFill patternType="solid">
        <fgColor theme="7"/>
        <bgColor indexed="64"/>
      </patternFill>
    </fill>
    <fill>
      <patternFill patternType="solid">
        <fgColor theme="5" tint="-0.249977111117893"/>
        <bgColor indexed="64"/>
      </patternFill>
    </fill>
    <fill>
      <patternFill patternType="solid">
        <fgColor theme="4"/>
        <bgColor indexed="64"/>
      </patternFill>
    </fill>
    <fill>
      <patternFill patternType="solid">
        <fgColor rgb="FF00B0F0"/>
        <bgColor indexed="64"/>
      </patternFill>
    </fill>
    <fill>
      <patternFill patternType="solid">
        <fgColor theme="0"/>
        <bgColor indexed="64"/>
      </patternFill>
    </fill>
    <fill>
      <patternFill patternType="solid">
        <fgColor rgb="FFEC6C32"/>
        <bgColor indexed="64"/>
      </patternFill>
    </fill>
    <fill>
      <patternFill patternType="solid">
        <fgColor rgb="FFC1803F"/>
        <bgColor indexed="64"/>
      </patternFill>
    </fill>
    <fill>
      <patternFill patternType="solid">
        <fgColor rgb="FFB381D9"/>
        <bgColor indexed="64"/>
      </patternFill>
    </fill>
    <fill>
      <patternFill patternType="solid">
        <fgColor theme="4" tint="0.39997558519241921"/>
        <bgColor indexed="65"/>
      </patternFill>
    </fill>
    <fill>
      <patternFill patternType="solid">
        <fgColor rgb="FF324851"/>
        <bgColor indexed="64"/>
      </patternFill>
    </fill>
    <fill>
      <patternFill patternType="solid">
        <fgColor rgb="FF75B1A9"/>
        <bgColor indexed="64"/>
      </patternFill>
    </fill>
    <fill>
      <patternFill patternType="solid">
        <fgColor rgb="FF9FC9C3"/>
        <bgColor indexed="64"/>
      </patternFill>
    </fill>
    <fill>
      <patternFill patternType="solid">
        <fgColor rgb="FF9AC6C0"/>
        <bgColor indexed="64"/>
      </patternFill>
    </fill>
    <fill>
      <patternFill patternType="solid">
        <fgColor rgb="FF62A69C"/>
        <bgColor indexed="64"/>
      </patternFill>
    </fill>
    <fill>
      <patternFill patternType="solid">
        <fgColor rgb="FFC6EFCE"/>
      </patternFill>
    </fill>
  </fills>
  <borders count="110">
    <border>
      <left/>
      <right/>
      <top/>
      <bottom/>
      <diagonal/>
    </border>
    <border>
      <left/>
      <right/>
      <top style="thin">
        <color indexed="64"/>
      </top>
      <bottom/>
      <diagonal/>
    </border>
    <border>
      <left/>
      <right/>
      <top/>
      <bottom style="thin">
        <color indexed="64"/>
      </bottom>
      <diagonal/>
    </border>
    <border>
      <left style="thin">
        <color theme="6"/>
      </left>
      <right style="thin">
        <color theme="6"/>
      </right>
      <top/>
      <bottom/>
      <diagonal/>
    </border>
    <border>
      <left/>
      <right style="thin">
        <color indexed="64"/>
      </right>
      <top style="thin">
        <color indexed="64"/>
      </top>
      <bottom style="thin">
        <color indexed="64"/>
      </bottom>
      <diagonal/>
    </border>
    <border diagonalDown="1">
      <left style="thin">
        <color indexed="64"/>
      </left>
      <right style="thin">
        <color theme="0" tint="-0.249977111117893"/>
      </right>
      <top style="thin">
        <color indexed="64"/>
      </top>
      <bottom style="thin">
        <color theme="0" tint="-0.249977111117893"/>
      </bottom>
      <diagonal style="thin">
        <color auto="1"/>
      </diagonal>
    </border>
    <border>
      <left/>
      <right style="thin">
        <color theme="0" tint="-0.249977111117893"/>
      </right>
      <top style="thin">
        <color indexed="64"/>
      </top>
      <bottom/>
      <diagonal/>
    </border>
    <border>
      <left style="thin">
        <color theme="0" tint="-0.249977111117893"/>
      </left>
      <right style="thin">
        <color theme="0" tint="-0.249977111117893"/>
      </right>
      <top style="thin">
        <color indexed="64"/>
      </top>
      <bottom/>
      <diagonal/>
    </border>
    <border>
      <left style="thin">
        <color theme="0" tint="-0.249977111117893"/>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n">
        <color theme="0" tint="-0.249977111117893"/>
      </top>
      <bottom/>
      <diagonal/>
    </border>
    <border>
      <left style="thin">
        <color theme="6"/>
      </left>
      <right style="thin">
        <color theme="6"/>
      </right>
      <top/>
      <bottom style="medium">
        <color indexed="64"/>
      </bottom>
      <diagonal/>
    </border>
    <border>
      <left style="thin">
        <color theme="6"/>
      </left>
      <right/>
      <top/>
      <bottom style="medium">
        <color indexed="64"/>
      </bottom>
      <diagonal/>
    </border>
    <border>
      <left/>
      <right style="thin">
        <color indexed="64"/>
      </right>
      <top/>
      <bottom style="thin">
        <color theme="0" tint="-0.34998626667073579"/>
      </bottom>
      <diagonal/>
    </border>
    <border>
      <left/>
      <right/>
      <top/>
      <bottom style="thin">
        <color theme="0" tint="-0.34998626667073579"/>
      </bottom>
      <diagonal/>
    </border>
    <border>
      <left/>
      <right style="thin">
        <color theme="6"/>
      </right>
      <top/>
      <bottom style="medium">
        <color indexed="64"/>
      </bottom>
      <diagonal/>
    </border>
    <border>
      <left/>
      <right/>
      <top style="thin">
        <color theme="0" tint="-0.14999847407452621"/>
      </top>
      <bottom/>
      <diagonal/>
    </border>
    <border>
      <left/>
      <right style="thin">
        <color theme="0" tint="-0.14999847407452621"/>
      </right>
      <top style="thin">
        <color indexed="64"/>
      </top>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indexed="64"/>
      </left>
      <right/>
      <top style="thin">
        <color indexed="64"/>
      </top>
      <bottom/>
      <diagonal/>
    </border>
    <border>
      <left style="thin">
        <color indexed="64"/>
      </left>
      <right style="thin">
        <color theme="0" tint="-0.249977111117893"/>
      </right>
      <top style="thin">
        <color theme="0" tint="-0.249977111117893"/>
      </top>
      <bottom style="thin">
        <color indexed="64"/>
      </bottom>
      <diagonal/>
    </border>
    <border>
      <left style="thin">
        <color theme="0" tint="-0.34998626667073579"/>
      </left>
      <right/>
      <top style="thin">
        <color theme="0" tint="-0.34998626667073579"/>
      </top>
      <bottom style="medium">
        <color indexed="64"/>
      </bottom>
      <diagonal/>
    </border>
    <border>
      <left/>
      <right/>
      <top style="thin">
        <color theme="0" tint="-0.34998626667073579"/>
      </top>
      <bottom style="medium">
        <color indexed="64"/>
      </bottom>
      <diagonal/>
    </border>
    <border>
      <left style="thin">
        <color indexed="64"/>
      </left>
      <right style="thin">
        <color theme="0" tint="-0.249977111117893"/>
      </right>
      <top/>
      <bottom style="thin">
        <color theme="0" tint="-0.249977111117893"/>
      </bottom>
      <diagonal/>
    </border>
    <border diagonalDown="1">
      <left style="thin">
        <color indexed="64"/>
      </left>
      <right style="thin">
        <color theme="0" tint="-0.249977111117893"/>
      </right>
      <top style="thin">
        <color indexed="64"/>
      </top>
      <bottom style="thin">
        <color indexed="64"/>
      </bottom>
      <diagonal style="thin">
        <color auto="1"/>
      </diagonal>
    </border>
    <border>
      <left style="thin">
        <color theme="0" tint="-0.249977111117893"/>
      </left>
      <right/>
      <top/>
      <bottom style="thin">
        <color indexed="64"/>
      </bottom>
      <diagonal/>
    </border>
    <border>
      <left/>
      <right style="thin">
        <color theme="0"/>
      </right>
      <top/>
      <bottom style="medium">
        <color indexed="64"/>
      </bottom>
      <diagonal/>
    </border>
    <border>
      <left/>
      <right style="thin">
        <color theme="0"/>
      </right>
      <top/>
      <bottom/>
      <diagonal/>
    </border>
    <border>
      <left style="thin">
        <color theme="0"/>
      </left>
      <right/>
      <top/>
      <bottom/>
      <diagonal/>
    </border>
    <border>
      <left style="thin">
        <color indexed="64"/>
      </left>
      <right/>
      <top/>
      <bottom/>
      <diagonal/>
    </border>
    <border>
      <left/>
      <right style="thin">
        <color indexed="64"/>
      </right>
      <top/>
      <bottom style="medium">
        <color indexed="64"/>
      </bottom>
      <diagonal/>
    </border>
    <border>
      <left/>
      <right style="thin">
        <color theme="0" tint="-0.499984740745262"/>
      </right>
      <top/>
      <bottom/>
      <diagonal/>
    </border>
    <border>
      <left/>
      <right style="thin">
        <color theme="0" tint="-0.499984740745262"/>
      </right>
      <top/>
      <bottom style="thin">
        <color indexed="64"/>
      </bottom>
      <diagonal/>
    </border>
    <border>
      <left/>
      <right style="thin">
        <color theme="0" tint="-0.34998626667073579"/>
      </right>
      <top style="thin">
        <color theme="0" tint="-0.34998626667073579"/>
      </top>
      <bottom style="medium">
        <color indexed="64"/>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right/>
      <top style="thin">
        <color theme="0" tint="-0.249977111117893"/>
      </top>
      <bottom style="thin">
        <color indexed="64"/>
      </bottom>
      <diagonal/>
    </border>
    <border>
      <left/>
      <right style="thin">
        <color indexed="64"/>
      </right>
      <top style="thin">
        <color theme="0" tint="-0.249977111117893"/>
      </top>
      <bottom style="thin">
        <color indexed="64"/>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indexed="64"/>
      </right>
      <top/>
      <bottom style="thin">
        <color theme="0" tint="-0.249977111117893"/>
      </bottom>
      <diagonal/>
    </border>
    <border>
      <left style="thin">
        <color indexed="64"/>
      </left>
      <right style="thin">
        <color theme="0" tint="-0.249977111117893"/>
      </right>
      <top/>
      <bottom/>
      <diagonal/>
    </border>
    <border>
      <left style="thin">
        <color theme="0" tint="-0.249977111117893"/>
      </left>
      <right/>
      <top style="thin">
        <color theme="0" tint="-0.249977111117893"/>
      </top>
      <bottom/>
      <diagonal/>
    </border>
    <border>
      <left/>
      <right style="thin">
        <color theme="0" tint="-0.249977111117893"/>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bottom style="thin">
        <color theme="0" tint="-0.249977111117893"/>
      </bottom>
      <diagonal/>
    </border>
    <border>
      <left style="thin">
        <color theme="0" tint="-0.249977111117893"/>
      </left>
      <right/>
      <top style="thin">
        <color indexed="64"/>
      </top>
      <bottom/>
      <diagonal/>
    </border>
    <border>
      <left style="thin">
        <color theme="0" tint="-0.34998626667073579"/>
      </left>
      <right style="thin">
        <color theme="1" tint="0.34998626667073579"/>
      </right>
      <top style="thin">
        <color theme="0" tint="-0.34998626667073579"/>
      </top>
      <bottom style="medium">
        <color indexed="64"/>
      </bottom>
      <diagonal/>
    </border>
    <border>
      <left/>
      <right style="thin">
        <color theme="1" tint="0.34998626667073579"/>
      </right>
      <top/>
      <bottom/>
      <diagonal/>
    </border>
    <border>
      <left/>
      <right style="thin">
        <color theme="1" tint="0.34998626667073579"/>
      </right>
      <top/>
      <bottom style="thin">
        <color indexed="64"/>
      </bottom>
      <diagonal/>
    </border>
    <border>
      <left style="thin">
        <color theme="1" tint="0.34998626667073579"/>
      </left>
      <right style="thin">
        <color theme="0" tint="-0.499984740745262"/>
      </right>
      <top/>
      <bottom style="thin">
        <color indexed="64"/>
      </bottom>
      <diagonal/>
    </border>
    <border>
      <left style="thin">
        <color theme="1" tint="0.34998626667073579"/>
      </left>
      <right/>
      <top/>
      <bottom/>
      <diagonal/>
    </border>
    <border>
      <left style="thin">
        <color theme="0"/>
      </left>
      <right/>
      <top style="thin">
        <color theme="0" tint="-0.34998626667073579"/>
      </top>
      <bottom/>
      <diagonal/>
    </border>
    <border>
      <left/>
      <right/>
      <top style="thin">
        <color theme="0" tint="-0.34998626667073579"/>
      </top>
      <bottom/>
      <diagonal/>
    </border>
    <border>
      <left/>
      <right style="thin">
        <color theme="1" tint="0.34998626667073579"/>
      </right>
      <top style="thin">
        <color theme="0" tint="-0.34998626667073579"/>
      </top>
      <bottom style="thin">
        <color theme="0" tint="-0.34998626667073579"/>
      </bottom>
      <diagonal/>
    </border>
    <border>
      <left style="thin">
        <color theme="1" tint="0.34998626667073579"/>
      </left>
      <right/>
      <top style="thin">
        <color theme="0" tint="-0.34998626667073579"/>
      </top>
      <bottom/>
      <diagonal/>
    </border>
    <border>
      <left style="thin">
        <color theme="6"/>
      </left>
      <right style="thin">
        <color theme="1" tint="0.34998626667073579"/>
      </right>
      <top/>
      <bottom style="medium">
        <color indexed="64"/>
      </bottom>
      <diagonal/>
    </border>
    <border>
      <left/>
      <right style="thin">
        <color theme="1" tint="0.34998626667073579"/>
      </right>
      <top style="thin">
        <color theme="0" tint="-0.34998626667073579"/>
      </top>
      <bottom/>
      <diagonal/>
    </border>
    <border>
      <left style="thin">
        <color theme="1" tint="0.34998626667073579"/>
      </left>
      <right style="thin">
        <color theme="6"/>
      </right>
      <top/>
      <bottom style="medium">
        <color indexed="64"/>
      </bottom>
      <diagonal/>
    </border>
    <border>
      <left style="thin">
        <color theme="1" tint="0.34998626667073579"/>
      </left>
      <right/>
      <top/>
      <bottom style="medium">
        <color indexed="64"/>
      </bottom>
      <diagonal/>
    </border>
    <border>
      <left style="thin">
        <color theme="6"/>
      </left>
      <right style="thin">
        <color indexed="64"/>
      </right>
      <top/>
      <bottom style="medium">
        <color indexed="64"/>
      </bottom>
      <diagonal/>
    </border>
    <border>
      <left/>
      <right style="thin">
        <color indexed="64"/>
      </right>
      <top style="thin">
        <color theme="0" tint="-0.34998626667073579"/>
      </top>
      <bottom/>
      <diagonal/>
    </border>
    <border>
      <left/>
      <right style="thin">
        <color indexed="64"/>
      </right>
      <top style="thin">
        <color theme="0" tint="-0.34998626667073579"/>
      </top>
      <bottom style="thin">
        <color theme="0" tint="-0.34998626667073579"/>
      </bottom>
      <diagonal/>
    </border>
    <border>
      <left style="thin">
        <color theme="0"/>
      </left>
      <right/>
      <top/>
      <bottom style="thin">
        <color theme="0" tint="-0.34998626667073579"/>
      </bottom>
      <diagonal/>
    </border>
    <border>
      <left style="thin">
        <color indexed="64"/>
      </left>
      <right style="thin">
        <color theme="1" tint="0.34998626667073579"/>
      </right>
      <top style="thin">
        <color theme="0" tint="-0.34998626667073579"/>
      </top>
      <bottom/>
      <diagonal/>
    </border>
    <border>
      <left style="thin">
        <color indexed="64"/>
      </left>
      <right style="thin">
        <color theme="1" tint="0.34998626667073579"/>
      </right>
      <top/>
      <bottom style="medium">
        <color indexed="64"/>
      </bottom>
      <diagonal/>
    </border>
    <border>
      <left style="thin">
        <color indexed="64"/>
      </left>
      <right style="thin">
        <color indexed="64"/>
      </right>
      <top/>
      <bottom style="thin">
        <color theme="0" tint="-0.34998626667073579"/>
      </bottom>
      <diagonal/>
    </border>
    <border>
      <left style="thin">
        <color indexed="64"/>
      </left>
      <right/>
      <top style="thin">
        <color theme="0" tint="-0.34998626667073579"/>
      </top>
      <bottom/>
      <diagonal/>
    </border>
    <border>
      <left style="thin">
        <color indexed="64"/>
      </left>
      <right/>
      <top/>
      <bottom style="medium">
        <color indexed="64"/>
      </bottom>
      <diagonal/>
    </border>
    <border>
      <left style="thin">
        <color indexed="64"/>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top/>
      <bottom style="thin">
        <color theme="0"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theme="1" tint="0.34998626667073579"/>
      </left>
      <right style="thin">
        <color theme="1" tint="0.34998626667073579"/>
      </right>
      <top/>
      <bottom style="thin">
        <color theme="1" tint="0.34998626667073579"/>
      </bottom>
      <diagonal/>
    </border>
    <border>
      <left/>
      <right style="thin">
        <color indexed="64"/>
      </right>
      <top style="thin">
        <color indexed="64"/>
      </top>
      <bottom/>
      <diagonal/>
    </border>
    <border>
      <left style="thin">
        <color theme="1" tint="0.34998626667073579"/>
      </left>
      <right style="thin">
        <color indexed="64"/>
      </right>
      <top/>
      <bottom style="medium">
        <color indexed="64"/>
      </bottom>
      <diagonal/>
    </border>
    <border>
      <left style="thin">
        <color theme="1" tint="0.34998626667073579"/>
      </left>
      <right style="thin">
        <color indexed="64"/>
      </right>
      <top/>
      <bottom/>
      <diagonal/>
    </border>
    <border>
      <left style="thin">
        <color indexed="64"/>
      </left>
      <right style="thin">
        <color theme="1" tint="0.34998626667073579"/>
      </right>
      <top/>
      <bottom/>
      <diagonal/>
    </border>
    <border>
      <left style="thin">
        <color theme="0" tint="-0.34998626667073579"/>
      </left>
      <right style="thin">
        <color indexed="64"/>
      </right>
      <top style="thin">
        <color theme="0" tint="-0.34998626667073579"/>
      </top>
      <bottom style="medium">
        <color indexed="64"/>
      </bottom>
      <diagonal/>
    </border>
    <border>
      <left style="thin">
        <color theme="1" tint="0.34998626667073579"/>
      </left>
      <right style="thin">
        <color theme="1" tint="0.34998626667073579"/>
      </right>
      <top/>
      <bottom style="medium">
        <color indexed="64"/>
      </bottom>
      <diagonal/>
    </border>
    <border>
      <left/>
      <right style="thin">
        <color indexed="64"/>
      </right>
      <top style="thin">
        <color theme="0" tint="-0.249977111117893"/>
      </top>
      <bottom/>
      <diagonal/>
    </border>
    <border>
      <left style="thin">
        <color theme="0" tint="-0.249977111117893"/>
      </left>
      <right style="thin">
        <color indexed="64"/>
      </right>
      <top style="thin">
        <color theme="0" tint="-0.249977111117893"/>
      </top>
      <bottom style="thin">
        <color indexed="64"/>
      </bottom>
      <diagonal/>
    </border>
    <border>
      <left style="thin">
        <color indexed="64"/>
      </left>
      <right/>
      <top/>
      <bottom style="thin">
        <color indexed="64"/>
      </bottom>
      <diagonal/>
    </border>
    <border>
      <left style="thin">
        <color theme="0" tint="-0.499984740745262"/>
      </left>
      <right/>
      <top/>
      <bottom style="thin">
        <color indexed="64"/>
      </bottom>
      <diagonal/>
    </border>
    <border>
      <left style="thin">
        <color theme="0" tint="-0.249977111117893"/>
      </left>
      <right/>
      <top style="thin">
        <color indexed="64"/>
      </top>
      <bottom style="thin">
        <color indexed="64"/>
      </bottom>
      <diagonal/>
    </border>
    <border>
      <left/>
      <right style="thin">
        <color theme="0" tint="-0.249977111117893"/>
      </right>
      <top style="thin">
        <color indexed="64"/>
      </top>
      <bottom style="thin">
        <color indexed="64"/>
      </bottom>
      <diagonal/>
    </border>
    <border>
      <left style="thin">
        <color theme="0" tint="-0.249977111117893"/>
      </left>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top style="medium">
        <color indexed="64"/>
      </top>
      <bottom/>
      <diagonal/>
    </border>
    <border>
      <left/>
      <right style="thin">
        <color theme="0" tint="-0.14999847407452621"/>
      </right>
      <top/>
      <bottom/>
      <diagonal/>
    </border>
    <border>
      <left style="thin">
        <color theme="6"/>
      </left>
      <right style="thin">
        <color theme="6"/>
      </right>
      <top/>
      <bottom style="thin">
        <color indexed="64"/>
      </bottom>
      <diagonal/>
    </border>
    <border>
      <left style="thin">
        <color theme="6"/>
      </left>
      <right style="thin">
        <color indexed="64"/>
      </right>
      <top/>
      <bottom style="thin">
        <color indexed="64"/>
      </bottom>
      <diagonal/>
    </border>
    <border>
      <left style="thin">
        <color theme="0" tint="-0.249977111117893"/>
      </left>
      <right style="thin">
        <color indexed="64"/>
      </right>
      <top/>
      <bottom style="thin">
        <color theme="0" tint="-0.249977111117893"/>
      </bottom>
      <diagonal/>
    </border>
  </borders>
  <cellStyleXfs count="8">
    <xf numFmtId="0" fontId="0" fillId="0" borderId="0"/>
    <xf numFmtId="0" fontId="2" fillId="0" borderId="0" applyNumberFormat="0" applyFill="0" applyBorder="0" applyAlignment="0" applyProtection="0"/>
    <xf numFmtId="0" fontId="1" fillId="2" borderId="0" applyNumberFormat="0" applyBorder="0" applyAlignment="0" applyProtection="0"/>
    <xf numFmtId="0" fontId="5" fillId="0" borderId="0" applyNumberFormat="0" applyFill="0" applyBorder="0" applyAlignment="0" applyProtection="0"/>
    <xf numFmtId="0" fontId="10" fillId="12" borderId="0" applyNumberFormat="0" applyBorder="0" applyAlignment="0" applyProtection="0"/>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45" fillId="18" borderId="0" applyNumberFormat="0" applyBorder="0" applyAlignment="0" applyProtection="0">
      <alignment vertical="center"/>
    </xf>
  </cellStyleXfs>
  <cellXfs count="762">
    <xf numFmtId="0" fontId="0" fillId="0" borderId="0" xfId="0"/>
    <xf numFmtId="0" fontId="0" fillId="0" borderId="0" xfId="0" applyAlignment="1">
      <alignment horizontal="center"/>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0" fontId="0" fillId="0" borderId="0" xfId="0" applyBorder="1"/>
    <xf numFmtId="9" fontId="0" fillId="0" borderId="0" xfId="0" applyNumberFormat="1" applyFont="1" applyBorder="1" applyAlignment="1">
      <alignment horizontal="center" vertical="center" wrapText="1"/>
    </xf>
    <xf numFmtId="0" fontId="6" fillId="0" borderId="0" xfId="0" applyFont="1" applyBorder="1" applyAlignment="1">
      <alignment horizontal="left" vertical="center" wrapText="1"/>
    </xf>
    <xf numFmtId="14" fontId="0" fillId="0" borderId="0" xfId="0" applyNumberFormat="1" applyFont="1" applyBorder="1" applyAlignment="1">
      <alignment horizontal="center" vertical="center"/>
    </xf>
    <xf numFmtId="0" fontId="4" fillId="0" borderId="0" xfId="0" applyFont="1" applyAlignment="1">
      <alignment horizontal="left"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Fill="1" applyBorder="1"/>
    <xf numFmtId="0" fontId="0" fillId="0" borderId="0" xfId="0" applyAlignment="1">
      <alignment horizontal="left" vertical="center" wrapText="1"/>
    </xf>
    <xf numFmtId="0" fontId="0" fillId="0" borderId="0" xfId="0" applyAlignment="1">
      <alignment vertical="center" wrapText="1"/>
    </xf>
    <xf numFmtId="14" fontId="0" fillId="0" borderId="0" xfId="0" applyNumberFormat="1" applyFont="1" applyBorder="1" applyAlignment="1">
      <alignment horizontal="left" vertical="center" wrapText="1"/>
    </xf>
    <xf numFmtId="0" fontId="0" fillId="0" borderId="0" xfId="0" applyFont="1"/>
    <xf numFmtId="0" fontId="0" fillId="0" borderId="0" xfId="0" applyAlignment="1">
      <alignment vertical="center"/>
    </xf>
    <xf numFmtId="0" fontId="6" fillId="0" borderId="0" xfId="0" applyFont="1" applyFill="1" applyBorder="1" applyAlignment="1">
      <alignment vertical="center"/>
    </xf>
    <xf numFmtId="0" fontId="3" fillId="0" borderId="0" xfId="0" applyFont="1" applyBorder="1" applyAlignment="1">
      <alignment horizontal="center" vertical="center"/>
    </xf>
    <xf numFmtId="0" fontId="11" fillId="0" borderId="0" xfId="0" applyFont="1" applyAlignment="1">
      <alignment horizontal="center" vertical="center" wrapText="1"/>
    </xf>
    <xf numFmtId="0" fontId="12"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11" fillId="0" borderId="0" xfId="0" applyFont="1" applyBorder="1" applyAlignment="1">
      <alignment horizontal="center" vertical="center" wrapText="1"/>
    </xf>
    <xf numFmtId="0" fontId="11" fillId="0" borderId="0" xfId="0" applyFont="1" applyFill="1" applyBorder="1" applyAlignment="1">
      <alignment horizontal="left" vertical="center" wrapText="1"/>
    </xf>
    <xf numFmtId="9" fontId="11" fillId="0" borderId="0" xfId="0" applyNumberFormat="1" applyFont="1" applyBorder="1" applyAlignment="1">
      <alignment horizontal="center" vertical="center" wrapText="1"/>
    </xf>
    <xf numFmtId="0" fontId="12" fillId="0" borderId="0" xfId="0" quotePrefix="1" applyFont="1" applyFill="1" applyBorder="1" applyAlignment="1">
      <alignment horizontal="left" vertical="center" wrapText="1"/>
    </xf>
    <xf numFmtId="0" fontId="0" fillId="0" borderId="0" xfId="0" applyFont="1" applyFill="1" applyBorder="1" applyAlignment="1">
      <alignment vertical="center"/>
    </xf>
    <xf numFmtId="0" fontId="0" fillId="0" borderId="0" xfId="0" applyAlignment="1">
      <alignment horizontal="left"/>
    </xf>
    <xf numFmtId="4" fontId="0" fillId="0" borderId="0" xfId="0" applyNumberFormat="1" applyFont="1" applyBorder="1" applyAlignment="1">
      <alignment horizontal="center" vertical="center"/>
    </xf>
    <xf numFmtId="0" fontId="12" fillId="0" borderId="0" xfId="0" applyFont="1" applyFill="1" applyBorder="1" applyAlignment="1">
      <alignment horizontal="center" vertical="center" wrapText="1"/>
    </xf>
    <xf numFmtId="0" fontId="9" fillId="0" borderId="0" xfId="0" applyFont="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19" fillId="8" borderId="21" xfId="1" applyFont="1" applyFill="1" applyBorder="1" applyAlignment="1">
      <alignment horizontal="left" vertical="center"/>
    </xf>
    <xf numFmtId="0" fontId="8" fillId="0" borderId="20" xfId="0" applyFont="1" applyBorder="1"/>
    <xf numFmtId="0" fontId="18" fillId="0" borderId="0" xfId="0" applyFont="1"/>
    <xf numFmtId="0" fontId="18" fillId="0" borderId="0" xfId="0" applyFont="1" applyAlignment="1">
      <alignment wrapText="1"/>
    </xf>
    <xf numFmtId="0" fontId="11" fillId="0" borderId="0" xfId="0" applyFont="1"/>
    <xf numFmtId="0" fontId="0" fillId="0" borderId="0" xfId="0" applyBorder="1" applyAlignment="1">
      <alignment horizontal="center" vertical="center" wrapText="1"/>
    </xf>
    <xf numFmtId="0" fontId="3" fillId="14" borderId="8" xfId="0" applyFont="1" applyFill="1" applyBorder="1" applyAlignment="1">
      <alignment horizontal="center" vertical="center" wrapText="1"/>
    </xf>
    <xf numFmtId="0" fontId="0" fillId="14" borderId="29" xfId="0" applyFont="1" applyFill="1" applyBorder="1"/>
    <xf numFmtId="0" fontId="0" fillId="14" borderId="5" xfId="0" applyFont="1" applyFill="1" applyBorder="1"/>
    <xf numFmtId="10" fontId="20" fillId="8" borderId="0" xfId="0" applyNumberFormat="1" applyFont="1" applyFill="1" applyBorder="1" applyAlignment="1">
      <alignment vertical="center" wrapText="1"/>
    </xf>
    <xf numFmtId="0" fontId="10" fillId="0" borderId="0" xfId="0" applyFont="1" applyAlignment="1">
      <alignment horizontal="center"/>
    </xf>
    <xf numFmtId="0" fontId="17" fillId="0" borderId="0" xfId="0" applyFont="1" applyFill="1" applyBorder="1" applyAlignment="1">
      <alignment horizontal="center" vertical="center"/>
    </xf>
    <xf numFmtId="0" fontId="11" fillId="0" borderId="0" xfId="0" applyFont="1" applyFill="1" applyAlignment="1">
      <alignment horizontal="left" vertical="center" wrapText="1"/>
    </xf>
    <xf numFmtId="0" fontId="12" fillId="0" borderId="9" xfId="0" applyFont="1" applyBorder="1" applyAlignment="1">
      <alignment horizontal="left" vertical="center" wrapText="1"/>
    </xf>
    <xf numFmtId="0" fontId="11" fillId="0" borderId="9" xfId="0" applyFont="1" applyBorder="1" applyAlignment="1">
      <alignment horizontal="left"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0" xfId="0" applyFont="1"/>
    <xf numFmtId="0" fontId="11" fillId="15" borderId="0" xfId="0" applyFont="1" applyFill="1" applyBorder="1" applyAlignment="1">
      <alignment horizontal="center" vertical="center" wrapText="1"/>
    </xf>
    <xf numFmtId="0" fontId="11" fillId="15" borderId="9" xfId="0" applyFont="1" applyFill="1" applyBorder="1" applyAlignment="1">
      <alignment horizontal="left" vertical="center" wrapText="1"/>
    </xf>
    <xf numFmtId="0" fontId="11" fillId="16" borderId="0" xfId="0" applyFont="1" applyFill="1" applyBorder="1" applyAlignment="1">
      <alignment horizontal="center" vertical="center" wrapText="1"/>
    </xf>
    <xf numFmtId="9" fontId="11" fillId="16" borderId="0" xfId="0" applyNumberFormat="1" applyFont="1" applyFill="1" applyBorder="1" applyAlignment="1">
      <alignment horizontal="center" vertical="center" wrapText="1"/>
    </xf>
    <xf numFmtId="0" fontId="11" fillId="16" borderId="9" xfId="0" applyFont="1" applyFill="1" applyBorder="1" applyAlignment="1">
      <alignment horizontal="left" vertical="center" wrapText="1"/>
    </xf>
    <xf numFmtId="0" fontId="22" fillId="8" borderId="0" xfId="0" applyFont="1" applyFill="1" applyBorder="1" applyAlignment="1">
      <alignment horizontal="left" vertical="center" wrapText="1"/>
    </xf>
    <xf numFmtId="0" fontId="22" fillId="8" borderId="0" xfId="0" applyFont="1" applyFill="1" applyBorder="1" applyAlignment="1">
      <alignment vertical="center" wrapText="1"/>
    </xf>
    <xf numFmtId="0" fontId="0" fillId="8" borderId="0" xfId="0" applyFill="1"/>
    <xf numFmtId="0" fontId="23" fillId="0" borderId="0" xfId="0" applyFont="1" applyAlignment="1">
      <alignment horizontal="left" vertical="center"/>
    </xf>
    <xf numFmtId="0" fontId="0" fillId="0" borderId="22" xfId="0" applyFont="1" applyFill="1" applyBorder="1" applyAlignment="1">
      <alignment vertical="center" wrapText="1"/>
    </xf>
    <xf numFmtId="0" fontId="0" fillId="0" borderId="23" xfId="0" applyFont="1" applyFill="1" applyBorder="1" applyAlignment="1">
      <alignment vertical="center" wrapText="1"/>
    </xf>
    <xf numFmtId="0" fontId="6" fillId="0" borderId="22" xfId="0" applyFont="1" applyFill="1" applyBorder="1" applyAlignment="1">
      <alignment vertical="center" wrapText="1"/>
    </xf>
    <xf numFmtId="0" fontId="6" fillId="0" borderId="23" xfId="0" applyFont="1" applyFill="1" applyBorder="1" applyAlignment="1">
      <alignment vertical="center" wrapText="1"/>
    </xf>
    <xf numFmtId="0" fontId="6" fillId="0" borderId="25" xfId="0" applyFont="1" applyFill="1" applyBorder="1" applyAlignment="1">
      <alignment vertical="center" wrapText="1"/>
    </xf>
    <xf numFmtId="0" fontId="6" fillId="0" borderId="23" xfId="0" applyFont="1" applyFill="1" applyBorder="1" applyAlignment="1">
      <alignment horizontal="left" vertical="center" wrapText="1"/>
    </xf>
    <xf numFmtId="0" fontId="0" fillId="15" borderId="39" xfId="0" applyFont="1" applyFill="1" applyBorder="1" applyAlignment="1">
      <alignment horizontal="center" vertical="center"/>
    </xf>
    <xf numFmtId="0" fontId="0" fillId="15" borderId="40" xfId="0" applyFont="1" applyFill="1" applyBorder="1" applyAlignment="1">
      <alignment horizontal="center" vertical="center"/>
    </xf>
    <xf numFmtId="0" fontId="0" fillId="0" borderId="28" xfId="0" applyFont="1" applyFill="1" applyBorder="1" applyAlignment="1">
      <alignment vertical="center" wrapText="1"/>
    </xf>
    <xf numFmtId="0" fontId="3" fillId="15" borderId="23" xfId="0" applyFont="1" applyFill="1" applyBorder="1" applyAlignment="1">
      <alignment vertical="center"/>
    </xf>
    <xf numFmtId="0" fontId="6" fillId="0" borderId="49" xfId="0" applyFont="1" applyFill="1" applyBorder="1" applyAlignment="1">
      <alignment vertical="center" wrapText="1"/>
    </xf>
    <xf numFmtId="0" fontId="3" fillId="15" borderId="49" xfId="0" applyFont="1" applyFill="1" applyBorder="1" applyAlignment="1">
      <alignment vertical="center"/>
    </xf>
    <xf numFmtId="10" fontId="0" fillId="15" borderId="47" xfId="0" applyNumberFormat="1" applyFont="1" applyFill="1" applyBorder="1" applyAlignment="1">
      <alignment horizontal="center" vertical="center"/>
    </xf>
    <xf numFmtId="0" fontId="3" fillId="14" borderId="7" xfId="0" applyFont="1" applyFill="1" applyBorder="1" applyAlignment="1">
      <alignment horizontal="center" vertical="center" wrapText="1"/>
    </xf>
    <xf numFmtId="0" fontId="3" fillId="8" borderId="25" xfId="0" applyFont="1" applyFill="1" applyBorder="1" applyAlignment="1">
      <alignment vertical="center" wrapText="1"/>
    </xf>
    <xf numFmtId="0" fontId="0" fillId="0" borderId="24" xfId="0" applyFont="1" applyFill="1" applyBorder="1" applyAlignment="1">
      <alignment vertical="center"/>
    </xf>
    <xf numFmtId="0" fontId="3" fillId="16" borderId="52" xfId="0" applyFont="1" applyFill="1" applyBorder="1" applyAlignment="1">
      <alignment horizontal="center" vertical="center" wrapText="1"/>
    </xf>
    <xf numFmtId="49" fontId="0" fillId="0" borderId="52" xfId="0" applyNumberFormat="1" applyBorder="1" applyAlignment="1">
      <alignment horizontal="left" vertical="center" wrapText="1"/>
    </xf>
    <xf numFmtId="0" fontId="0" fillId="0" borderId="52" xfId="0" applyBorder="1" applyAlignment="1">
      <alignment horizontal="left" vertical="center" wrapText="1"/>
    </xf>
    <xf numFmtId="0" fontId="6" fillId="0" borderId="25" xfId="0" applyFont="1" applyFill="1" applyBorder="1" applyAlignment="1">
      <alignment horizontal="left" vertical="center" wrapText="1"/>
    </xf>
    <xf numFmtId="0" fontId="3" fillId="15" borderId="47" xfId="0" applyFont="1" applyFill="1" applyBorder="1" applyAlignment="1">
      <alignment horizontal="center" vertical="center"/>
    </xf>
    <xf numFmtId="0" fontId="0" fillId="15" borderId="41" xfId="0" applyFont="1" applyFill="1" applyBorder="1" applyAlignment="1">
      <alignment horizontal="center" vertical="center"/>
    </xf>
    <xf numFmtId="0" fontId="3" fillId="15" borderId="47" xfId="0" applyFont="1" applyFill="1" applyBorder="1" applyAlignment="1">
      <alignment vertical="center"/>
    </xf>
    <xf numFmtId="0" fontId="3" fillId="15" borderId="34" xfId="0" applyFont="1" applyFill="1" applyBorder="1" applyAlignment="1">
      <alignment vertical="center"/>
    </xf>
    <xf numFmtId="0" fontId="3" fillId="15" borderId="0" xfId="0" applyFont="1" applyFill="1" applyBorder="1" applyAlignment="1">
      <alignment vertical="center"/>
    </xf>
    <xf numFmtId="0" fontId="3" fillId="15" borderId="9" xfId="0" applyFont="1" applyFill="1" applyBorder="1" applyAlignment="1">
      <alignment vertical="center"/>
    </xf>
    <xf numFmtId="0" fontId="3" fillId="15" borderId="53" xfId="0" applyFont="1" applyFill="1" applyBorder="1" applyAlignment="1">
      <alignment vertical="center"/>
    </xf>
    <xf numFmtId="0" fontId="0" fillId="0" borderId="0" xfId="0"/>
    <xf numFmtId="0" fontId="0" fillId="0" borderId="52" xfId="0" applyBorder="1" applyAlignment="1">
      <alignment horizontal="left" vertical="center" wrapText="1"/>
    </xf>
    <xf numFmtId="0" fontId="25" fillId="4" borderId="3" xfId="1" applyFont="1" applyFill="1" applyBorder="1" applyAlignment="1">
      <alignment horizontal="center" vertical="center"/>
    </xf>
    <xf numFmtId="0" fontId="25" fillId="10" borderId="0" xfId="1" applyFont="1" applyFill="1" applyBorder="1" applyAlignment="1">
      <alignment horizontal="center" vertical="center" wrapText="1"/>
    </xf>
    <xf numFmtId="0" fontId="25" fillId="9" borderId="3" xfId="1" applyFont="1" applyFill="1" applyBorder="1" applyAlignment="1">
      <alignment horizontal="center" vertical="center" wrapText="1"/>
    </xf>
    <xf numFmtId="0" fontId="25" fillId="11" borderId="3" xfId="1" applyFont="1" applyFill="1" applyBorder="1" applyAlignment="1">
      <alignment horizontal="center" vertical="center" wrapText="1"/>
    </xf>
    <xf numFmtId="0" fontId="25" fillId="6" borderId="3" xfId="1" applyFont="1" applyFill="1" applyBorder="1" applyAlignment="1">
      <alignment horizontal="center" vertical="center"/>
    </xf>
    <xf numFmtId="0" fontId="25" fillId="3" borderId="3" xfId="1" applyFont="1" applyFill="1" applyBorder="1" applyAlignment="1">
      <alignment horizontal="center" vertical="center" wrapText="1"/>
    </xf>
    <xf numFmtId="0" fontId="25" fillId="5" borderId="0" xfId="1" applyFont="1" applyFill="1" applyBorder="1" applyAlignment="1">
      <alignment horizontal="center" vertical="center" wrapText="1"/>
    </xf>
    <xf numFmtId="0" fontId="25" fillId="7" borderId="3" xfId="1" applyFont="1" applyFill="1" applyBorder="1" applyAlignment="1">
      <alignment horizontal="center" vertical="center"/>
    </xf>
    <xf numFmtId="0" fontId="11" fillId="14" borderId="6" xfId="0" applyFont="1" applyFill="1" applyBorder="1" applyAlignment="1">
      <alignment horizontal="center" vertical="center" wrapText="1"/>
    </xf>
    <xf numFmtId="0" fontId="11" fillId="14" borderId="7" xfId="0" applyFont="1" applyFill="1" applyBorder="1" applyAlignment="1">
      <alignment horizontal="center" vertical="center" wrapText="1"/>
    </xf>
    <xf numFmtId="0" fontId="0" fillId="0" borderId="0" xfId="0" applyFont="1" applyAlignment="1">
      <alignment wrapText="1"/>
    </xf>
    <xf numFmtId="0" fontId="0" fillId="8" borderId="39" xfId="0" applyFont="1" applyFill="1" applyBorder="1" applyAlignment="1">
      <alignment horizontal="right" vertical="center"/>
    </xf>
    <xf numFmtId="0" fontId="0" fillId="8" borderId="50" xfId="0" applyFont="1" applyFill="1" applyBorder="1" applyAlignment="1">
      <alignment horizontal="right" vertical="center"/>
    </xf>
    <xf numFmtId="0" fontId="0" fillId="15" borderId="39" xfId="0" applyFont="1" applyFill="1" applyBorder="1" applyAlignment="1">
      <alignment horizontal="right" vertical="center"/>
    </xf>
    <xf numFmtId="0" fontId="3" fillId="15" borderId="14" xfId="0" applyFont="1" applyFill="1" applyBorder="1" applyAlignment="1">
      <alignment horizontal="right" vertical="center"/>
    </xf>
    <xf numFmtId="3" fontId="0" fillId="8" borderId="46" xfId="0" applyNumberFormat="1" applyFont="1" applyFill="1" applyBorder="1" applyAlignment="1">
      <alignment horizontal="right" vertical="center"/>
    </xf>
    <xf numFmtId="0" fontId="0" fillId="15" borderId="46" xfId="0" applyFont="1" applyFill="1" applyBorder="1" applyAlignment="1">
      <alignment horizontal="right" vertical="center"/>
    </xf>
    <xf numFmtId="0" fontId="0" fillId="8" borderId="46" xfId="0" applyFont="1" applyFill="1" applyBorder="1" applyAlignment="1">
      <alignment horizontal="right" vertical="center"/>
    </xf>
    <xf numFmtId="0" fontId="0" fillId="8" borderId="30" xfId="0" applyFont="1" applyFill="1" applyBorder="1" applyAlignment="1">
      <alignment horizontal="right" vertical="center"/>
    </xf>
    <xf numFmtId="0" fontId="3" fillId="15" borderId="0" xfId="0" applyFont="1" applyFill="1" applyBorder="1" applyAlignment="1">
      <alignment horizontal="right" vertical="center"/>
    </xf>
    <xf numFmtId="0" fontId="0" fillId="8" borderId="43" xfId="0" applyFont="1" applyFill="1" applyBorder="1" applyAlignment="1">
      <alignment horizontal="right" vertical="center"/>
    </xf>
    <xf numFmtId="0" fontId="3" fillId="15" borderId="47" xfId="0" applyFont="1" applyFill="1" applyBorder="1" applyAlignment="1">
      <alignment horizontal="right" vertical="center"/>
    </xf>
    <xf numFmtId="3" fontId="0" fillId="8" borderId="39" xfId="0" applyNumberFormat="1" applyFont="1" applyFill="1" applyBorder="1" applyAlignment="1">
      <alignment horizontal="right" vertical="center"/>
    </xf>
    <xf numFmtId="3" fontId="0" fillId="8" borderId="30" xfId="0" applyNumberFormat="1" applyFont="1" applyFill="1" applyBorder="1" applyAlignment="1">
      <alignment horizontal="right" vertical="center"/>
    </xf>
    <xf numFmtId="0" fontId="3" fillId="15" borderId="9" xfId="0" applyFont="1" applyFill="1" applyBorder="1" applyAlignment="1">
      <alignment horizontal="right" vertical="center"/>
    </xf>
    <xf numFmtId="0" fontId="27" fillId="0" borderId="0" xfId="0" applyFont="1" applyFill="1" applyBorder="1" applyAlignment="1">
      <alignment horizontal="center" vertical="center" wrapText="1"/>
    </xf>
    <xf numFmtId="0" fontId="27" fillId="0" borderId="36"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0" borderId="37" xfId="0" applyFont="1" applyFill="1" applyBorder="1" applyAlignment="1">
      <alignment horizontal="center" vertical="center" wrapText="1"/>
    </xf>
    <xf numFmtId="14" fontId="12" fillId="0" borderId="0" xfId="0" applyNumberFormat="1" applyFont="1" applyFill="1" applyBorder="1" applyAlignment="1">
      <alignment horizontal="right" vertical="center" wrapText="1"/>
    </xf>
    <xf numFmtId="14" fontId="11" fillId="0" borderId="0" xfId="0" applyNumberFormat="1" applyFont="1" applyAlignment="1">
      <alignment horizontal="right" vertical="center" wrapText="1"/>
    </xf>
    <xf numFmtId="14" fontId="12" fillId="0" borderId="2" xfId="0" applyNumberFormat="1" applyFont="1" applyFill="1" applyBorder="1" applyAlignment="1">
      <alignment horizontal="right" vertical="center" wrapText="1"/>
    </xf>
    <xf numFmtId="0" fontId="28" fillId="8" borderId="0" xfId="0" applyFont="1" applyFill="1" applyBorder="1" applyAlignment="1">
      <alignment horizontal="right" vertical="center" wrapText="1"/>
    </xf>
    <xf numFmtId="0" fontId="9" fillId="0" borderId="9" xfId="0" applyFont="1" applyFill="1" applyBorder="1" applyAlignment="1">
      <alignment horizontal="center" vertical="center" wrapText="1"/>
    </xf>
    <xf numFmtId="0" fontId="0" fillId="0" borderId="0" xfId="0"/>
    <xf numFmtId="0" fontId="6" fillId="0" borderId="0"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21" fillId="13" borderId="74" xfId="0" applyFont="1" applyFill="1" applyBorder="1" applyAlignment="1">
      <alignment horizontal="center" vertical="center"/>
    </xf>
    <xf numFmtId="0" fontId="13" fillId="15" borderId="27" xfId="2" applyFont="1" applyFill="1" applyBorder="1" applyAlignment="1">
      <alignment horizontal="center" vertical="center" wrapText="1"/>
    </xf>
    <xf numFmtId="0" fontId="6" fillId="15" borderId="13" xfId="2" applyFont="1" applyFill="1" applyBorder="1" applyAlignment="1">
      <alignment horizontal="center" vertical="center" wrapText="1"/>
    </xf>
    <xf numFmtId="0" fontId="6" fillId="15" borderId="16" xfId="2" applyFont="1" applyFill="1" applyBorder="1" applyAlignment="1">
      <alignment horizontal="center" vertical="center" wrapText="1"/>
    </xf>
    <xf numFmtId="0" fontId="6" fillId="15" borderId="66" xfId="2" applyFont="1" applyFill="1" applyBorder="1" applyAlignment="1">
      <alignment horizontal="center" vertical="center" wrapText="1"/>
    </xf>
    <xf numFmtId="0" fontId="12" fillId="0" borderId="2" xfId="0" applyFont="1" applyFill="1" applyBorder="1" applyAlignment="1">
      <alignment horizontal="center" vertical="center" wrapText="1"/>
    </xf>
    <xf numFmtId="0" fontId="0" fillId="0" borderId="0" xfId="0" applyAlignment="1">
      <alignment horizontal="center" wrapText="1"/>
    </xf>
    <xf numFmtId="0" fontId="1" fillId="15" borderId="66" xfId="2" applyFont="1" applyFill="1" applyBorder="1" applyAlignment="1">
      <alignment horizontal="center" vertical="top" wrapText="1"/>
    </xf>
    <xf numFmtId="0" fontId="1" fillId="15" borderId="16" xfId="2" applyFont="1" applyFill="1" applyBorder="1" applyAlignment="1">
      <alignment horizontal="center" vertical="top" wrapText="1"/>
    </xf>
    <xf numFmtId="0" fontId="0" fillId="15" borderId="16" xfId="2" applyFont="1" applyFill="1" applyBorder="1" applyAlignment="1">
      <alignment horizontal="center" vertical="top" wrapText="1"/>
    </xf>
    <xf numFmtId="0" fontId="1" fillId="15" borderId="68" xfId="2" applyFont="1" applyFill="1" applyBorder="1" applyAlignment="1">
      <alignment horizontal="center" vertical="top" wrapText="1"/>
    </xf>
    <xf numFmtId="0" fontId="6" fillId="15" borderId="38" xfId="2" applyFont="1" applyFill="1" applyBorder="1" applyAlignment="1">
      <alignment horizontal="center" vertical="top" wrapText="1"/>
    </xf>
    <xf numFmtId="0" fontId="6" fillId="15" borderId="55" xfId="2" applyFont="1" applyFill="1" applyBorder="1" applyAlignment="1">
      <alignment horizontal="center" vertical="top" wrapText="1"/>
    </xf>
    <xf numFmtId="0" fontId="6" fillId="15" borderId="13" xfId="2" applyFont="1" applyFill="1" applyBorder="1" applyAlignment="1">
      <alignment horizontal="center" vertical="top" wrapText="1"/>
    </xf>
    <xf numFmtId="0" fontId="6" fillId="15" borderId="64" xfId="2" applyFont="1" applyFill="1" applyBorder="1" applyAlignment="1">
      <alignment horizontal="center" vertical="top" wrapText="1"/>
    </xf>
    <xf numFmtId="0" fontId="6" fillId="15" borderId="16" xfId="2" applyFont="1" applyFill="1" applyBorder="1" applyAlignment="1">
      <alignment horizontal="center" vertical="top" wrapText="1"/>
    </xf>
    <xf numFmtId="0" fontId="6" fillId="15" borderId="66" xfId="2" applyFont="1" applyFill="1" applyBorder="1" applyAlignment="1">
      <alignment horizontal="center" vertical="top" wrapText="1"/>
    </xf>
    <xf numFmtId="0" fontId="6" fillId="15" borderId="19" xfId="2" applyFont="1" applyFill="1" applyBorder="1" applyAlignment="1">
      <alignment horizontal="center" vertical="top" wrapText="1"/>
    </xf>
    <xf numFmtId="0" fontId="6" fillId="15" borderId="15" xfId="2" applyFont="1" applyFill="1" applyBorder="1" applyAlignment="1">
      <alignment horizontal="center" vertical="top" wrapText="1"/>
    </xf>
    <xf numFmtId="0" fontId="6" fillId="15" borderId="26" xfId="2" applyFont="1" applyFill="1" applyBorder="1" applyAlignment="1">
      <alignment horizontal="center" vertical="top" wrapText="1"/>
    </xf>
    <xf numFmtId="0" fontId="0" fillId="0" borderId="52" xfId="0" applyBorder="1" applyAlignment="1">
      <alignment horizontal="left" vertical="center" wrapText="1"/>
    </xf>
    <xf numFmtId="49" fontId="0" fillId="0" borderId="52" xfId="0" applyNumberFormat="1" applyBorder="1" applyAlignment="1">
      <alignment horizontal="left" vertical="center" wrapText="1"/>
    </xf>
    <xf numFmtId="0" fontId="0" fillId="0" borderId="0" xfId="0"/>
    <xf numFmtId="0" fontId="11" fillId="15" borderId="13" xfId="2" applyFont="1" applyFill="1" applyBorder="1" applyAlignment="1">
      <alignment horizontal="center" vertical="top" wrapText="1"/>
    </xf>
    <xf numFmtId="0" fontId="11" fillId="15" borderId="16" xfId="2" applyFont="1" applyFill="1" applyBorder="1" applyAlignment="1">
      <alignment horizontal="center" vertical="top" wrapText="1"/>
    </xf>
    <xf numFmtId="0" fontId="0" fillId="0" borderId="25" xfId="0" applyFont="1" applyFill="1" applyBorder="1" applyAlignment="1">
      <alignment vertical="center" wrapText="1"/>
    </xf>
    <xf numFmtId="0" fontId="11" fillId="15" borderId="19" xfId="2" applyFont="1" applyFill="1" applyBorder="1" applyAlignment="1">
      <alignment horizontal="center" vertical="top" wrapText="1"/>
    </xf>
    <xf numFmtId="0" fontId="0" fillId="0" borderId="0" xfId="0"/>
    <xf numFmtId="0" fontId="0" fillId="0" borderId="0" xfId="0"/>
    <xf numFmtId="0" fontId="0" fillId="0" borderId="52" xfId="0" applyBorder="1" applyAlignment="1">
      <alignment horizontal="left" vertical="center" wrapText="1"/>
    </xf>
    <xf numFmtId="49" fontId="0" fillId="0" borderId="52" xfId="0" applyNumberFormat="1" applyBorder="1" applyAlignment="1">
      <alignment horizontal="left" vertical="center" wrapText="1"/>
    </xf>
    <xf numFmtId="0" fontId="0" fillId="0" borderId="0" xfId="0"/>
    <xf numFmtId="0" fontId="29" fillId="17" borderId="61" xfId="0" applyFont="1" applyFill="1" applyBorder="1" applyAlignment="1">
      <alignment horizontal="center" vertical="center"/>
    </xf>
    <xf numFmtId="0" fontId="29" fillId="17" borderId="65" xfId="0" applyFont="1" applyFill="1" applyBorder="1" applyAlignment="1">
      <alignment horizontal="center" vertical="center"/>
    </xf>
    <xf numFmtId="0" fontId="0" fillId="0" borderId="0" xfId="0"/>
    <xf numFmtId="0" fontId="29" fillId="17" borderId="61" xfId="0" applyFont="1" applyFill="1" applyBorder="1" applyAlignment="1">
      <alignment horizontal="center" vertical="center"/>
    </xf>
    <xf numFmtId="0" fontId="29" fillId="17" borderId="69" xfId="0" applyFont="1" applyFill="1" applyBorder="1" applyAlignment="1">
      <alignment horizontal="center" vertical="center"/>
    </xf>
    <xf numFmtId="0" fontId="29" fillId="17" borderId="0" xfId="0" applyFont="1" applyFill="1" applyBorder="1" applyAlignment="1">
      <alignment horizontal="center" vertical="center"/>
    </xf>
    <xf numFmtId="0" fontId="29" fillId="17" borderId="56" xfId="0" applyFont="1" applyFill="1" applyBorder="1" applyAlignment="1">
      <alignment horizontal="center" vertical="center"/>
    </xf>
    <xf numFmtId="0" fontId="29" fillId="17" borderId="59" xfId="0" applyFont="1" applyFill="1" applyBorder="1" applyAlignment="1">
      <alignment horizontal="center" vertical="center"/>
    </xf>
    <xf numFmtId="0" fontId="29" fillId="17" borderId="9" xfId="0" applyFont="1" applyFill="1" applyBorder="1" applyAlignment="1">
      <alignment horizontal="center" vertical="center"/>
    </xf>
    <xf numFmtId="178" fontId="0" fillId="0" borderId="0" xfId="0" applyNumberFormat="1" applyAlignment="1">
      <alignment horizontal="center"/>
    </xf>
    <xf numFmtId="178" fontId="0" fillId="0" borderId="0" xfId="0" applyNumberFormat="1" applyAlignment="1">
      <alignment horizontal="center" vertical="center"/>
    </xf>
    <xf numFmtId="0" fontId="28" fillId="0" borderId="0" xfId="0" applyFont="1" applyFill="1" applyBorder="1" applyAlignment="1">
      <alignment horizontal="right" vertical="center" wrapText="1"/>
    </xf>
    <xf numFmtId="178" fontId="12" fillId="0" borderId="0" xfId="0" applyNumberFormat="1" applyFont="1" applyFill="1" applyBorder="1" applyAlignment="1">
      <alignment horizontal="center" vertical="center" wrapText="1"/>
    </xf>
    <xf numFmtId="14" fontId="11" fillId="0" borderId="0" xfId="0" applyNumberFormat="1" applyFont="1" applyFill="1" applyBorder="1" applyAlignment="1">
      <alignment horizontal="center" vertical="center" wrapText="1"/>
    </xf>
    <xf numFmtId="14" fontId="11" fillId="0" borderId="0" xfId="0" applyNumberFormat="1" applyFont="1" applyFill="1" applyBorder="1" applyAlignment="1">
      <alignment horizontal="center" vertical="center"/>
    </xf>
    <xf numFmtId="178" fontId="11" fillId="0" borderId="0" xfId="0" applyNumberFormat="1" applyFont="1" applyFill="1" applyBorder="1" applyAlignment="1">
      <alignment horizontal="center" vertical="center"/>
    </xf>
    <xf numFmtId="178" fontId="11" fillId="0" borderId="0" xfId="0" applyNumberFormat="1" applyFont="1" applyFill="1" applyBorder="1" applyAlignment="1">
      <alignment horizontal="center" vertical="center" wrapText="1"/>
    </xf>
    <xf numFmtId="178" fontId="11" fillId="0" borderId="2" xfId="0" applyNumberFormat="1" applyFont="1" applyFill="1" applyBorder="1" applyAlignment="1">
      <alignment horizontal="center" vertical="center"/>
    </xf>
    <xf numFmtId="178" fontId="15" fillId="0" borderId="0" xfId="0" applyNumberFormat="1" applyFont="1" applyFill="1" applyAlignment="1">
      <alignment horizontal="center" vertical="center"/>
    </xf>
    <xf numFmtId="178" fontId="11" fillId="0" borderId="0" xfId="0" applyNumberFormat="1" applyFont="1" applyFill="1" applyAlignment="1">
      <alignment horizontal="center" vertical="center"/>
    </xf>
    <xf numFmtId="178" fontId="12" fillId="0" borderId="0" xfId="0" quotePrefix="1" applyNumberFormat="1" applyFont="1" applyFill="1" applyBorder="1" applyAlignment="1">
      <alignment horizontal="center" vertical="center" wrapText="1"/>
    </xf>
    <xf numFmtId="0" fontId="13" fillId="15" borderId="87" xfId="2" applyFont="1" applyFill="1" applyBorder="1" applyAlignment="1">
      <alignment horizontal="center" vertical="center" wrapText="1"/>
    </xf>
    <xf numFmtId="0" fontId="6" fillId="15" borderId="88" xfId="2" applyFont="1" applyFill="1" applyBorder="1" applyAlignment="1">
      <alignment horizontal="center" vertical="top" wrapText="1"/>
    </xf>
    <xf numFmtId="0" fontId="0" fillId="0" borderId="0" xfId="0"/>
    <xf numFmtId="0" fontId="0" fillId="0" borderId="39" xfId="0" applyFont="1" applyFill="1" applyBorder="1" applyAlignment="1">
      <alignment horizontal="right" vertical="center"/>
    </xf>
    <xf numFmtId="0" fontId="0" fillId="0" borderId="49" xfId="0" applyFont="1" applyFill="1" applyBorder="1" applyAlignment="1">
      <alignment vertical="center" wrapText="1"/>
    </xf>
    <xf numFmtId="0" fontId="0" fillId="0" borderId="52" xfId="0" applyBorder="1" applyAlignment="1">
      <alignment horizontal="left" vertical="center" wrapText="1"/>
    </xf>
    <xf numFmtId="49" fontId="0" fillId="0" borderId="52" xfId="0" applyNumberFormat="1" applyBorder="1" applyAlignment="1">
      <alignment horizontal="left" vertical="center" wrapText="1"/>
    </xf>
    <xf numFmtId="0" fontId="0" fillId="0" borderId="0" xfId="0"/>
    <xf numFmtId="0" fontId="0" fillId="0" borderId="0" xfId="0"/>
    <xf numFmtId="0" fontId="3" fillId="15" borderId="48" xfId="0" applyFont="1" applyFill="1" applyBorder="1" applyAlignment="1">
      <alignment horizontal="center" vertical="center"/>
    </xf>
    <xf numFmtId="0" fontId="0" fillId="0" borderId="0" xfId="0"/>
    <xf numFmtId="0" fontId="5" fillId="8" borderId="0" xfId="3" applyFill="1"/>
    <xf numFmtId="0" fontId="0" fillId="0" borderId="0" xfId="0" applyAlignment="1"/>
    <xf numFmtId="0" fontId="33" fillId="0" borderId="0" xfId="0" applyFont="1" applyFill="1" applyBorder="1" applyAlignment="1">
      <alignment horizontal="center" vertical="center" wrapText="1"/>
    </xf>
    <xf numFmtId="0" fontId="33" fillId="0" borderId="36" xfId="0" applyFont="1" applyFill="1" applyBorder="1" applyAlignment="1">
      <alignment horizontal="center" vertical="center" wrapText="1"/>
    </xf>
    <xf numFmtId="0" fontId="6" fillId="15" borderId="68" xfId="2" applyFont="1" applyFill="1" applyBorder="1" applyAlignment="1">
      <alignment horizontal="center" vertical="top" wrapText="1"/>
    </xf>
    <xf numFmtId="0" fontId="0" fillId="15" borderId="0" xfId="0" applyFont="1" applyFill="1" applyBorder="1" applyAlignment="1">
      <alignment horizontal="right" vertical="center"/>
    </xf>
    <xf numFmtId="0" fontId="0" fillId="15" borderId="51" xfId="0" applyFont="1" applyFill="1" applyBorder="1" applyAlignment="1">
      <alignment horizontal="right" vertical="center"/>
    </xf>
    <xf numFmtId="0" fontId="22" fillId="8" borderId="0" xfId="0" applyFont="1" applyFill="1" applyBorder="1" applyAlignment="1">
      <alignment horizontal="left" vertical="center" wrapText="1"/>
    </xf>
    <xf numFmtId="0" fontId="0" fillId="0" borderId="0" xfId="0"/>
    <xf numFmtId="0" fontId="0" fillId="0" borderId="0" xfId="0"/>
    <xf numFmtId="0" fontId="25" fillId="10" borderId="3" xfId="1" applyFont="1" applyFill="1" applyBorder="1" applyAlignment="1">
      <alignment horizontal="center" vertical="center" wrapText="1"/>
    </xf>
    <xf numFmtId="0" fontId="25" fillId="3" borderId="0" xfId="1" applyFont="1" applyFill="1" applyBorder="1" applyAlignment="1">
      <alignment horizontal="center" vertical="center" wrapText="1"/>
    </xf>
    <xf numFmtId="0" fontId="25" fillId="9" borderId="0" xfId="1" applyFont="1" applyFill="1" applyBorder="1" applyAlignment="1">
      <alignment horizontal="center" vertical="center" wrapText="1"/>
    </xf>
    <xf numFmtId="0" fontId="25" fillId="6" borderId="0" xfId="1" applyFont="1" applyFill="1" applyBorder="1" applyAlignment="1">
      <alignment horizontal="center" vertical="center"/>
    </xf>
    <xf numFmtId="0" fontId="25" fillId="4" borderId="0" xfId="1" applyFont="1" applyFill="1" applyBorder="1" applyAlignment="1">
      <alignment horizontal="center" vertical="center"/>
    </xf>
    <xf numFmtId="0" fontId="25" fillId="5" borderId="3" xfId="1" applyFont="1" applyFill="1" applyBorder="1" applyAlignment="1">
      <alignment horizontal="center" vertical="center" wrapText="1"/>
    </xf>
    <xf numFmtId="0" fontId="12" fillId="0" borderId="2" xfId="0" applyFont="1" applyFill="1" applyBorder="1" applyAlignment="1">
      <alignment horizontal="left" vertical="center" wrapText="1"/>
    </xf>
    <xf numFmtId="0" fontId="26" fillId="0" borderId="2" xfId="0" applyFont="1" applyFill="1" applyBorder="1" applyAlignment="1">
      <alignment horizontal="center" vertical="center" wrapText="1"/>
    </xf>
    <xf numFmtId="14" fontId="12" fillId="0" borderId="0" xfId="0" applyNumberFormat="1" applyFont="1" applyFill="1" applyBorder="1" applyAlignment="1">
      <alignment horizontal="right" vertical="center"/>
    </xf>
    <xf numFmtId="4" fontId="0" fillId="8" borderId="46" xfId="0" applyNumberFormat="1" applyFont="1" applyFill="1" applyBorder="1" applyAlignment="1">
      <alignment horizontal="right" vertical="center"/>
    </xf>
    <xf numFmtId="4" fontId="0" fillId="8" borderId="30" xfId="0" applyNumberFormat="1" applyFont="1" applyFill="1" applyBorder="1" applyAlignment="1">
      <alignment horizontal="right" vertical="center"/>
    </xf>
    <xf numFmtId="4" fontId="0" fillId="0" borderId="0" xfId="0" applyNumberFormat="1" applyFont="1" applyFill="1" applyBorder="1" applyAlignment="1">
      <alignment horizontal="right" vertical="center"/>
    </xf>
    <xf numFmtId="3" fontId="0" fillId="0" borderId="0" xfId="0" applyNumberFormat="1" applyFont="1" applyFill="1" applyBorder="1" applyAlignment="1">
      <alignment horizontal="right" vertical="center"/>
    </xf>
    <xf numFmtId="0" fontId="22" fillId="8" borderId="0" xfId="0" applyFont="1" applyFill="1" applyBorder="1" applyAlignment="1">
      <alignment horizontal="left" vertical="center"/>
    </xf>
    <xf numFmtId="0" fontId="0" fillId="0" borderId="0" xfId="0" applyFill="1"/>
    <xf numFmtId="0" fontId="0" fillId="0" borderId="40" xfId="0" applyFont="1" applyFill="1" applyBorder="1" applyAlignment="1">
      <alignment horizontal="right" vertical="center"/>
    </xf>
    <xf numFmtId="0" fontId="0" fillId="0" borderId="41" xfId="0" applyFont="1" applyFill="1" applyBorder="1" applyAlignment="1">
      <alignment horizontal="right" vertical="center"/>
    </xf>
    <xf numFmtId="0" fontId="0" fillId="0" borderId="0" xfId="0" applyFont="1" applyBorder="1" applyAlignment="1">
      <alignment horizontal="left" vertical="center"/>
    </xf>
    <xf numFmtId="0" fontId="0" fillId="0" borderId="24" xfId="0" applyFont="1" applyFill="1" applyBorder="1" applyAlignment="1">
      <alignment horizontal="center" vertical="center" wrapText="1"/>
    </xf>
    <xf numFmtId="0" fontId="0" fillId="0" borderId="34" xfId="0" applyFont="1" applyFill="1" applyBorder="1" applyAlignment="1">
      <alignment horizontal="center" vertical="center"/>
    </xf>
    <xf numFmtId="0" fontId="0" fillId="0" borderId="34" xfId="0" applyFill="1" applyBorder="1" applyAlignment="1">
      <alignment horizontal="center" vertical="center"/>
    </xf>
    <xf numFmtId="0" fontId="0" fillId="15" borderId="95" xfId="0" applyFont="1" applyFill="1" applyBorder="1" applyAlignment="1">
      <alignment horizontal="right" vertical="center"/>
    </xf>
    <xf numFmtId="0" fontId="0" fillId="0" borderId="34" xfId="0" applyFont="1" applyFill="1" applyBorder="1" applyAlignment="1">
      <alignment horizontal="center" vertical="center" wrapText="1"/>
    </xf>
    <xf numFmtId="0" fontId="0" fillId="0" borderId="91" xfId="0" applyFont="1" applyFill="1" applyBorder="1" applyAlignment="1">
      <alignment horizontal="center" vertical="center" wrapText="1"/>
    </xf>
    <xf numFmtId="178" fontId="3" fillId="0" borderId="0" xfId="0" applyNumberFormat="1" applyFont="1" applyFill="1" applyBorder="1" applyAlignment="1">
      <alignment horizontal="right" vertical="center"/>
    </xf>
    <xf numFmtId="178" fontId="0" fillId="0" borderId="0" xfId="0" applyNumberFormat="1"/>
    <xf numFmtId="178" fontId="34" fillId="0" borderId="0" xfId="0" applyNumberFormat="1" applyFont="1" applyFill="1" applyBorder="1" applyAlignment="1">
      <alignment horizontal="right" vertical="center"/>
    </xf>
    <xf numFmtId="0" fontId="11" fillId="0" borderId="0" xfId="0" applyFont="1" applyFill="1" applyAlignment="1">
      <alignment horizontal="center" vertical="center" wrapText="1"/>
    </xf>
    <xf numFmtId="176" fontId="11" fillId="0" borderId="0" xfId="0" applyNumberFormat="1" applyFont="1" applyFill="1" applyAlignment="1">
      <alignment horizontal="center" vertical="center" wrapText="1"/>
    </xf>
    <xf numFmtId="176" fontId="11" fillId="0" borderId="0" xfId="0" applyNumberFormat="1" applyFont="1" applyFill="1" applyAlignment="1">
      <alignment horizontal="center" vertical="center"/>
    </xf>
    <xf numFmtId="0" fontId="3" fillId="0" borderId="40" xfId="0" applyFont="1" applyFill="1" applyBorder="1" applyAlignment="1">
      <alignment horizontal="right" vertical="center"/>
    </xf>
    <xf numFmtId="0" fontId="0" fillId="0" borderId="0" xfId="0"/>
    <xf numFmtId="0" fontId="0" fillId="0" borderId="50" xfId="0" applyFont="1" applyFill="1" applyBorder="1" applyAlignment="1">
      <alignment horizontal="right" vertical="center"/>
    </xf>
    <xf numFmtId="0" fontId="3" fillId="0" borderId="0" xfId="0" applyFont="1" applyFill="1" applyBorder="1" applyAlignment="1">
      <alignment horizontal="right" vertical="center"/>
    </xf>
    <xf numFmtId="38" fontId="0" fillId="0" borderId="0" xfId="0" applyNumberFormat="1" applyAlignment="1">
      <alignment horizontal="center"/>
    </xf>
    <xf numFmtId="38" fontId="4" fillId="0" borderId="0" xfId="0" applyNumberFormat="1" applyFont="1" applyAlignment="1">
      <alignment horizontal="center" vertical="center" wrapText="1"/>
    </xf>
    <xf numFmtId="0" fontId="0" fillId="0" borderId="0" xfId="0"/>
    <xf numFmtId="0" fontId="3" fillId="0" borderId="42" xfId="0" applyFont="1" applyFill="1" applyBorder="1" applyAlignment="1">
      <alignment horizontal="right" vertical="center"/>
    </xf>
    <xf numFmtId="0" fontId="3" fillId="0" borderId="45" xfId="0" applyFont="1" applyFill="1" applyBorder="1" applyAlignment="1">
      <alignment horizontal="right" vertical="center"/>
    </xf>
    <xf numFmtId="0" fontId="3" fillId="0" borderId="9" xfId="0" applyFont="1" applyFill="1" applyBorder="1" applyAlignment="1">
      <alignment horizontal="right" vertical="center"/>
    </xf>
    <xf numFmtId="0" fontId="0" fillId="0" borderId="0" xfId="0"/>
    <xf numFmtId="0" fontId="0" fillId="0" borderId="43" xfId="0" applyFont="1" applyFill="1" applyBorder="1" applyAlignment="1">
      <alignment horizontal="right" vertical="center"/>
    </xf>
    <xf numFmtId="0" fontId="0" fillId="0" borderId="46" xfId="0" applyFont="1" applyFill="1" applyBorder="1" applyAlignment="1">
      <alignment horizontal="right" vertical="center"/>
    </xf>
    <xf numFmtId="0" fontId="6" fillId="0" borderId="0" xfId="0" applyFont="1" applyAlignment="1">
      <alignment horizontal="center"/>
    </xf>
    <xf numFmtId="0" fontId="36" fillId="0" borderId="0" xfId="0" applyFont="1" applyFill="1" applyBorder="1" applyAlignment="1">
      <alignment horizontal="center" vertical="center"/>
    </xf>
    <xf numFmtId="0" fontId="37" fillId="0" borderId="0" xfId="0" applyFont="1" applyAlignment="1">
      <alignment horizontal="center"/>
    </xf>
    <xf numFmtId="4" fontId="0" fillId="0" borderId="46" xfId="0" applyNumberFormat="1" applyFont="1" applyFill="1" applyBorder="1" applyAlignment="1">
      <alignment horizontal="right" vertical="center"/>
    </xf>
    <xf numFmtId="3" fontId="0" fillId="0" borderId="39" xfId="0" applyNumberFormat="1" applyFont="1" applyFill="1" applyBorder="1" applyAlignment="1">
      <alignment horizontal="right" vertical="center"/>
    </xf>
    <xf numFmtId="4" fontId="0" fillId="0" borderId="30" xfId="0" applyNumberFormat="1" applyFont="1" applyFill="1" applyBorder="1" applyAlignment="1">
      <alignment horizontal="right" vertical="center"/>
    </xf>
    <xf numFmtId="9" fontId="0" fillId="0" borderId="0" xfId="6" applyFont="1" applyAlignment="1"/>
    <xf numFmtId="0" fontId="3" fillId="0" borderId="90" xfId="0" applyFont="1" applyFill="1" applyBorder="1" applyAlignment="1">
      <alignment horizontal="right" vertical="center"/>
    </xf>
    <xf numFmtId="0" fontId="0" fillId="15" borderId="99" xfId="0" applyFont="1" applyFill="1" applyBorder="1" applyAlignment="1">
      <alignment horizontal="right" vertical="center"/>
    </xf>
    <xf numFmtId="10" fontId="0" fillId="0" borderId="0" xfId="6" applyNumberFormat="1" applyFont="1" applyAlignment="1"/>
    <xf numFmtId="0" fontId="0" fillId="0" borderId="0" xfId="0"/>
    <xf numFmtId="0" fontId="0" fillId="0" borderId="1" xfId="0" applyNumberFormat="1" applyFill="1" applyBorder="1"/>
    <xf numFmtId="0" fontId="0" fillId="0" borderId="0" xfId="0" applyNumberFormat="1" applyFill="1" applyBorder="1"/>
    <xf numFmtId="0" fontId="0" fillId="0" borderId="2" xfId="0" applyNumberFormat="1" applyFill="1" applyBorder="1"/>
    <xf numFmtId="0" fontId="0" fillId="0" borderId="0" xfId="0"/>
    <xf numFmtId="0" fontId="35" fillId="0" borderId="0" xfId="3" applyFont="1" applyBorder="1" applyAlignment="1">
      <alignment horizontal="left" vertical="center" wrapText="1"/>
    </xf>
    <xf numFmtId="0" fontId="39" fillId="0" borderId="0" xfId="0" applyFont="1" applyAlignment="1">
      <alignment horizontal="left" vertical="center" wrapText="1"/>
    </xf>
    <xf numFmtId="0" fontId="38" fillId="0" borderId="0" xfId="0" applyFont="1" applyAlignment="1">
      <alignment horizontal="center"/>
    </xf>
    <xf numFmtId="0" fontId="38" fillId="0" borderId="0" xfId="0" applyFont="1" applyAlignment="1">
      <alignment horizontal="left" vertical="center" wrapText="1"/>
    </xf>
    <xf numFmtId="0" fontId="38" fillId="0" borderId="0" xfId="0" applyFont="1" applyAlignment="1">
      <alignment vertical="center" wrapText="1"/>
    </xf>
    <xf numFmtId="0" fontId="0" fillId="0" borderId="0" xfId="0"/>
    <xf numFmtId="10" fontId="0" fillId="15" borderId="48" xfId="0" applyNumberFormat="1" applyFont="1" applyFill="1" applyBorder="1" applyAlignment="1">
      <alignment horizontal="center" vertical="center"/>
    </xf>
    <xf numFmtId="0" fontId="0" fillId="8" borderId="39" xfId="0" applyFill="1" applyBorder="1"/>
    <xf numFmtId="0" fontId="0" fillId="8" borderId="40" xfId="0" applyFill="1" applyBorder="1" applyAlignment="1">
      <alignment horizontal="center" vertical="center"/>
    </xf>
    <xf numFmtId="0" fontId="0" fillId="8" borderId="40" xfId="0" applyFill="1" applyBorder="1"/>
    <xf numFmtId="0" fontId="0" fillId="8" borderId="42" xfId="0" applyFill="1" applyBorder="1" applyAlignment="1">
      <alignment horizontal="center" vertical="center"/>
    </xf>
    <xf numFmtId="0" fontId="0" fillId="8" borderId="40" xfId="0" applyFill="1" applyBorder="1" applyAlignment="1">
      <alignment horizontal="left" vertical="center"/>
    </xf>
    <xf numFmtId="0" fontId="0" fillId="8" borderId="44" xfId="0" applyFill="1" applyBorder="1" applyAlignment="1">
      <alignment horizontal="left" vertical="center"/>
    </xf>
    <xf numFmtId="0" fontId="0" fillId="8" borderId="44" xfId="0" applyFill="1" applyBorder="1" applyAlignment="1">
      <alignment horizontal="center" vertical="center"/>
    </xf>
    <xf numFmtId="0" fontId="0" fillId="8" borderId="44" xfId="0" applyFill="1" applyBorder="1"/>
    <xf numFmtId="0" fontId="0" fillId="8" borderId="45" xfId="0" applyFill="1" applyBorder="1" applyAlignment="1">
      <alignment horizontal="center" vertical="center"/>
    </xf>
    <xf numFmtId="0" fontId="3" fillId="0" borderId="14" xfId="0" applyFont="1" applyFill="1" applyBorder="1" applyAlignment="1">
      <alignment horizontal="right" vertical="center"/>
    </xf>
    <xf numFmtId="0" fontId="0" fillId="0" borderId="30" xfId="0" applyFont="1" applyFill="1" applyBorder="1" applyAlignment="1">
      <alignment horizontal="right" vertical="center"/>
    </xf>
    <xf numFmtId="0" fontId="3" fillId="0" borderId="43" xfId="0" applyFont="1" applyFill="1" applyBorder="1" applyAlignment="1">
      <alignment horizontal="right" vertical="center"/>
    </xf>
    <xf numFmtId="177" fontId="0" fillId="15" borderId="0" xfId="6" applyNumberFormat="1" applyFont="1" applyFill="1" applyBorder="1" applyAlignment="1">
      <alignment vertical="center"/>
    </xf>
    <xf numFmtId="177" fontId="0" fillId="15" borderId="9" xfId="6" applyNumberFormat="1" applyFont="1" applyFill="1" applyBorder="1" applyAlignment="1">
      <alignment vertical="center"/>
    </xf>
    <xf numFmtId="14" fontId="11" fillId="0" borderId="0" xfId="0" applyNumberFormat="1" applyFont="1" applyFill="1" applyBorder="1" applyAlignment="1">
      <alignment horizontal="left" vertical="center" wrapText="1"/>
    </xf>
    <xf numFmtId="0" fontId="0" fillId="0" borderId="0" xfId="0" applyAlignment="1">
      <alignment horizontal="left" vertical="center"/>
    </xf>
    <xf numFmtId="180" fontId="0" fillId="0" borderId="0" xfId="0" applyNumberFormat="1"/>
    <xf numFmtId="0" fontId="3" fillId="0" borderId="10" xfId="0" applyFont="1" applyFill="1" applyBorder="1" applyAlignment="1">
      <alignment horizontal="right" vertical="center"/>
    </xf>
    <xf numFmtId="177" fontId="34" fillId="0" borderId="0" xfId="6" applyNumberFormat="1" applyFont="1" applyFill="1" applyBorder="1" applyAlignment="1">
      <alignment horizontal="right" vertical="center"/>
    </xf>
    <xf numFmtId="9" fontId="34" fillId="0" borderId="0" xfId="6" applyFont="1" applyFill="1" applyBorder="1" applyAlignment="1">
      <alignment horizontal="right" vertical="center"/>
    </xf>
    <xf numFmtId="0" fontId="0" fillId="0" borderId="0" xfId="0" applyFont="1" applyFill="1" applyBorder="1" applyAlignment="1">
      <alignment horizontal="center" vertical="center" wrapText="1"/>
    </xf>
    <xf numFmtId="0" fontId="0" fillId="0" borderId="0" xfId="0"/>
    <xf numFmtId="0" fontId="11" fillId="14" borderId="6" xfId="0" applyFont="1" applyFill="1" applyBorder="1" applyAlignment="1">
      <alignment horizontal="center" vertical="center" wrapText="1"/>
    </xf>
    <xf numFmtId="0" fontId="0" fillId="0" borderId="0" xfId="0"/>
    <xf numFmtId="0" fontId="0" fillId="0" borderId="0" xfId="0"/>
    <xf numFmtId="0" fontId="11" fillId="0" borderId="0" xfId="0" applyFont="1" applyFill="1" applyBorder="1" applyAlignment="1">
      <alignment horizontal="center" vertical="center" wrapText="1"/>
    </xf>
    <xf numFmtId="0" fontId="15" fillId="0" borderId="0" xfId="0" applyFont="1" applyFill="1" applyAlignment="1">
      <alignment horizontal="left" vertical="center" wrapText="1"/>
    </xf>
    <xf numFmtId="0" fontId="15" fillId="0" borderId="36" xfId="0" applyFont="1" applyFill="1" applyBorder="1" applyAlignment="1">
      <alignment horizontal="left" vertical="center" wrapText="1"/>
    </xf>
    <xf numFmtId="0" fontId="15" fillId="0" borderId="0" xfId="0" applyFont="1" applyFill="1" applyBorder="1" applyAlignment="1">
      <alignment horizontal="center" vertical="center" wrapText="1"/>
    </xf>
    <xf numFmtId="0" fontId="15" fillId="0" borderId="36" xfId="0" applyFont="1" applyFill="1" applyBorder="1" applyAlignment="1">
      <alignment horizontal="center" vertical="center" wrapText="1"/>
    </xf>
    <xf numFmtId="0" fontId="12" fillId="0" borderId="56" xfId="0" applyFont="1" applyFill="1" applyBorder="1" applyAlignment="1">
      <alignment horizontal="center" vertical="center" wrapText="1"/>
    </xf>
    <xf numFmtId="0" fontId="15" fillId="0" borderId="56" xfId="0" applyFont="1" applyFill="1" applyBorder="1" applyAlignment="1">
      <alignment horizontal="left" vertical="center" wrapText="1"/>
    </xf>
    <xf numFmtId="0" fontId="26" fillId="0" borderId="36" xfId="0" applyFont="1" applyFill="1" applyBorder="1" applyAlignment="1">
      <alignment horizontal="center" vertical="center" wrapText="1"/>
    </xf>
    <xf numFmtId="0" fontId="11" fillId="0" borderId="0" xfId="0" applyFont="1" applyFill="1" applyBorder="1" applyAlignment="1">
      <alignment horizontal="right" vertical="center"/>
    </xf>
    <xf numFmtId="14" fontId="11" fillId="0" borderId="0" xfId="0" applyNumberFormat="1" applyFont="1" applyFill="1" applyBorder="1" applyAlignment="1">
      <alignment horizontal="right" vertical="center"/>
    </xf>
    <xf numFmtId="14" fontId="11" fillId="0" borderId="0" xfId="0" applyNumberFormat="1" applyFont="1" applyFill="1" applyBorder="1" applyAlignment="1">
      <alignment horizontal="right" vertical="center" wrapText="1"/>
    </xf>
    <xf numFmtId="14" fontId="15" fillId="0" borderId="0" xfId="0" applyNumberFormat="1" applyFont="1" applyFill="1" applyBorder="1" applyAlignment="1">
      <alignment horizontal="right" vertical="center" wrapText="1"/>
    </xf>
    <xf numFmtId="0" fontId="42" fillId="0" borderId="0" xfId="3" applyFont="1" applyFill="1" applyBorder="1" applyAlignment="1">
      <alignment vertical="center" wrapText="1"/>
    </xf>
    <xf numFmtId="177" fontId="11" fillId="0" borderId="0" xfId="0" applyNumberFormat="1"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36" xfId="0" applyFont="1" applyFill="1" applyBorder="1" applyAlignment="1">
      <alignment horizontal="left" vertical="center" wrapText="1"/>
    </xf>
    <xf numFmtId="0" fontId="11" fillId="0" borderId="36" xfId="0" applyFont="1" applyFill="1" applyBorder="1" applyAlignment="1">
      <alignment horizontal="center" vertical="center" wrapText="1"/>
    </xf>
    <xf numFmtId="0" fontId="11" fillId="0" borderId="56" xfId="0" applyFont="1" applyFill="1" applyBorder="1" applyAlignment="1">
      <alignment horizontal="center" vertical="center" wrapText="1"/>
    </xf>
    <xf numFmtId="176" fontId="15" fillId="0" borderId="0" xfId="0" applyNumberFormat="1" applyFont="1" applyFill="1" applyAlignment="1">
      <alignment horizontal="center" vertical="center" wrapText="1"/>
    </xf>
    <xf numFmtId="0" fontId="11" fillId="0" borderId="56" xfId="0" applyFont="1" applyFill="1" applyBorder="1" applyAlignment="1">
      <alignment horizontal="left" vertical="center" wrapText="1"/>
    </xf>
    <xf numFmtId="14" fontId="40" fillId="0" borderId="0" xfId="3" applyNumberFormat="1" applyFont="1" applyFill="1" applyBorder="1" applyAlignment="1">
      <alignment horizontal="left" vertical="center" wrapText="1"/>
    </xf>
    <xf numFmtId="0" fontId="12" fillId="0" borderId="36" xfId="0" applyFont="1" applyFill="1" applyBorder="1" applyAlignment="1">
      <alignment horizontal="left" vertical="center" wrapText="1"/>
    </xf>
    <xf numFmtId="0" fontId="12" fillId="0" borderId="36" xfId="0" applyFont="1" applyFill="1" applyBorder="1" applyAlignment="1">
      <alignment horizontal="center" vertical="center" wrapText="1"/>
    </xf>
    <xf numFmtId="0" fontId="12" fillId="0" borderId="56" xfId="0" applyFont="1" applyFill="1" applyBorder="1" applyAlignment="1">
      <alignment horizontal="left" vertical="center" wrapText="1"/>
    </xf>
    <xf numFmtId="0" fontId="40" fillId="0" borderId="0" xfId="3" applyFont="1" applyFill="1" applyAlignment="1">
      <alignment vertical="center" wrapText="1"/>
    </xf>
    <xf numFmtId="9" fontId="11" fillId="0" borderId="0" xfId="0" applyNumberFormat="1" applyFont="1" applyFill="1" applyBorder="1" applyAlignment="1">
      <alignment horizontal="center" vertical="center" wrapText="1"/>
    </xf>
    <xf numFmtId="9" fontId="11" fillId="0" borderId="0" xfId="0" applyNumberFormat="1" applyFont="1" applyFill="1" applyAlignment="1">
      <alignment horizontal="center" vertical="center" wrapText="1"/>
    </xf>
    <xf numFmtId="0" fontId="12" fillId="0" borderId="0" xfId="0" applyFont="1" applyFill="1" applyAlignment="1">
      <alignment horizontal="left" vertical="center" wrapText="1"/>
    </xf>
    <xf numFmtId="14" fontId="41" fillId="0" borderId="0" xfId="0" applyNumberFormat="1" applyFont="1" applyFill="1" applyBorder="1" applyAlignment="1">
      <alignment horizontal="right" vertical="center" wrapText="1"/>
    </xf>
    <xf numFmtId="176" fontId="11" fillId="0" borderId="0" xfId="0" applyNumberFormat="1" applyFont="1" applyFill="1" applyBorder="1" applyAlignment="1">
      <alignment horizontal="center" vertical="center" wrapText="1"/>
    </xf>
    <xf numFmtId="10" fontId="11" fillId="0" borderId="0" xfId="0" applyNumberFormat="1" applyFont="1" applyFill="1" applyAlignment="1">
      <alignment horizontal="center" vertical="center" wrapText="1"/>
    </xf>
    <xf numFmtId="14" fontId="15" fillId="0" borderId="0" xfId="0" applyNumberFormat="1" applyFont="1" applyFill="1" applyAlignment="1">
      <alignment horizontal="right" vertical="center"/>
    </xf>
    <xf numFmtId="14" fontId="11" fillId="0" borderId="0" xfId="0" applyNumberFormat="1" applyFont="1" applyFill="1" applyAlignment="1">
      <alignment horizontal="right" vertical="center"/>
    </xf>
    <xf numFmtId="14" fontId="15" fillId="0" borderId="0" xfId="0" applyNumberFormat="1" applyFont="1" applyFill="1" applyBorder="1" applyAlignment="1">
      <alignment horizontal="right" vertical="center"/>
    </xf>
    <xf numFmtId="0" fontId="40" fillId="0" borderId="0" xfId="3" applyFont="1" applyFill="1" applyBorder="1" applyAlignment="1">
      <alignment vertical="center" wrapText="1"/>
    </xf>
    <xf numFmtId="14" fontId="11" fillId="0" borderId="0" xfId="0" applyNumberFormat="1" applyFont="1" applyFill="1" applyAlignment="1">
      <alignment horizontal="right" vertical="center" wrapText="1"/>
    </xf>
    <xf numFmtId="0" fontId="12" fillId="0" borderId="0" xfId="3" applyFont="1" applyFill="1" applyAlignment="1">
      <alignment horizontal="left" vertical="center" wrapText="1"/>
    </xf>
    <xf numFmtId="0" fontId="12" fillId="0" borderId="36" xfId="3" applyFont="1" applyFill="1" applyBorder="1" applyAlignment="1">
      <alignment horizontal="left" vertical="center" wrapText="1"/>
    </xf>
    <xf numFmtId="0" fontId="12" fillId="0" borderId="0" xfId="3" applyFont="1" applyFill="1" applyBorder="1" applyAlignment="1">
      <alignment horizontal="center" vertical="center" wrapText="1"/>
    </xf>
    <xf numFmtId="0" fontId="12" fillId="0" borderId="36" xfId="3" applyFont="1" applyFill="1" applyBorder="1" applyAlignment="1">
      <alignment horizontal="center" vertical="center" wrapText="1"/>
    </xf>
    <xf numFmtId="0" fontId="12" fillId="0" borderId="56" xfId="3" applyFont="1" applyFill="1" applyBorder="1" applyAlignment="1">
      <alignment horizontal="center" vertical="center" wrapText="1"/>
    </xf>
    <xf numFmtId="0" fontId="12" fillId="0" borderId="56" xfId="3" applyFont="1" applyFill="1" applyBorder="1" applyAlignment="1">
      <alignment horizontal="left" vertical="center" wrapText="1"/>
    </xf>
    <xf numFmtId="176" fontId="15" fillId="0" borderId="0" xfId="0" applyNumberFormat="1" applyFont="1" applyFill="1" applyBorder="1" applyAlignment="1">
      <alignment horizontal="center" vertical="center" wrapText="1"/>
    </xf>
    <xf numFmtId="38" fontId="12" fillId="0" borderId="0" xfId="5" applyFont="1" applyFill="1" applyBorder="1" applyAlignment="1">
      <alignment horizontal="center" vertical="center" wrapText="1"/>
    </xf>
    <xf numFmtId="0" fontId="11" fillId="0" borderId="0" xfId="0" applyFont="1" applyFill="1" applyAlignment="1">
      <alignment horizontal="center" vertical="center"/>
    </xf>
    <xf numFmtId="0" fontId="11" fillId="0" borderId="36" xfId="0" applyFont="1" applyFill="1" applyBorder="1" applyAlignment="1">
      <alignment vertical="center" wrapText="1"/>
    </xf>
    <xf numFmtId="176" fontId="12" fillId="0" borderId="0" xfId="0" applyNumberFormat="1" applyFont="1" applyFill="1" applyAlignment="1">
      <alignment horizontal="center" vertical="center" wrapText="1"/>
    </xf>
    <xf numFmtId="176" fontId="11" fillId="0" borderId="0" xfId="0" applyNumberFormat="1" applyFont="1" applyFill="1" applyBorder="1" applyAlignment="1">
      <alignment horizontal="center" vertical="center"/>
    </xf>
    <xf numFmtId="0" fontId="11" fillId="0" borderId="14" xfId="0" applyFont="1" applyFill="1" applyBorder="1" applyAlignment="1">
      <alignment horizontal="center" vertical="center"/>
    </xf>
    <xf numFmtId="176" fontId="11" fillId="0" borderId="0" xfId="0" applyNumberFormat="1" applyFont="1" applyFill="1" applyBorder="1" applyAlignment="1">
      <alignment horizontal="left" vertical="center" wrapText="1"/>
    </xf>
    <xf numFmtId="0" fontId="11" fillId="0" borderId="0" xfId="0" applyFont="1" applyFill="1" applyAlignment="1">
      <alignment vertical="center" wrapText="1"/>
    </xf>
    <xf numFmtId="0" fontId="11" fillId="0" borderId="56" xfId="0" applyFont="1" applyFill="1" applyBorder="1" applyAlignment="1">
      <alignment vertical="center" wrapText="1"/>
    </xf>
    <xf numFmtId="10" fontId="11" fillId="0" borderId="0" xfId="0" applyNumberFormat="1" applyFont="1" applyFill="1" applyBorder="1" applyAlignment="1">
      <alignment horizontal="center" vertical="center" wrapText="1"/>
    </xf>
    <xf numFmtId="176" fontId="12" fillId="0" borderId="0" xfId="0" applyNumberFormat="1" applyFont="1" applyFill="1" applyBorder="1" applyAlignment="1">
      <alignment horizontal="center" vertical="center" wrapText="1"/>
    </xf>
    <xf numFmtId="2" fontId="11" fillId="0" borderId="0" xfId="0" applyNumberFormat="1" applyFont="1" applyFill="1" applyAlignment="1">
      <alignment horizontal="center" vertical="center" wrapText="1"/>
    </xf>
    <xf numFmtId="2" fontId="11" fillId="0" borderId="0" xfId="0" applyNumberFormat="1" applyFont="1" applyFill="1" applyAlignment="1">
      <alignment horizontal="center" vertical="center"/>
    </xf>
    <xf numFmtId="0" fontId="11" fillId="0" borderId="0" xfId="0" applyFont="1" applyFill="1" applyAlignment="1">
      <alignment horizontal="left" vertical="center"/>
    </xf>
    <xf numFmtId="0" fontId="11" fillId="0" borderId="36" xfId="0" applyFont="1" applyFill="1" applyBorder="1" applyAlignment="1">
      <alignment horizontal="left" vertical="center"/>
    </xf>
    <xf numFmtId="0" fontId="11" fillId="0" borderId="56" xfId="0" applyFont="1" applyFill="1" applyBorder="1" applyAlignment="1">
      <alignment horizontal="left" vertical="center"/>
    </xf>
    <xf numFmtId="14" fontId="41" fillId="0" borderId="0" xfId="0" applyNumberFormat="1" applyFont="1" applyFill="1" applyAlignment="1">
      <alignment horizontal="right" vertical="center"/>
    </xf>
    <xf numFmtId="0" fontId="11" fillId="0" borderId="36" xfId="0" applyFont="1" applyFill="1" applyBorder="1" applyAlignment="1">
      <alignment horizontal="center" vertical="center"/>
    </xf>
    <xf numFmtId="0" fontId="11" fillId="0" borderId="56" xfId="0" applyFont="1" applyFill="1" applyBorder="1" applyAlignment="1">
      <alignment horizontal="center" vertical="center"/>
    </xf>
    <xf numFmtId="0" fontId="26" fillId="0" borderId="0" xfId="0" applyFont="1" applyFill="1" applyAlignment="1">
      <alignment horizontal="center" vertical="center" wrapText="1"/>
    </xf>
    <xf numFmtId="14" fontId="43" fillId="0" borderId="0" xfId="0" applyNumberFormat="1" applyFont="1" applyFill="1" applyAlignment="1">
      <alignment horizontal="right" vertical="center"/>
    </xf>
    <xf numFmtId="0" fontId="40" fillId="0" borderId="0" xfId="3" applyFont="1" applyFill="1" applyBorder="1" applyAlignment="1">
      <alignment horizontal="left" vertical="center" wrapText="1"/>
    </xf>
    <xf numFmtId="0" fontId="11" fillId="0" borderId="9"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0" xfId="0" applyFont="1" applyFill="1" applyBorder="1" applyAlignment="1">
      <alignment vertical="center" wrapText="1"/>
    </xf>
    <xf numFmtId="179" fontId="11" fillId="0" borderId="0" xfId="5" applyNumberFormat="1"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37" xfId="0" applyFont="1" applyFill="1" applyBorder="1" applyAlignment="1">
      <alignment horizontal="left" vertical="center" wrapText="1"/>
    </xf>
    <xf numFmtId="0" fontId="11" fillId="0" borderId="37" xfId="0" applyFont="1" applyFill="1" applyBorder="1" applyAlignment="1">
      <alignment horizontal="center" vertical="center" wrapText="1"/>
    </xf>
    <xf numFmtId="0" fontId="11" fillId="0" borderId="92" xfId="0" applyFont="1" applyFill="1" applyBorder="1" applyAlignment="1">
      <alignment horizontal="center" vertical="center" wrapText="1"/>
    </xf>
    <xf numFmtId="0" fontId="11" fillId="0" borderId="57" xfId="0" applyFont="1" applyFill="1" applyBorder="1" applyAlignment="1">
      <alignment horizontal="center" vertical="center" wrapText="1"/>
    </xf>
    <xf numFmtId="0" fontId="12" fillId="0" borderId="57" xfId="0" applyFont="1" applyFill="1" applyBorder="1" applyAlignment="1">
      <alignment horizontal="center" vertical="center" wrapText="1"/>
    </xf>
    <xf numFmtId="176" fontId="11" fillId="0" borderId="2" xfId="0" applyNumberFormat="1" applyFont="1" applyFill="1" applyBorder="1" applyAlignment="1">
      <alignment horizontal="center" vertical="center" wrapText="1"/>
    </xf>
    <xf numFmtId="0" fontId="11" fillId="0" borderId="58" xfId="0" applyFont="1" applyFill="1" applyBorder="1" applyAlignment="1">
      <alignment horizontal="left" vertical="center" wrapText="1"/>
    </xf>
    <xf numFmtId="14" fontId="11" fillId="0" borderId="2" xfId="0" applyNumberFormat="1" applyFont="1" applyFill="1" applyBorder="1" applyAlignment="1">
      <alignment horizontal="right" vertical="center"/>
    </xf>
    <xf numFmtId="14" fontId="11" fillId="0" borderId="2" xfId="0" applyNumberFormat="1" applyFont="1" applyFill="1" applyBorder="1" applyAlignment="1">
      <alignment horizontal="right" vertical="center" wrapText="1"/>
    </xf>
    <xf numFmtId="0" fontId="40" fillId="0" borderId="2" xfId="3" applyFont="1" applyFill="1" applyBorder="1" applyAlignment="1">
      <alignment vertical="center" wrapText="1"/>
    </xf>
    <xf numFmtId="177" fontId="44" fillId="0" borderId="0" xfId="6" applyNumberFormat="1" applyFont="1" applyFill="1" applyBorder="1" applyAlignment="1">
      <alignment horizontal="right" vertical="center"/>
    </xf>
    <xf numFmtId="0" fontId="0" fillId="0" borderId="52" xfId="0" applyBorder="1" applyAlignment="1">
      <alignment horizontal="left" vertical="center" wrapText="1"/>
    </xf>
    <xf numFmtId="0" fontId="0" fillId="0" borderId="0" xfId="0"/>
    <xf numFmtId="0" fontId="0" fillId="0" borderId="0" xfId="0"/>
    <xf numFmtId="176" fontId="3" fillId="0" borderId="52" xfId="0" applyNumberFormat="1" applyFont="1" applyBorder="1" applyAlignment="1">
      <alignment horizontal="center" vertical="center" wrapText="1"/>
    </xf>
    <xf numFmtId="49" fontId="0" fillId="0" borderId="52" xfId="0" applyNumberFormat="1" applyBorder="1" applyAlignment="1">
      <alignment horizontal="center" vertical="center" wrapText="1"/>
    </xf>
    <xf numFmtId="0" fontId="25" fillId="11" borderId="0" xfId="1" applyFont="1" applyFill="1" applyBorder="1" applyAlignment="1">
      <alignment horizontal="center" vertical="center" wrapText="1"/>
    </xf>
    <xf numFmtId="0" fontId="15" fillId="0" borderId="56"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0" fillId="0" borderId="0" xfId="0"/>
    <xf numFmtId="0" fontId="0" fillId="0" borderId="52" xfId="0" applyBorder="1" applyAlignment="1">
      <alignment horizontal="left" vertical="center" wrapText="1"/>
    </xf>
    <xf numFmtId="0" fontId="0" fillId="0" borderId="52" xfId="0" applyBorder="1" applyAlignment="1">
      <alignment horizontal="left" vertical="center" wrapText="1"/>
    </xf>
    <xf numFmtId="0" fontId="0" fillId="0" borderId="0" xfId="0"/>
    <xf numFmtId="0" fontId="0" fillId="0" borderId="52" xfId="0" applyBorder="1" applyAlignment="1">
      <alignment horizontal="left" vertical="center" wrapText="1"/>
    </xf>
    <xf numFmtId="0" fontId="0" fillId="0" borderId="0" xfId="0"/>
    <xf numFmtId="9" fontId="11" fillId="0" borderId="0" xfId="0" applyNumberFormat="1" applyFont="1" applyAlignment="1">
      <alignment horizontal="center" vertical="center" wrapText="1"/>
    </xf>
    <xf numFmtId="0" fontId="11" fillId="0" borderId="9" xfId="0" applyFont="1" applyFill="1" applyBorder="1" applyAlignment="1">
      <alignment horizontal="left" vertical="center" wrapText="1"/>
    </xf>
    <xf numFmtId="0" fontId="0" fillId="0" borderId="52" xfId="0" applyBorder="1" applyAlignment="1">
      <alignment horizontal="left" vertical="center" wrapText="1"/>
    </xf>
    <xf numFmtId="0" fontId="0" fillId="0" borderId="0" xfId="0"/>
    <xf numFmtId="14" fontId="41" fillId="0" borderId="0" xfId="0" applyNumberFormat="1" applyFont="1" applyFill="1" applyBorder="1" applyAlignment="1">
      <alignment horizontal="center" vertical="center" wrapText="1"/>
    </xf>
    <xf numFmtId="0" fontId="33" fillId="0" borderId="0" xfId="0" applyFont="1" applyFill="1" applyBorder="1" applyAlignment="1">
      <alignment horizontal="center" vertical="center"/>
    </xf>
    <xf numFmtId="14" fontId="41" fillId="0" borderId="34" xfId="0" applyNumberFormat="1" applyFont="1" applyFill="1" applyBorder="1" applyAlignment="1">
      <alignment horizontal="center" vertical="center" wrapText="1"/>
    </xf>
    <xf numFmtId="0" fontId="33" fillId="0" borderId="34" xfId="0" applyFont="1" applyFill="1" applyBorder="1" applyAlignment="1">
      <alignment horizontal="center" vertical="center"/>
    </xf>
    <xf numFmtId="14" fontId="41" fillId="0" borderId="91" xfId="0" applyNumberFormat="1" applyFont="1" applyFill="1" applyBorder="1" applyAlignment="1">
      <alignment horizontal="center" vertical="center" wrapText="1"/>
    </xf>
    <xf numFmtId="14" fontId="41" fillId="0" borderId="2" xfId="0" applyNumberFormat="1" applyFont="1" applyFill="1" applyBorder="1" applyAlignment="1">
      <alignment horizontal="center" vertical="center" wrapText="1"/>
    </xf>
    <xf numFmtId="0" fontId="0" fillId="0" borderId="0" xfId="0"/>
    <xf numFmtId="0" fontId="0" fillId="0" borderId="52" xfId="0" applyBorder="1" applyAlignment="1">
      <alignment horizontal="left" vertical="center" wrapText="1"/>
    </xf>
    <xf numFmtId="178" fontId="41" fillId="0" borderId="0" xfId="0" applyNumberFormat="1" applyFont="1" applyFill="1" applyBorder="1" applyAlignment="1">
      <alignment horizontal="center" vertical="center" wrapText="1"/>
    </xf>
    <xf numFmtId="178" fontId="41" fillId="0" borderId="9" xfId="0" applyNumberFormat="1" applyFont="1" applyFill="1" applyBorder="1" applyAlignment="1">
      <alignment horizontal="center" vertical="center" wrapText="1"/>
    </xf>
    <xf numFmtId="0" fontId="48" fillId="0" borderId="0" xfId="0" applyFont="1" applyAlignment="1">
      <alignment horizontal="center" vertical="center"/>
    </xf>
    <xf numFmtId="0" fontId="48" fillId="0" borderId="0" xfId="0" applyFont="1" applyAlignment="1">
      <alignment horizontal="center" vertical="center" wrapText="1"/>
    </xf>
    <xf numFmtId="0" fontId="48" fillId="0" borderId="0" xfId="0" applyFont="1" applyBorder="1" applyAlignment="1">
      <alignment horizontal="center" vertical="center"/>
    </xf>
    <xf numFmtId="0" fontId="48" fillId="0" borderId="0" xfId="0" applyFont="1" applyFill="1" applyBorder="1" applyAlignment="1">
      <alignment horizontal="center" vertical="center"/>
    </xf>
    <xf numFmtId="178" fontId="41" fillId="0" borderId="34" xfId="0" applyNumberFormat="1" applyFont="1" applyFill="1" applyBorder="1" applyAlignment="1">
      <alignment horizontal="center" vertical="center" wrapText="1"/>
    </xf>
    <xf numFmtId="178" fontId="11" fillId="0" borderId="2" xfId="0" applyNumberFormat="1" applyFont="1" applyFill="1" applyBorder="1" applyAlignment="1">
      <alignment horizontal="center" vertical="center" wrapText="1"/>
    </xf>
    <xf numFmtId="0" fontId="48" fillId="0" borderId="10" xfId="0" applyFont="1" applyBorder="1" applyAlignment="1">
      <alignment horizontal="center" vertical="center"/>
    </xf>
    <xf numFmtId="0" fontId="0" fillId="0" borderId="0" xfId="0"/>
    <xf numFmtId="0" fontId="11" fillId="0" borderId="0" xfId="0" applyNumberFormat="1" applyFont="1" applyFill="1" applyBorder="1" applyAlignment="1">
      <alignment horizontal="center" vertical="center" wrapText="1"/>
    </xf>
    <xf numFmtId="0" fontId="3" fillId="0" borderId="52" xfId="0" applyFont="1" applyFill="1" applyBorder="1" applyAlignment="1">
      <alignment horizontal="center" vertical="center" wrapText="1"/>
    </xf>
    <xf numFmtId="0" fontId="44" fillId="0" borderId="52" xfId="0" applyFont="1" applyFill="1" applyBorder="1" applyAlignment="1">
      <alignment horizontal="left" vertical="center" wrapText="1"/>
    </xf>
    <xf numFmtId="0" fontId="0" fillId="0" borderId="0" xfId="0"/>
    <xf numFmtId="0" fontId="0" fillId="0" borderId="0" xfId="0"/>
    <xf numFmtId="0" fontId="0" fillId="8" borderId="39" xfId="0" applyFill="1" applyBorder="1" applyAlignment="1">
      <alignment vertical="center"/>
    </xf>
    <xf numFmtId="0" fontId="0" fillId="0" borderId="0" xfId="0" applyFill="1" applyAlignment="1">
      <alignment horizontal="left" vertical="center"/>
    </xf>
    <xf numFmtId="0" fontId="0" fillId="0" borderId="0" xfId="0"/>
    <xf numFmtId="0" fontId="11" fillId="0" borderId="0" xfId="0" quotePrefix="1" applyFont="1" applyFill="1" applyBorder="1" applyAlignment="1">
      <alignment horizontal="left" vertical="center" wrapText="1"/>
    </xf>
    <xf numFmtId="0" fontId="12" fillId="0" borderId="36" xfId="0" quotePrefix="1" applyFont="1" applyFill="1" applyBorder="1" applyAlignment="1">
      <alignment horizontal="left" vertical="center" wrapText="1"/>
    </xf>
    <xf numFmtId="49" fontId="44" fillId="0" borderId="52" xfId="0" applyNumberFormat="1" applyFont="1" applyFill="1" applyBorder="1" applyAlignment="1">
      <alignment horizontal="center" vertical="center" wrapText="1"/>
    </xf>
    <xf numFmtId="0" fontId="0" fillId="0" borderId="0" xfId="0"/>
    <xf numFmtId="10" fontId="11" fillId="16" borderId="0" xfId="0" applyNumberFormat="1" applyFont="1" applyFill="1" applyBorder="1" applyAlignment="1">
      <alignment horizontal="center" vertical="center" wrapText="1"/>
    </xf>
    <xf numFmtId="0" fontId="9" fillId="0" borderId="0" xfId="0" applyFont="1" applyFill="1" applyAlignment="1">
      <alignment horizontal="center" vertical="center" wrapText="1"/>
    </xf>
    <xf numFmtId="0" fontId="0" fillId="0" borderId="0" xfId="0"/>
    <xf numFmtId="0" fontId="29" fillId="0" borderId="0" xfId="0" applyFont="1" applyFill="1" applyAlignment="1">
      <alignment horizontal="center" vertical="center" wrapText="1"/>
    </xf>
    <xf numFmtId="0" fontId="19" fillId="8" borderId="106" xfId="1" applyFont="1" applyFill="1" applyBorder="1" applyAlignment="1">
      <alignment horizontal="left" vertical="center"/>
    </xf>
    <xf numFmtId="9" fontId="11" fillId="0" borderId="2" xfId="0" applyNumberFormat="1" applyFont="1" applyFill="1" applyBorder="1" applyAlignment="1">
      <alignment horizontal="center" vertical="center" wrapText="1"/>
    </xf>
    <xf numFmtId="0" fontId="12" fillId="16" borderId="9" xfId="0" applyFont="1" applyFill="1" applyBorder="1" applyAlignment="1">
      <alignment horizontal="left" vertical="center" wrapText="1"/>
    </xf>
    <xf numFmtId="177" fontId="11" fillId="0" borderId="0" xfId="0" applyNumberFormat="1" applyFont="1" applyFill="1" applyAlignment="1">
      <alignment horizontal="center" vertical="center" wrapText="1"/>
    </xf>
    <xf numFmtId="49" fontId="11" fillId="0" borderId="0" xfId="0" applyNumberFormat="1" applyFont="1" applyFill="1" applyBorder="1" applyAlignment="1">
      <alignment horizontal="center" vertical="center" wrapText="1"/>
    </xf>
    <xf numFmtId="0" fontId="11" fillId="16" borderId="0" xfId="0" quotePrefix="1" applyFont="1" applyFill="1" applyBorder="1" applyAlignment="1">
      <alignment horizontal="left" vertical="center" wrapText="1"/>
    </xf>
    <xf numFmtId="0" fontId="0" fillId="0" borderId="56" xfId="0" applyFill="1" applyBorder="1" applyAlignment="1">
      <alignment vertical="center"/>
    </xf>
    <xf numFmtId="0" fontId="33" fillId="16" borderId="9" xfId="0" applyFont="1" applyFill="1" applyBorder="1" applyAlignment="1">
      <alignment horizontal="left" vertical="center" wrapText="1"/>
    </xf>
    <xf numFmtId="0" fontId="33" fillId="16" borderId="9" xfId="0" quotePrefix="1" applyFont="1" applyFill="1" applyBorder="1" applyAlignment="1">
      <alignment horizontal="left" vertical="center" wrapText="1"/>
    </xf>
    <xf numFmtId="0" fontId="33" fillId="15" borderId="9" xfId="0" applyFont="1" applyFill="1" applyBorder="1" applyAlignment="1">
      <alignment horizontal="left" vertical="center" wrapText="1"/>
    </xf>
    <xf numFmtId="0" fontId="37" fillId="16" borderId="9" xfId="0" applyFont="1" applyFill="1" applyBorder="1" applyAlignment="1">
      <alignment horizontal="left" vertical="center" wrapText="1"/>
    </xf>
    <xf numFmtId="178" fontId="6" fillId="15" borderId="66" xfId="2" applyNumberFormat="1" applyFont="1" applyFill="1" applyBorder="1" applyAlignment="1">
      <alignment horizontal="center" vertical="top" wrapText="1"/>
    </xf>
    <xf numFmtId="178" fontId="46" fillId="0" borderId="0" xfId="0" applyNumberFormat="1" applyFont="1" applyFill="1" applyBorder="1" applyAlignment="1">
      <alignment horizontal="center" vertical="center"/>
    </xf>
    <xf numFmtId="178" fontId="41" fillId="0" borderId="0" xfId="0" applyNumberFormat="1" applyFont="1" applyFill="1" applyBorder="1" applyAlignment="1">
      <alignment horizontal="center" vertical="center"/>
    </xf>
    <xf numFmtId="178" fontId="41" fillId="0" borderId="2" xfId="0" applyNumberFormat="1" applyFont="1" applyFill="1" applyBorder="1" applyAlignment="1">
      <alignment horizontal="center" vertical="center" wrapText="1"/>
    </xf>
    <xf numFmtId="178" fontId="36" fillId="0" borderId="0" xfId="0" applyNumberFormat="1" applyFont="1" applyFill="1" applyBorder="1" applyAlignment="1">
      <alignment horizontal="center" vertical="center"/>
    </xf>
    <xf numFmtId="178" fontId="6" fillId="0" borderId="0" xfId="0" applyNumberFormat="1" applyFont="1" applyAlignment="1">
      <alignment horizontal="center"/>
    </xf>
    <xf numFmtId="178" fontId="37" fillId="0" borderId="0" xfId="0" applyNumberFormat="1" applyFont="1" applyAlignment="1">
      <alignment horizontal="center"/>
    </xf>
    <xf numFmtId="178" fontId="11" fillId="0" borderId="9" xfId="0" applyNumberFormat="1" applyFont="1" applyFill="1" applyBorder="1" applyAlignment="1">
      <alignment horizontal="center" vertical="center" wrapText="1"/>
    </xf>
    <xf numFmtId="178" fontId="46" fillId="0" borderId="9" xfId="0" applyNumberFormat="1" applyFont="1" applyFill="1" applyBorder="1" applyAlignment="1">
      <alignment horizontal="center" vertical="center"/>
    </xf>
    <xf numFmtId="178" fontId="41" fillId="0" borderId="9" xfId="0" applyNumberFormat="1" applyFont="1" applyFill="1" applyBorder="1" applyAlignment="1">
      <alignment horizontal="center" vertical="center"/>
    </xf>
    <xf numFmtId="178" fontId="41" fillId="0" borderId="10" xfId="0" applyNumberFormat="1" applyFont="1" applyFill="1" applyBorder="1" applyAlignment="1">
      <alignment horizontal="center" vertical="center" wrapText="1"/>
    </xf>
    <xf numFmtId="0" fontId="0" fillId="0" borderId="0" xfId="0"/>
    <xf numFmtId="0" fontId="0" fillId="0" borderId="0" xfId="0"/>
    <xf numFmtId="0" fontId="11" fillId="0" borderId="0" xfId="0" applyNumberFormat="1" applyFont="1" applyFill="1" applyBorder="1" applyAlignment="1">
      <alignment horizontal="center" vertical="center"/>
    </xf>
    <xf numFmtId="0" fontId="0" fillId="0" borderId="0" xfId="0"/>
    <xf numFmtId="49" fontId="11" fillId="0" borderId="0" xfId="0" applyNumberFormat="1" applyFont="1" applyFill="1" applyBorder="1" applyAlignment="1">
      <alignment horizontal="center" vertical="center"/>
    </xf>
    <xf numFmtId="0" fontId="0" fillId="0" borderId="0" xfId="0"/>
    <xf numFmtId="0" fontId="11" fillId="16" borderId="0" xfId="0" applyFont="1" applyFill="1" applyAlignment="1">
      <alignment horizontal="center" vertical="center" wrapText="1"/>
    </xf>
    <xf numFmtId="0" fontId="0" fillId="0" borderId="0" xfId="0"/>
    <xf numFmtId="177" fontId="11" fillId="16" borderId="0" xfId="0" applyNumberFormat="1" applyFont="1" applyFill="1" applyAlignment="1">
      <alignment horizontal="center" vertical="center" wrapText="1"/>
    </xf>
    <xf numFmtId="0" fontId="50" fillId="0" borderId="0" xfId="0" applyFont="1" applyAlignment="1">
      <alignment vertical="center" wrapText="1"/>
    </xf>
    <xf numFmtId="0" fontId="12" fillId="0" borderId="9" xfId="0" applyFont="1" applyFill="1" applyBorder="1" applyAlignment="1">
      <alignment horizontal="left" vertical="center" wrapText="1"/>
    </xf>
    <xf numFmtId="0" fontId="11" fillId="16" borderId="9" xfId="0" applyFont="1" applyFill="1" applyBorder="1" applyAlignment="1">
      <alignment vertical="center" wrapText="1"/>
    </xf>
    <xf numFmtId="0" fontId="0" fillId="0" borderId="0" xfId="0"/>
    <xf numFmtId="0" fontId="0" fillId="0" borderId="0" xfId="0"/>
    <xf numFmtId="0" fontId="0" fillId="0" borderId="0" xfId="0"/>
    <xf numFmtId="0" fontId="51" fillId="17" borderId="59" xfId="0" applyFont="1" applyFill="1" applyBorder="1" applyAlignment="1">
      <alignment horizontal="center" vertical="center"/>
    </xf>
    <xf numFmtId="0" fontId="51" fillId="17" borderId="56" xfId="0" applyFont="1" applyFill="1" applyBorder="1" applyAlignment="1">
      <alignment horizontal="center" vertical="center"/>
    </xf>
    <xf numFmtId="0" fontId="46" fillId="15" borderId="66" xfId="2" applyFont="1" applyFill="1" applyBorder="1" applyAlignment="1">
      <alignment horizontal="center" vertical="top" wrapText="1"/>
    </xf>
    <xf numFmtId="0" fontId="46" fillId="15" borderId="68" xfId="2" applyFont="1" applyFill="1" applyBorder="1" applyAlignment="1">
      <alignment horizontal="center" vertical="top" wrapText="1"/>
    </xf>
    <xf numFmtId="14" fontId="41" fillId="0" borderId="0" xfId="0" applyNumberFormat="1" applyFont="1" applyFill="1" applyBorder="1" applyAlignment="1">
      <alignment horizontal="right" vertical="center"/>
    </xf>
    <xf numFmtId="14" fontId="41" fillId="0" borderId="2" xfId="0" applyNumberFormat="1" applyFont="1" applyFill="1" applyBorder="1" applyAlignment="1">
      <alignment horizontal="right" vertical="center" wrapText="1"/>
    </xf>
    <xf numFmtId="0" fontId="0" fillId="0" borderId="0" xfId="0"/>
    <xf numFmtId="181" fontId="11" fillId="16" borderId="0" xfId="0" applyNumberFormat="1" applyFont="1" applyFill="1" applyAlignment="1">
      <alignment horizontal="center" vertical="center" wrapText="1"/>
    </xf>
    <xf numFmtId="0" fontId="11" fillId="16" borderId="0" xfId="0" applyFont="1" applyFill="1" applyBorder="1" applyAlignment="1">
      <alignment horizontal="left" vertical="center" wrapText="1"/>
    </xf>
    <xf numFmtId="9" fontId="11" fillId="16" borderId="0" xfId="0" applyNumberFormat="1" applyFont="1" applyFill="1" applyAlignment="1">
      <alignment horizontal="center" vertical="center" wrapText="1"/>
    </xf>
    <xf numFmtId="0" fontId="11" fillId="16" borderId="0" xfId="0" applyFont="1" applyFill="1" applyAlignment="1">
      <alignment horizontal="left" vertical="center" wrapText="1"/>
    </xf>
    <xf numFmtId="0" fontId="0" fillId="0" borderId="0" xfId="0"/>
    <xf numFmtId="0" fontId="15" fillId="0" borderId="0" xfId="0" applyNumberFormat="1" applyFont="1" applyFill="1" applyAlignment="1">
      <alignment horizontal="center" vertical="center"/>
    </xf>
    <xf numFmtId="0" fontId="0" fillId="0" borderId="0" xfId="0"/>
    <xf numFmtId="14" fontId="11" fillId="0" borderId="34" xfId="0" applyNumberFormat="1" applyFont="1" applyFill="1" applyBorder="1" applyAlignment="1">
      <alignment horizontal="right" vertical="center" wrapText="1"/>
    </xf>
    <xf numFmtId="14" fontId="12" fillId="0" borderId="34" xfId="0" applyNumberFormat="1" applyFont="1" applyFill="1" applyBorder="1" applyAlignment="1">
      <alignment horizontal="right" vertical="center" wrapText="1"/>
    </xf>
    <xf numFmtId="181" fontId="11" fillId="16" borderId="0" xfId="0" applyNumberFormat="1" applyFont="1" applyFill="1" applyBorder="1" applyAlignment="1">
      <alignment horizontal="center" vertical="center" wrapText="1"/>
    </xf>
    <xf numFmtId="0" fontId="11" fillId="15" borderId="0" xfId="0" applyFont="1" applyFill="1" applyBorder="1" applyAlignment="1">
      <alignment horizontal="left" vertical="center" wrapText="1"/>
    </xf>
    <xf numFmtId="0" fontId="25" fillId="9" borderId="107" xfId="1" applyFont="1" applyFill="1" applyBorder="1" applyAlignment="1">
      <alignment horizontal="center" vertical="center" wrapText="1"/>
    </xf>
    <xf numFmtId="0" fontId="11" fillId="0" borderId="10" xfId="0" applyFont="1" applyFill="1" applyBorder="1" applyAlignment="1">
      <alignment horizontal="left" vertical="center" wrapText="1"/>
    </xf>
    <xf numFmtId="14" fontId="41" fillId="0" borderId="34" xfId="0" applyNumberFormat="1" applyFont="1" applyFill="1" applyBorder="1" applyAlignment="1">
      <alignment horizontal="right" vertical="center" wrapText="1"/>
    </xf>
    <xf numFmtId="14" fontId="5" fillId="0" borderId="0" xfId="3" applyNumberFormat="1" applyFill="1" applyBorder="1" applyAlignment="1">
      <alignment horizontal="left" vertical="center" wrapText="1"/>
    </xf>
    <xf numFmtId="178" fontId="11" fillId="0" borderId="0" xfId="0" applyNumberFormat="1" applyFont="1" applyFill="1" applyBorder="1" applyAlignment="1">
      <alignment horizontal="left" vertical="center" wrapText="1"/>
    </xf>
    <xf numFmtId="0" fontId="0" fillId="0" borderId="0" xfId="0"/>
    <xf numFmtId="14" fontId="48" fillId="0" borderId="0" xfId="0" applyNumberFormat="1" applyFont="1" applyFill="1" applyBorder="1" applyAlignment="1">
      <alignment horizontal="right" vertical="center" wrapText="1"/>
    </xf>
    <xf numFmtId="0" fontId="0" fillId="0" borderId="0" xfId="0"/>
    <xf numFmtId="0" fontId="0" fillId="0" borderId="0" xfId="0"/>
    <xf numFmtId="0" fontId="27" fillId="0" borderId="0" xfId="0" applyFont="1" applyFill="1" applyAlignment="1">
      <alignment horizontal="left" vertical="center" wrapText="1"/>
    </xf>
    <xf numFmtId="0" fontId="27" fillId="0" borderId="36" xfId="0" applyFont="1" applyFill="1" applyBorder="1" applyAlignment="1">
      <alignment horizontal="left" vertical="center" wrapText="1"/>
    </xf>
    <xf numFmtId="0" fontId="0" fillId="0" borderId="0" xfId="0"/>
    <xf numFmtId="0" fontId="12" fillId="16" borderId="0" xfId="0" applyFont="1" applyFill="1" applyAlignment="1">
      <alignment horizontal="left" vertical="center" wrapText="1"/>
    </xf>
    <xf numFmtId="0" fontId="0" fillId="0" borderId="0" xfId="0"/>
    <xf numFmtId="0" fontId="27" fillId="16" borderId="0" xfId="0" applyFont="1" applyFill="1" applyAlignment="1">
      <alignment horizontal="left" vertical="center" wrapText="1"/>
    </xf>
    <xf numFmtId="0" fontId="0" fillId="0" borderId="0" xfId="0"/>
    <xf numFmtId="0" fontId="0" fillId="0" borderId="0" xfId="0"/>
    <xf numFmtId="0" fontId="0" fillId="0" borderId="0" xfId="0"/>
    <xf numFmtId="0" fontId="0" fillId="0" borderId="0" xfId="0"/>
    <xf numFmtId="0" fontId="0" fillId="0" borderId="0" xfId="0"/>
    <xf numFmtId="0" fontId="15" fillId="0" borderId="9" xfId="0" applyFont="1" applyFill="1" applyBorder="1" applyAlignment="1">
      <alignment horizontal="left" vertical="center" wrapText="1"/>
    </xf>
    <xf numFmtId="0" fontId="15" fillId="16" borderId="0" xfId="0" applyFont="1" applyFill="1" applyAlignment="1">
      <alignment horizontal="left" vertical="center" wrapText="1"/>
    </xf>
    <xf numFmtId="0" fontId="0" fillId="0" borderId="0" xfId="0"/>
    <xf numFmtId="0" fontId="0" fillId="0" borderId="0" xfId="0"/>
    <xf numFmtId="0" fontId="12" fillId="16" borderId="0" xfId="3" applyFont="1" applyFill="1" applyAlignment="1">
      <alignment horizontal="lef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0" fontId="11" fillId="16" borderId="0" xfId="0" applyNumberFormat="1" applyFont="1" applyFill="1" applyAlignment="1">
      <alignment horizontal="center" vertical="center" wrapText="1"/>
    </xf>
    <xf numFmtId="0" fontId="0" fillId="0" borderId="0" xfId="0"/>
    <xf numFmtId="0" fontId="0" fillId="0" borderId="0" xfId="0"/>
    <xf numFmtId="0" fontId="12" fillId="16" borderId="0" xfId="0" applyFont="1" applyFill="1" applyBorder="1" applyAlignment="1">
      <alignment horizontal="left" vertical="center" wrapText="1"/>
    </xf>
    <xf numFmtId="9" fontId="33" fillId="16" borderId="0" xfId="0" applyNumberFormat="1" applyFont="1" applyFill="1" applyAlignment="1">
      <alignment horizontal="center" vertical="center" wrapText="1"/>
    </xf>
    <xf numFmtId="0" fontId="33" fillId="16" borderId="0" xfId="0" applyFont="1" applyFill="1" applyAlignment="1">
      <alignment horizontal="center"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4" fontId="26" fillId="0" borderId="0" xfId="0" applyNumberFormat="1" applyFont="1" applyAlignment="1">
      <alignment horizontal="left" vertical="center" wrapText="1"/>
    </xf>
    <xf numFmtId="0" fontId="9" fillId="0" borderId="108" xfId="0" applyFont="1" applyFill="1" applyBorder="1" applyAlignment="1">
      <alignment horizontal="center" vertical="center" wrapText="1"/>
    </xf>
    <xf numFmtId="0" fontId="11" fillId="16" borderId="2" xfId="0" applyFont="1" applyFill="1" applyBorder="1" applyAlignment="1">
      <alignment horizontal="left" vertical="center" wrapText="1"/>
    </xf>
    <xf numFmtId="9" fontId="11" fillId="16" borderId="2" xfId="0" applyNumberFormat="1" applyFont="1" applyFill="1" applyBorder="1" applyAlignment="1">
      <alignment horizontal="center" vertical="center" wrapText="1"/>
    </xf>
    <xf numFmtId="0" fontId="12" fillId="0" borderId="9" xfId="3" applyFont="1" applyFill="1" applyBorder="1" applyAlignment="1">
      <alignment horizontal="left" vertical="center" wrapText="1"/>
    </xf>
    <xf numFmtId="0" fontId="0" fillId="0" borderId="0" xfId="0"/>
    <xf numFmtId="0" fontId="33" fillId="0" borderId="0" xfId="0" applyFont="1" applyFill="1" applyAlignment="1">
      <alignment horizontal="center" vertical="center" wrapText="1"/>
    </xf>
    <xf numFmtId="177" fontId="11" fillId="16" borderId="0" xfId="0" applyNumberFormat="1" applyFont="1" applyFill="1" applyBorder="1" applyAlignment="1">
      <alignment horizontal="center" vertical="center" wrapText="1"/>
    </xf>
    <xf numFmtId="0" fontId="0" fillId="0" borderId="0" xfId="0"/>
    <xf numFmtId="0" fontId="33" fillId="0" borderId="9" xfId="0" applyFont="1" applyFill="1" applyBorder="1" applyAlignment="1">
      <alignment horizontal="left" vertical="center" wrapText="1"/>
    </xf>
    <xf numFmtId="0" fontId="0" fillId="0" borderId="0" xfId="0"/>
    <xf numFmtId="0" fontId="0" fillId="0" borderId="0" xfId="0"/>
    <xf numFmtId="0" fontId="0" fillId="0" borderId="0" xfId="0"/>
    <xf numFmtId="0" fontId="0" fillId="0" borderId="0" xfId="0"/>
    <xf numFmtId="0" fontId="12" fillId="0" borderId="0" xfId="0" quotePrefix="1" applyFont="1" applyFill="1" applyAlignment="1">
      <alignment horizontal="left" vertical="center" wrapText="1"/>
    </xf>
    <xf numFmtId="0" fontId="12" fillId="16" borderId="0" xfId="0" quotePrefix="1" applyFont="1" applyFill="1" applyAlignment="1">
      <alignment horizontal="left" vertical="center" wrapText="1"/>
    </xf>
    <xf numFmtId="0" fontId="0" fillId="0" borderId="0" xfId="0"/>
    <xf numFmtId="0" fontId="0" fillId="0" borderId="0" xfId="0"/>
    <xf numFmtId="0" fontId="0" fillId="0" borderId="0" xfId="0"/>
    <xf numFmtId="0" fontId="0" fillId="0" borderId="0" xfId="0"/>
    <xf numFmtId="0" fontId="0" fillId="16" borderId="0" xfId="0" applyFill="1" applyAlignment="1">
      <alignment horizontal="left" vertical="center" wrapText="1"/>
    </xf>
    <xf numFmtId="0" fontId="0" fillId="16" borderId="0" xfId="0" applyFill="1" applyAlignment="1">
      <alignment horizontal="center" vertical="center" wrapText="1"/>
    </xf>
    <xf numFmtId="0" fontId="0" fillId="16" borderId="0" xfId="0" applyFill="1" applyAlignment="1">
      <alignment horizontal="center" vertical="center"/>
    </xf>
    <xf numFmtId="14" fontId="48" fillId="0" borderId="105" xfId="0" applyNumberFormat="1" applyFont="1" applyFill="1" applyBorder="1" applyAlignment="1">
      <alignment horizontal="right" vertical="center" wrapText="1"/>
    </xf>
    <xf numFmtId="14" fontId="48" fillId="0" borderId="34" xfId="0" applyNumberFormat="1" applyFont="1" applyFill="1" applyBorder="1" applyAlignment="1">
      <alignment horizontal="right" vertical="center" wrapText="1"/>
    </xf>
    <xf numFmtId="14" fontId="33" fillId="0" borderId="0" xfId="0" applyNumberFormat="1" applyFont="1" applyFill="1" applyBorder="1" applyAlignment="1">
      <alignment horizontal="right" vertical="center" wrapText="1"/>
    </xf>
    <xf numFmtId="0" fontId="48" fillId="0" borderId="0" xfId="0" applyFont="1" applyAlignment="1">
      <alignment horizontal="right"/>
    </xf>
    <xf numFmtId="0" fontId="0" fillId="0" borderId="34" xfId="0" quotePrefix="1" applyBorder="1" applyAlignment="1">
      <alignment horizontal="center" vertical="center" wrapText="1"/>
    </xf>
    <xf numFmtId="0" fontId="0" fillId="0" borderId="0" xfId="0" quotePrefix="1" applyBorder="1" applyAlignment="1">
      <alignment horizontal="center" vertical="center" wrapText="1"/>
    </xf>
    <xf numFmtId="0" fontId="0" fillId="0" borderId="9" xfId="0" quotePrefix="1" applyBorder="1" applyAlignment="1">
      <alignment horizontal="center" vertical="center" wrapText="1"/>
    </xf>
    <xf numFmtId="0" fontId="25" fillId="6" borderId="3" xfId="1" applyFont="1" applyFill="1" applyBorder="1" applyAlignment="1">
      <alignment horizontal="center" vertical="center" wrapText="1"/>
    </xf>
    <xf numFmtId="14" fontId="11" fillId="0" borderId="0" xfId="0" applyNumberFormat="1" applyFont="1" applyBorder="1" applyAlignment="1">
      <alignment horizontal="right" vertical="center" wrapText="1"/>
    </xf>
    <xf numFmtId="14" fontId="48" fillId="0" borderId="0" xfId="0" applyNumberFormat="1" applyFont="1" applyAlignment="1">
      <alignment horizontal="right" vertical="center" wrapText="1"/>
    </xf>
    <xf numFmtId="0" fontId="25" fillId="7" borderId="3" xfId="1" applyFont="1" applyFill="1" applyBorder="1" applyAlignment="1">
      <alignment horizontal="center" vertical="center" wrapText="1"/>
    </xf>
    <xf numFmtId="0" fontId="25" fillId="4" borderId="3" xfId="1" applyFont="1" applyFill="1" applyBorder="1" applyAlignment="1">
      <alignment horizontal="center" vertical="center" wrapText="1"/>
    </xf>
    <xf numFmtId="14" fontId="15" fillId="0" borderId="34" xfId="0" applyNumberFormat="1" applyFont="1" applyFill="1" applyBorder="1" applyAlignment="1">
      <alignment horizontal="right" vertical="center" wrapText="1"/>
    </xf>
    <xf numFmtId="14" fontId="48" fillId="0" borderId="34" xfId="0" quotePrefix="1" applyNumberFormat="1" applyFont="1" applyBorder="1" applyAlignment="1">
      <alignment horizontal="right" vertical="center" wrapText="1"/>
    </xf>
    <xf numFmtId="14" fontId="48" fillId="0" borderId="34" xfId="0" applyNumberFormat="1" applyFont="1" applyBorder="1" applyAlignment="1">
      <alignment horizontal="right" vertical="center" wrapText="1"/>
    </xf>
    <xf numFmtId="0" fontId="25" fillId="4" borderId="0" xfId="1" applyFont="1" applyFill="1" applyBorder="1" applyAlignment="1">
      <alignment horizontal="center" vertical="center" wrapText="1"/>
    </xf>
    <xf numFmtId="0" fontId="48" fillId="0" borderId="34" xfId="0" quotePrefix="1" applyFont="1" applyBorder="1" applyAlignment="1">
      <alignment horizontal="right" vertical="center" wrapText="1"/>
    </xf>
    <xf numFmtId="14" fontId="48" fillId="0" borderId="0" xfId="0" quotePrefix="1" applyNumberFormat="1" applyFont="1" applyBorder="1" applyAlignment="1">
      <alignment horizontal="right" vertical="center" wrapText="1"/>
    </xf>
    <xf numFmtId="14" fontId="48" fillId="0" borderId="0" xfId="0" applyNumberFormat="1" applyFont="1" applyBorder="1" applyAlignment="1">
      <alignment horizontal="right" vertical="center" wrapText="1"/>
    </xf>
    <xf numFmtId="0" fontId="11" fillId="0" borderId="14" xfId="0" applyFont="1" applyFill="1" applyBorder="1" applyAlignment="1">
      <alignment horizontal="center" vertical="center" wrapText="1"/>
    </xf>
    <xf numFmtId="0" fontId="11" fillId="16" borderId="14" xfId="0" applyFont="1" applyFill="1" applyBorder="1" applyAlignment="1">
      <alignment horizontal="center" vertical="center" wrapText="1"/>
    </xf>
    <xf numFmtId="14" fontId="15" fillId="0" borderId="0" xfId="0" applyNumberFormat="1" applyFont="1" applyFill="1" applyAlignment="1">
      <alignment horizontal="right" vertical="center" wrapText="1"/>
    </xf>
    <xf numFmtId="14" fontId="11" fillId="0" borderId="34" xfId="0" applyNumberFormat="1" applyFont="1" applyBorder="1" applyAlignment="1">
      <alignment horizontal="right" vertical="center" wrapText="1"/>
    </xf>
    <xf numFmtId="0" fontId="0" fillId="0" borderId="91" xfId="0" quotePrefix="1" applyBorder="1" applyAlignment="1">
      <alignment horizontal="center" vertical="center" wrapText="1"/>
    </xf>
    <xf numFmtId="0" fontId="0" fillId="0" borderId="2" xfId="0" quotePrefix="1" applyBorder="1" applyAlignment="1">
      <alignment horizontal="center" vertical="center" wrapText="1"/>
    </xf>
    <xf numFmtId="0" fontId="0" fillId="0" borderId="10" xfId="0" quotePrefix="1" applyBorder="1" applyAlignment="1">
      <alignment horizontal="center" vertical="center" wrapText="1"/>
    </xf>
    <xf numFmtId="14" fontId="48" fillId="0" borderId="2" xfId="0" applyNumberFormat="1" applyFont="1" applyFill="1" applyBorder="1" applyAlignment="1">
      <alignment horizontal="right" vertical="center" wrapText="1"/>
    </xf>
    <xf numFmtId="0" fontId="0" fillId="16" borderId="9" xfId="0" applyFill="1" applyBorder="1" applyAlignment="1">
      <alignment vertical="center" wrapText="1"/>
    </xf>
    <xf numFmtId="14" fontId="0" fillId="0" borderId="0" xfId="0" applyNumberFormat="1" applyAlignment="1">
      <alignment vertical="center"/>
    </xf>
    <xf numFmtId="14" fontId="0" fillId="0" borderId="34" xfId="0" quotePrefix="1" applyNumberFormat="1" applyBorder="1" applyAlignment="1">
      <alignment horizontal="center" vertical="center" wrapText="1"/>
    </xf>
    <xf numFmtId="0" fontId="0" fillId="0" borderId="0" xfId="0"/>
    <xf numFmtId="0" fontId="0" fillId="0" borderId="0" xfId="0"/>
    <xf numFmtId="0" fontId="0" fillId="0" borderId="0" xfId="0"/>
    <xf numFmtId="0" fontId="0" fillId="0" borderId="0" xfId="0"/>
    <xf numFmtId="0" fontId="0" fillId="0" borderId="0" xfId="0"/>
    <xf numFmtId="0" fontId="11" fillId="0" borderId="36" xfId="0" quotePrefix="1" applyFont="1" applyFill="1" applyBorder="1" applyAlignment="1">
      <alignment horizontal="left" vertical="center" wrapText="1"/>
    </xf>
    <xf numFmtId="0" fontId="0" fillId="0" borderId="0" xfId="0"/>
    <xf numFmtId="0" fontId="0" fillId="0" borderId="0" xfId="0"/>
    <xf numFmtId="0" fontId="0" fillId="0" borderId="0" xfId="0"/>
    <xf numFmtId="0" fontId="0" fillId="0" borderId="0" xfId="0"/>
    <xf numFmtId="14" fontId="0" fillId="0" borderId="0" xfId="0" applyNumberFormat="1" applyFont="1" applyFill="1" applyBorder="1" applyAlignment="1">
      <alignment horizontal="right" vertical="center" wrapText="1"/>
    </xf>
    <xf numFmtId="0" fontId="0" fillId="16" borderId="9" xfId="0" quotePrefix="1" applyFill="1" applyBorder="1" applyAlignment="1">
      <alignment horizontal="left" vertical="center" wrapText="1"/>
    </xf>
    <xf numFmtId="0" fontId="26" fillId="0" borderId="56" xfId="0" applyFont="1" applyFill="1" applyBorder="1" applyAlignment="1">
      <alignment horizontal="left" vertical="center" wrapText="1"/>
    </xf>
    <xf numFmtId="0" fontId="11" fillId="16" borderId="0" xfId="0" applyFont="1" applyFill="1" applyBorder="1" applyAlignment="1">
      <alignment horizontal="center" vertical="center"/>
    </xf>
    <xf numFmtId="0" fontId="33" fillId="0" borderId="36" xfId="0" applyFont="1" applyFill="1" applyBorder="1" applyAlignment="1">
      <alignment horizontal="left" vertical="center" wrapText="1"/>
    </xf>
    <xf numFmtId="0" fontId="0" fillId="0" borderId="0" xfId="0"/>
    <xf numFmtId="0" fontId="0" fillId="0" borderId="0" xfId="0"/>
    <xf numFmtId="0" fontId="5" fillId="0" borderId="0" xfId="3" applyAlignment="1">
      <alignment horizontal="left" vertical="center" wrapText="1"/>
    </xf>
    <xf numFmtId="0" fontId="5" fillId="0" borderId="0" xfId="3" applyAlignment="1">
      <alignment vertical="center" wrapText="1"/>
    </xf>
    <xf numFmtId="0" fontId="0" fillId="0" borderId="0" xfId="0"/>
    <xf numFmtId="14" fontId="11" fillId="0" borderId="34" xfId="0" applyNumberFormat="1" applyFont="1" applyFill="1" applyBorder="1" applyAlignment="1">
      <alignment horizontal="center" vertical="center" wrapText="1"/>
    </xf>
    <xf numFmtId="0" fontId="21" fillId="13" borderId="18" xfId="0" applyFont="1" applyFill="1" applyBorder="1" applyAlignment="1">
      <alignment horizontal="center" vertical="center"/>
    </xf>
    <xf numFmtId="0" fontId="29" fillId="17" borderId="61" xfId="0" applyFont="1" applyFill="1" applyBorder="1" applyAlignment="1">
      <alignment horizontal="center" vertical="center"/>
    </xf>
    <xf numFmtId="14" fontId="57" fillId="0" borderId="0" xfId="3" applyNumberFormat="1" applyFont="1" applyFill="1" applyBorder="1" applyAlignment="1">
      <alignment horizontal="left" vertical="center" wrapText="1"/>
    </xf>
    <xf numFmtId="0" fontId="57" fillId="0" borderId="0" xfId="3" applyFont="1" applyFill="1" applyAlignment="1">
      <alignment horizontal="left" vertical="center" wrapText="1"/>
    </xf>
    <xf numFmtId="0" fontId="48" fillId="0" borderId="0" xfId="0" applyFont="1" applyFill="1" applyAlignment="1">
      <alignment horizontal="left" vertical="center"/>
    </xf>
    <xf numFmtId="0" fontId="57" fillId="0" borderId="0" xfId="3" applyFont="1" applyFill="1" applyBorder="1" applyAlignment="1">
      <alignment horizontal="left" vertical="center" wrapText="1"/>
    </xf>
    <xf numFmtId="14" fontId="33" fillId="0" borderId="0" xfId="3" applyNumberFormat="1" applyFont="1" applyFill="1" applyBorder="1" applyAlignment="1">
      <alignment horizontal="left" vertical="center" wrapText="1"/>
    </xf>
    <xf numFmtId="14" fontId="48" fillId="0" borderId="0" xfId="0" applyNumberFormat="1" applyFont="1" applyFill="1" applyBorder="1" applyAlignment="1">
      <alignment horizontal="left" vertical="center" wrapText="1"/>
    </xf>
    <xf numFmtId="0" fontId="57" fillId="0" borderId="0" xfId="3" applyFont="1" applyAlignment="1">
      <alignment horizontal="left" vertical="center" wrapText="1"/>
    </xf>
    <xf numFmtId="14" fontId="57" fillId="0" borderId="2" xfId="3" applyNumberFormat="1" applyFont="1" applyFill="1" applyBorder="1" applyAlignment="1">
      <alignment horizontal="left" vertical="center" wrapText="1"/>
    </xf>
    <xf numFmtId="14" fontId="48" fillId="0" borderId="0" xfId="0" applyNumberFormat="1" applyFont="1" applyFill="1" applyBorder="1" applyAlignment="1">
      <alignment horizontal="center" vertical="center" wrapText="1"/>
    </xf>
    <xf numFmtId="14" fontId="48" fillId="0" borderId="0" xfId="0" applyNumberFormat="1" applyFont="1" applyFill="1" applyAlignment="1">
      <alignment horizontal="center" vertical="center"/>
    </xf>
    <xf numFmtId="0" fontId="48" fillId="14" borderId="6" xfId="0" applyFont="1" applyFill="1" applyBorder="1" applyAlignment="1">
      <alignment horizontal="center" vertical="center" wrapText="1"/>
    </xf>
    <xf numFmtId="9" fontId="44" fillId="0" borderId="1" xfId="6" applyFont="1" applyFill="1" applyBorder="1" applyAlignment="1">
      <alignment horizontal="right" vertical="center"/>
    </xf>
    <xf numFmtId="177" fontId="44" fillId="0" borderId="1" xfId="6" applyNumberFormat="1" applyFont="1" applyFill="1" applyBorder="1" applyAlignment="1">
      <alignment horizontal="right" vertical="center"/>
    </xf>
    <xf numFmtId="177" fontId="44" fillId="0" borderId="83" xfId="6" applyNumberFormat="1" applyFont="1" applyFill="1" applyBorder="1" applyAlignment="1">
      <alignment horizontal="right" vertical="center"/>
    </xf>
    <xf numFmtId="9" fontId="44" fillId="0" borderId="0" xfId="6" applyFont="1" applyFill="1" applyBorder="1" applyAlignment="1">
      <alignment horizontal="right" vertical="center"/>
    </xf>
    <xf numFmtId="177" fontId="44" fillId="0" borderId="9" xfId="6" applyNumberFormat="1" applyFont="1" applyFill="1" applyBorder="1" applyAlignment="1">
      <alignment horizontal="right" vertical="center"/>
    </xf>
    <xf numFmtId="0" fontId="44" fillId="15" borderId="14" xfId="0" applyFont="1" applyFill="1" applyBorder="1" applyAlignment="1">
      <alignment horizontal="right" vertical="center"/>
    </xf>
    <xf numFmtId="177" fontId="44" fillId="15" borderId="14" xfId="0" applyNumberFormat="1" applyFont="1" applyFill="1" applyBorder="1" applyAlignment="1">
      <alignment horizontal="right" vertical="center"/>
    </xf>
    <xf numFmtId="178" fontId="44" fillId="0" borderId="1" xfId="0" applyNumberFormat="1" applyFont="1" applyFill="1" applyBorder="1" applyAlignment="1">
      <alignment horizontal="right" vertical="center"/>
    </xf>
    <xf numFmtId="178" fontId="44" fillId="0" borderId="0" xfId="0" applyNumberFormat="1" applyFont="1" applyFill="1" applyBorder="1" applyAlignment="1">
      <alignment horizontal="right" vertical="center"/>
    </xf>
    <xf numFmtId="178" fontId="44" fillId="0" borderId="2" xfId="0" applyNumberFormat="1" applyFont="1" applyFill="1" applyBorder="1" applyAlignment="1">
      <alignment horizontal="right" vertical="center"/>
    </xf>
    <xf numFmtId="9" fontId="44" fillId="0" borderId="2" xfId="6" applyFont="1" applyFill="1" applyBorder="1" applyAlignment="1">
      <alignment horizontal="right" vertical="center"/>
    </xf>
    <xf numFmtId="177" fontId="44" fillId="0" borderId="2" xfId="6" applyNumberFormat="1" applyFont="1" applyFill="1" applyBorder="1" applyAlignment="1">
      <alignment horizontal="right" vertical="center"/>
    </xf>
    <xf numFmtId="177" fontId="44" fillId="0" borderId="10" xfId="6" applyNumberFormat="1" applyFont="1" applyFill="1" applyBorder="1" applyAlignment="1">
      <alignment horizontal="right" vertical="center"/>
    </xf>
    <xf numFmtId="0" fontId="16" fillId="0" borderId="0" xfId="0" applyFont="1" applyFill="1" applyBorder="1" applyAlignment="1">
      <alignment vertical="center" wrapText="1"/>
    </xf>
    <xf numFmtId="0" fontId="3" fillId="15" borderId="109" xfId="0" applyFont="1" applyFill="1" applyBorder="1" applyAlignment="1">
      <alignment vertical="center"/>
    </xf>
    <xf numFmtId="1" fontId="3" fillId="0" borderId="42" xfId="0" applyNumberFormat="1" applyFont="1" applyFill="1" applyBorder="1" applyAlignment="1">
      <alignment horizontal="right" vertical="center"/>
    </xf>
    <xf numFmtId="0" fontId="3" fillId="15" borderId="48" xfId="0" applyFont="1" applyFill="1" applyBorder="1" applyAlignment="1">
      <alignment horizontal="right" vertical="center"/>
    </xf>
    <xf numFmtId="3" fontId="3" fillId="0" borderId="42" xfId="0" applyNumberFormat="1" applyFont="1" applyFill="1" applyBorder="1" applyAlignment="1">
      <alignment horizontal="right" vertical="center"/>
    </xf>
    <xf numFmtId="3" fontId="3" fillId="0" borderId="45" xfId="0" applyNumberFormat="1" applyFont="1" applyFill="1" applyBorder="1" applyAlignment="1">
      <alignment horizontal="right" vertical="center"/>
    </xf>
    <xf numFmtId="0" fontId="0" fillId="8" borderId="33" xfId="0" applyFill="1" applyBorder="1" applyAlignment="1">
      <alignment horizontal="left" vertical="center" wrapText="1"/>
    </xf>
    <xf numFmtId="0" fontId="0" fillId="8" borderId="0" xfId="0" applyFill="1" applyBorder="1" applyAlignment="1">
      <alignment horizontal="left" vertical="center" wrapText="1"/>
    </xf>
    <xf numFmtId="0" fontId="5" fillId="0" borderId="0" xfId="3"/>
    <xf numFmtId="0" fontId="0" fillId="0" borderId="0" xfId="0"/>
    <xf numFmtId="176" fontId="0" fillId="8" borderId="101" xfId="0" applyNumberFormat="1" applyFont="1" applyFill="1" applyBorder="1" applyAlignment="1">
      <alignment horizontal="left" vertical="top" wrapText="1"/>
    </xf>
    <xf numFmtId="176" fontId="0" fillId="8" borderId="0" xfId="0" applyNumberFormat="1" applyFont="1" applyFill="1" applyBorder="1" applyAlignment="1">
      <alignment horizontal="left" vertical="top" wrapText="1"/>
    </xf>
    <xf numFmtId="176" fontId="0" fillId="8" borderId="102" xfId="0" applyNumberFormat="1" applyFont="1" applyFill="1" applyBorder="1" applyAlignment="1">
      <alignment horizontal="left" vertical="top" wrapText="1"/>
    </xf>
    <xf numFmtId="0" fontId="16" fillId="13" borderId="33" xfId="0" applyFont="1" applyFill="1" applyBorder="1" applyAlignment="1">
      <alignment horizontal="left" vertical="center" wrapText="1"/>
    </xf>
    <xf numFmtId="0" fontId="16" fillId="13" borderId="0" xfId="0" applyFont="1" applyFill="1" applyBorder="1" applyAlignment="1">
      <alignment horizontal="left" vertical="center" wrapText="1"/>
    </xf>
    <xf numFmtId="0" fontId="0" fillId="8" borderId="52" xfId="0" applyFill="1" applyBorder="1" applyAlignment="1">
      <alignment horizontal="left" vertical="center" wrapText="1"/>
    </xf>
    <xf numFmtId="49" fontId="0" fillId="0" borderId="52" xfId="0" applyNumberFormat="1" applyBorder="1" applyAlignment="1">
      <alignment horizontal="left" vertical="center" wrapText="1"/>
    </xf>
    <xf numFmtId="176" fontId="0" fillId="0" borderId="52" xfId="0" applyNumberFormat="1" applyFont="1" applyBorder="1" applyAlignment="1">
      <alignment horizontal="left" vertical="center" wrapText="1"/>
    </xf>
    <xf numFmtId="0" fontId="0" fillId="0" borderId="52" xfId="0" applyBorder="1" applyAlignment="1">
      <alignment horizontal="left" vertical="center" wrapText="1"/>
    </xf>
    <xf numFmtId="0" fontId="44" fillId="0" borderId="103" xfId="0" applyFont="1" applyFill="1" applyBorder="1" applyAlignment="1">
      <alignment horizontal="left" vertical="center" wrapText="1"/>
    </xf>
    <xf numFmtId="0" fontId="44" fillId="0" borderId="78" xfId="0" applyFont="1" applyFill="1" applyBorder="1" applyAlignment="1">
      <alignment horizontal="left" vertical="center" wrapText="1"/>
    </xf>
    <xf numFmtId="0" fontId="44" fillId="0" borderId="104" xfId="0" applyFont="1" applyFill="1" applyBorder="1" applyAlignment="1">
      <alignment horizontal="left" vertical="center" wrapText="1"/>
    </xf>
    <xf numFmtId="0" fontId="3" fillId="8" borderId="0" xfId="0" applyFont="1" applyFill="1" applyBorder="1" applyAlignment="1">
      <alignment horizontal="left" vertical="center" wrapText="1"/>
    </xf>
    <xf numFmtId="0" fontId="0" fillId="8" borderId="0" xfId="0" applyFont="1" applyFill="1" applyBorder="1" applyAlignment="1">
      <alignment horizontal="left" vertical="center" wrapText="1"/>
    </xf>
    <xf numFmtId="0" fontId="0" fillId="8" borderId="33" xfId="0" applyFont="1" applyFill="1" applyBorder="1" applyAlignment="1">
      <alignment horizontal="left" vertical="center" wrapText="1"/>
    </xf>
    <xf numFmtId="0" fontId="16" fillId="13" borderId="52" xfId="0" applyFont="1" applyFill="1" applyBorder="1" applyAlignment="1">
      <alignment horizontal="left" vertical="center" wrapText="1"/>
    </xf>
    <xf numFmtId="0" fontId="3" fillId="16" borderId="52" xfId="0" applyFont="1" applyFill="1" applyBorder="1" applyAlignment="1">
      <alignment horizontal="center" vertical="center" wrapText="1"/>
    </xf>
    <xf numFmtId="176" fontId="3" fillId="8" borderId="100" xfId="0" applyNumberFormat="1" applyFont="1" applyFill="1" applyBorder="1" applyAlignment="1">
      <alignment horizontal="center" vertical="center" wrapText="1"/>
    </xf>
    <xf numFmtId="176" fontId="3" fillId="8" borderId="96" xfId="0" applyNumberFormat="1" applyFont="1" applyFill="1" applyBorder="1" applyAlignment="1">
      <alignment horizontal="center" vertical="center" wrapText="1"/>
    </xf>
    <xf numFmtId="176" fontId="0" fillId="8" borderId="97" xfId="0" applyNumberFormat="1" applyFont="1" applyFill="1" applyBorder="1" applyAlignment="1">
      <alignment horizontal="left" vertical="top" wrapText="1"/>
    </xf>
    <xf numFmtId="176" fontId="0" fillId="8" borderId="18" xfId="0" applyNumberFormat="1" applyFont="1" applyFill="1" applyBorder="1" applyAlignment="1">
      <alignment horizontal="left" vertical="top" wrapText="1"/>
    </xf>
    <xf numFmtId="176" fontId="0" fillId="8" borderId="98" xfId="0" applyNumberFormat="1" applyFont="1" applyFill="1" applyBorder="1" applyAlignment="1">
      <alignment horizontal="left" vertical="top" wrapText="1"/>
    </xf>
    <xf numFmtId="0" fontId="0" fillId="8" borderId="100" xfId="0" applyFill="1" applyBorder="1" applyAlignment="1">
      <alignment horizontal="left" vertical="center" wrapText="1"/>
    </xf>
    <xf numFmtId="0" fontId="0" fillId="8" borderId="96" xfId="0" applyFill="1" applyBorder="1" applyAlignment="1">
      <alignment horizontal="left" vertical="center" wrapText="1"/>
    </xf>
    <xf numFmtId="49" fontId="0" fillId="8" borderId="100" xfId="0" applyNumberFormat="1" applyFill="1" applyBorder="1" applyAlignment="1">
      <alignment horizontal="center" vertical="center" wrapText="1"/>
    </xf>
    <xf numFmtId="49" fontId="0" fillId="8" borderId="96" xfId="0" applyNumberFormat="1" applyFill="1" applyBorder="1" applyAlignment="1">
      <alignment horizontal="center" vertical="center" wrapText="1"/>
    </xf>
    <xf numFmtId="0" fontId="0" fillId="8" borderId="33" xfId="0" quotePrefix="1" applyFont="1" applyFill="1" applyBorder="1" applyAlignment="1">
      <alignment horizontal="left" vertical="center" wrapText="1"/>
    </xf>
    <xf numFmtId="0" fontId="3" fillId="8" borderId="33" xfId="0" applyFont="1" applyFill="1" applyBorder="1" applyAlignment="1">
      <alignment horizontal="left" vertical="center" wrapText="1"/>
    </xf>
    <xf numFmtId="0" fontId="24" fillId="16" borderId="52" xfId="3" applyFont="1" applyFill="1" applyBorder="1" applyAlignment="1">
      <alignment horizontal="left" vertical="center" wrapText="1"/>
    </xf>
    <xf numFmtId="0" fontId="3" fillId="8" borderId="0" xfId="0" applyFont="1" applyFill="1" applyBorder="1" applyAlignment="1">
      <alignment horizontal="left" vertical="center"/>
    </xf>
    <xf numFmtId="0" fontId="0" fillId="13" borderId="0" xfId="0" applyFill="1" applyAlignment="1">
      <alignment horizontal="center"/>
    </xf>
    <xf numFmtId="0" fontId="14" fillId="16" borderId="0" xfId="0" applyFont="1" applyFill="1" applyBorder="1" applyAlignment="1">
      <alignment horizontal="center" vertical="center" wrapText="1"/>
    </xf>
    <xf numFmtId="0" fontId="22" fillId="8" borderId="0" xfId="0" applyFont="1" applyFill="1" applyBorder="1" applyAlignment="1">
      <alignment horizontal="left" vertical="center"/>
    </xf>
    <xf numFmtId="0" fontId="21" fillId="13" borderId="18" xfId="0" applyFont="1" applyFill="1" applyBorder="1" applyAlignment="1">
      <alignment horizontal="center" vertical="center"/>
    </xf>
    <xf numFmtId="0" fontId="21" fillId="13" borderId="17" xfId="0" applyFont="1" applyFill="1" applyBorder="1" applyAlignment="1">
      <alignment horizontal="center" vertical="center"/>
    </xf>
    <xf numFmtId="0" fontId="13" fillId="17" borderId="75" xfId="2" applyFont="1" applyFill="1" applyBorder="1" applyAlignment="1">
      <alignment horizontal="center" vertical="center" wrapText="1"/>
    </xf>
    <xf numFmtId="0" fontId="13" fillId="17" borderId="34" xfId="2" applyFont="1" applyFill="1" applyBorder="1" applyAlignment="1">
      <alignment horizontal="center" vertical="center" wrapText="1"/>
    </xf>
    <xf numFmtId="0" fontId="13" fillId="17" borderId="76" xfId="2" applyFont="1" applyFill="1" applyBorder="1" applyAlignment="1">
      <alignment horizontal="center" vertical="center" wrapText="1"/>
    </xf>
    <xf numFmtId="0" fontId="3" fillId="17" borderId="72" xfId="2" applyFont="1" applyFill="1" applyBorder="1" applyAlignment="1">
      <alignment horizontal="center" vertical="center" wrapText="1"/>
    </xf>
    <xf numFmtId="0" fontId="3" fillId="17" borderId="86" xfId="2" applyFont="1" applyFill="1" applyBorder="1" applyAlignment="1">
      <alignment horizontal="center" vertical="center" wrapText="1"/>
    </xf>
    <xf numFmtId="0" fontId="3" fillId="17" borderId="73" xfId="2" applyFont="1" applyFill="1" applyBorder="1" applyAlignment="1">
      <alignment horizontal="center" vertical="center" wrapText="1"/>
    </xf>
    <xf numFmtId="0" fontId="29" fillId="17" borderId="61" xfId="0" applyFont="1" applyFill="1" applyBorder="1" applyAlignment="1">
      <alignment horizontal="center" vertical="center"/>
    </xf>
    <xf numFmtId="0" fontId="29" fillId="17" borderId="63" xfId="0" applyFont="1" applyFill="1" applyBorder="1" applyAlignment="1">
      <alignment horizontal="center" vertical="center"/>
    </xf>
    <xf numFmtId="0" fontId="52" fillId="17" borderId="65" xfId="0" applyFont="1" applyFill="1" applyBorder="1" applyAlignment="1">
      <alignment horizontal="center" vertical="center"/>
    </xf>
    <xf numFmtId="0" fontId="29" fillId="17" borderId="65" xfId="0" applyFont="1" applyFill="1" applyBorder="1" applyAlignment="1">
      <alignment horizontal="center" vertical="center"/>
    </xf>
    <xf numFmtId="0" fontId="21" fillId="13" borderId="79" xfId="0" applyFont="1" applyFill="1" applyBorder="1" applyAlignment="1">
      <alignment horizontal="center" vertical="center"/>
    </xf>
    <xf numFmtId="0" fontId="13" fillId="17" borderId="72" xfId="4" applyFont="1" applyFill="1" applyBorder="1" applyAlignment="1">
      <alignment horizontal="center" vertical="center" wrapText="1"/>
    </xf>
    <xf numFmtId="0" fontId="13" fillId="17" borderId="86" xfId="4" applyFont="1" applyFill="1" applyBorder="1" applyAlignment="1">
      <alignment horizontal="center" vertical="center" wrapText="1"/>
    </xf>
    <xf numFmtId="0" fontId="13" fillId="17" borderId="73" xfId="4" applyFont="1" applyFill="1" applyBorder="1" applyAlignment="1">
      <alignment horizontal="center" vertical="center" wrapText="1"/>
    </xf>
    <xf numFmtId="0" fontId="29" fillId="17" borderId="56" xfId="0" applyFont="1" applyFill="1" applyBorder="1" applyAlignment="1">
      <alignment horizontal="center" vertical="center"/>
    </xf>
    <xf numFmtId="0" fontId="21" fillId="13" borderId="34" xfId="0" applyFont="1" applyFill="1" applyBorder="1" applyAlignment="1">
      <alignment horizontal="center" vertical="center"/>
    </xf>
    <xf numFmtId="0" fontId="21" fillId="13" borderId="0" xfId="0" applyFont="1" applyFill="1" applyBorder="1" applyAlignment="1">
      <alignment horizontal="center" vertical="center"/>
    </xf>
    <xf numFmtId="0" fontId="29" fillId="17" borderId="63" xfId="0" applyFont="1" applyFill="1" applyBorder="1" applyAlignment="1">
      <alignment horizontal="center" vertical="center" wrapText="1"/>
    </xf>
    <xf numFmtId="0" fontId="29" fillId="17" borderId="61" xfId="0" applyFont="1" applyFill="1" applyBorder="1" applyAlignment="1">
      <alignment horizontal="center" vertical="center" wrapText="1"/>
    </xf>
    <xf numFmtId="0" fontId="29" fillId="17" borderId="65" xfId="0" applyFont="1" applyFill="1" applyBorder="1" applyAlignment="1">
      <alignment horizontal="center" vertical="center" wrapText="1"/>
    </xf>
    <xf numFmtId="0" fontId="47" fillId="18" borderId="0" xfId="7" applyFont="1" applyBorder="1" applyAlignment="1">
      <alignment horizontal="center" vertical="center"/>
    </xf>
    <xf numFmtId="0" fontId="47" fillId="18" borderId="56" xfId="7" applyFont="1" applyBorder="1" applyAlignment="1">
      <alignment horizontal="center" vertical="center"/>
    </xf>
    <xf numFmtId="0" fontId="47" fillId="18" borderId="59" xfId="7" applyFont="1" applyBorder="1" applyAlignment="1">
      <alignment horizontal="center" vertical="center"/>
    </xf>
    <xf numFmtId="0" fontId="21" fillId="13" borderId="32" xfId="2" applyFont="1" applyFill="1" applyBorder="1" applyAlignment="1">
      <alignment horizontal="center" vertical="center" wrapText="1"/>
    </xf>
    <xf numFmtId="0" fontId="21" fillId="13" borderId="31" xfId="2" applyFont="1" applyFill="1" applyBorder="1" applyAlignment="1">
      <alignment horizontal="center" vertical="center" wrapText="1"/>
    </xf>
    <xf numFmtId="0" fontId="21" fillId="13" borderId="71" xfId="0" applyFont="1" applyFill="1" applyBorder="1" applyAlignment="1">
      <alignment horizontal="center" vertical="center"/>
    </xf>
    <xf numFmtId="0" fontId="29" fillId="17" borderId="60" xfId="0" applyFont="1" applyFill="1" applyBorder="1" applyAlignment="1">
      <alignment horizontal="center" vertical="center"/>
    </xf>
    <xf numFmtId="0" fontId="29" fillId="17" borderId="78" xfId="0" applyFont="1" applyFill="1" applyBorder="1" applyAlignment="1">
      <alignment horizontal="center" vertical="center"/>
    </xf>
    <xf numFmtId="0" fontId="29" fillId="17" borderId="70" xfId="0" applyFont="1" applyFill="1" applyBorder="1" applyAlignment="1">
      <alignment horizontal="center" vertical="center"/>
    </xf>
    <xf numFmtId="0" fontId="29" fillId="17" borderId="77" xfId="0" applyFont="1" applyFill="1" applyBorder="1" applyAlignment="1">
      <alignment horizontal="center" vertical="center" wrapText="1"/>
    </xf>
    <xf numFmtId="0" fontId="29" fillId="17" borderId="69" xfId="0" applyFont="1" applyFill="1" applyBorder="1" applyAlignment="1">
      <alignment horizontal="center" vertical="center"/>
    </xf>
    <xf numFmtId="0" fontId="13" fillId="17" borderId="69" xfId="2" applyFont="1" applyFill="1" applyBorder="1" applyAlignment="1">
      <alignment horizontal="center" vertical="center" wrapText="1"/>
    </xf>
    <xf numFmtId="0" fontId="13" fillId="17" borderId="9" xfId="2" applyFont="1" applyFill="1" applyBorder="1" applyAlignment="1">
      <alignment horizontal="center" vertical="center" wrapText="1"/>
    </xf>
    <xf numFmtId="0" fontId="13" fillId="17" borderId="35" xfId="2" applyFont="1" applyFill="1" applyBorder="1" applyAlignment="1">
      <alignment horizontal="center" vertical="center" wrapText="1"/>
    </xf>
    <xf numFmtId="0" fontId="29" fillId="17" borderId="77" xfId="0" applyFont="1" applyFill="1" applyBorder="1" applyAlignment="1">
      <alignment horizontal="center" vertical="center"/>
    </xf>
    <xf numFmtId="0" fontId="29" fillId="17" borderId="62" xfId="0" applyFont="1" applyFill="1" applyBorder="1" applyAlignment="1">
      <alignment horizontal="center" vertical="center"/>
    </xf>
    <xf numFmtId="0" fontId="21" fillId="13" borderId="0" xfId="2" applyFont="1" applyFill="1" applyBorder="1" applyAlignment="1">
      <alignment horizontal="center" vertical="center" wrapText="1"/>
    </xf>
    <xf numFmtId="0" fontId="21" fillId="13" borderId="13" xfId="2" applyFont="1" applyFill="1" applyBorder="1" applyAlignment="1">
      <alignment horizontal="center" vertical="center" wrapText="1"/>
    </xf>
    <xf numFmtId="0" fontId="29" fillId="17" borderId="72" xfId="0" applyFont="1" applyFill="1" applyBorder="1" applyAlignment="1">
      <alignment horizontal="center" vertical="top" wrapText="1"/>
    </xf>
    <xf numFmtId="0" fontId="29" fillId="17" borderId="86" xfId="0" applyFont="1" applyFill="1" applyBorder="1" applyAlignment="1">
      <alignment horizontal="center" vertical="top" wrapText="1"/>
    </xf>
    <xf numFmtId="0" fontId="29" fillId="17" borderId="73" xfId="0" applyFont="1" applyFill="1" applyBorder="1" applyAlignment="1">
      <alignment horizontal="center" vertical="top" wrapText="1"/>
    </xf>
    <xf numFmtId="0" fontId="21" fillId="13" borderId="79"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7" xfId="0" applyFont="1" applyFill="1" applyBorder="1" applyAlignment="1">
      <alignment horizontal="center" vertical="center" wrapText="1"/>
    </xf>
    <xf numFmtId="0" fontId="13" fillId="14" borderId="86" xfId="2" applyFont="1" applyFill="1" applyBorder="1" applyAlignment="1">
      <alignment horizontal="center" vertical="center" wrapText="1"/>
    </xf>
    <xf numFmtId="0" fontId="13" fillId="14" borderId="73" xfId="2" applyFont="1" applyFill="1" applyBorder="1" applyAlignment="1">
      <alignment horizontal="center" vertical="center" wrapText="1"/>
    </xf>
    <xf numFmtId="0" fontId="13" fillId="17" borderId="85" xfId="2" applyFont="1" applyFill="1" applyBorder="1" applyAlignment="1">
      <alignment horizontal="center" vertical="center" wrapText="1"/>
    </xf>
    <xf numFmtId="0" fontId="13" fillId="17" borderId="84" xfId="2" applyFont="1" applyFill="1" applyBorder="1" applyAlignment="1">
      <alignment horizontal="center" vertical="center" wrapText="1"/>
    </xf>
    <xf numFmtId="0" fontId="54" fillId="14" borderId="86" xfId="2" applyFont="1" applyFill="1" applyBorder="1" applyAlignment="1">
      <alignment horizontal="center" vertical="center" wrapText="1"/>
    </xf>
    <xf numFmtId="0" fontId="55" fillId="14" borderId="73" xfId="2" applyFont="1" applyFill="1" applyBorder="1" applyAlignment="1">
      <alignment horizontal="center" vertical="center" wrapText="1"/>
    </xf>
    <xf numFmtId="0" fontId="21" fillId="13" borderId="0" xfId="0" applyFont="1" applyFill="1" applyBorder="1" applyAlignment="1">
      <alignment horizontal="center" vertical="center" wrapText="1"/>
    </xf>
    <xf numFmtId="0" fontId="21" fillId="13" borderId="9" xfId="0" applyFont="1" applyFill="1" applyBorder="1" applyAlignment="1">
      <alignment horizontal="center" vertical="center" wrapText="1"/>
    </xf>
    <xf numFmtId="0" fontId="16" fillId="13" borderId="80" xfId="2" applyFont="1" applyFill="1" applyBorder="1" applyAlignment="1">
      <alignment horizontal="center" vertical="center" wrapText="1"/>
    </xf>
    <xf numFmtId="0" fontId="16" fillId="13" borderId="81" xfId="2" applyFont="1" applyFill="1" applyBorder="1" applyAlignment="1">
      <alignment horizontal="center" vertical="center" wrapText="1"/>
    </xf>
    <xf numFmtId="0" fontId="16" fillId="13" borderId="82" xfId="2" applyFont="1" applyFill="1" applyBorder="1" applyAlignment="1">
      <alignment horizontal="center" vertical="center" wrapText="1"/>
    </xf>
    <xf numFmtId="0" fontId="13" fillId="17" borderId="59" xfId="2" applyFont="1" applyFill="1" applyBorder="1" applyAlignment="1">
      <alignment horizontal="center" vertical="center" wrapText="1"/>
    </xf>
    <xf numFmtId="0" fontId="13" fillId="17" borderId="67" xfId="2" applyFont="1" applyFill="1" applyBorder="1" applyAlignment="1">
      <alignment horizontal="center" vertical="center" wrapText="1"/>
    </xf>
    <xf numFmtId="0" fontId="21" fillId="13" borderId="34" xfId="0" applyFont="1" applyFill="1" applyBorder="1" applyAlignment="1">
      <alignment horizontal="center" vertical="center" wrapText="1"/>
    </xf>
    <xf numFmtId="0" fontId="16" fillId="13" borderId="0" xfId="0" applyFont="1" applyFill="1" applyAlignment="1">
      <alignment horizontal="center" vertical="center"/>
    </xf>
    <xf numFmtId="0" fontId="16" fillId="13" borderId="0" xfId="0" applyFont="1" applyFill="1" applyAlignment="1">
      <alignment horizontal="center" vertical="center" wrapText="1"/>
    </xf>
    <xf numFmtId="0" fontId="30" fillId="13" borderId="0" xfId="0" applyFont="1" applyFill="1" applyAlignment="1">
      <alignment horizontal="center" vertical="center"/>
    </xf>
    <xf numFmtId="0" fontId="11" fillId="14" borderId="54"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4" borderId="83" xfId="0" applyFont="1" applyFill="1" applyBorder="1" applyAlignment="1">
      <alignment horizontal="center" vertical="center" wrapText="1"/>
    </xf>
    <xf numFmtId="0" fontId="0" fillId="8" borderId="39" xfId="0" applyFill="1" applyBorder="1" applyAlignment="1">
      <alignment horizontal="left"/>
    </xf>
    <xf numFmtId="0" fontId="0" fillId="8" borderId="40" xfId="0" applyFill="1" applyBorder="1" applyAlignment="1">
      <alignment horizontal="left"/>
    </xf>
    <xf numFmtId="0" fontId="0" fillId="8" borderId="42" xfId="0" applyFill="1" applyBorder="1" applyAlignment="1">
      <alignment horizontal="left"/>
    </xf>
    <xf numFmtId="0" fontId="0" fillId="8" borderId="39" xfId="0" applyFill="1" applyBorder="1" applyAlignment="1">
      <alignment horizontal="left" vertical="center" wrapText="1"/>
    </xf>
    <xf numFmtId="0" fontId="0" fillId="8" borderId="40" xfId="0" applyFill="1" applyBorder="1" applyAlignment="1">
      <alignment horizontal="left" vertical="center" wrapText="1"/>
    </xf>
    <xf numFmtId="0" fontId="0" fillId="8" borderId="42" xfId="0" applyFill="1" applyBorder="1" applyAlignment="1">
      <alignment horizontal="left" vertical="center" wrapText="1"/>
    </xf>
    <xf numFmtId="0" fontId="0" fillId="8" borderId="39" xfId="0" applyFill="1" applyBorder="1" applyAlignment="1">
      <alignment horizontal="left" vertical="center"/>
    </xf>
    <xf numFmtId="0" fontId="0" fillId="8" borderId="40" xfId="0" applyFill="1" applyBorder="1" applyAlignment="1">
      <alignment horizontal="left" vertical="center"/>
    </xf>
    <xf numFmtId="0" fontId="0" fillId="8" borderId="42" xfId="0" applyFill="1" applyBorder="1" applyAlignment="1">
      <alignment horizontal="left" vertical="center"/>
    </xf>
    <xf numFmtId="0" fontId="0" fillId="8" borderId="50" xfId="0" applyFill="1" applyBorder="1" applyAlignment="1">
      <alignment horizontal="left" vertical="center" wrapText="1"/>
    </xf>
    <xf numFmtId="0" fontId="0" fillId="8" borderId="14" xfId="0" applyFill="1" applyBorder="1" applyAlignment="1">
      <alignment horizontal="left" vertical="center" wrapText="1"/>
    </xf>
    <xf numFmtId="0" fontId="0" fillId="8" borderId="89" xfId="0"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12" xfId="0" applyFont="1" applyFill="1" applyBorder="1" applyAlignment="1">
      <alignment horizontal="center" vertical="center" wrapText="1"/>
    </xf>
    <xf numFmtId="0" fontId="16" fillId="13" borderId="4" xfId="0" applyFont="1" applyFill="1" applyBorder="1" applyAlignment="1">
      <alignment horizontal="center" vertical="center" wrapText="1"/>
    </xf>
    <xf numFmtId="0" fontId="44" fillId="14" borderId="93" xfId="0" applyFont="1" applyFill="1" applyBorder="1" applyAlignment="1">
      <alignment horizontal="center" vertical="center" wrapText="1"/>
    </xf>
    <xf numFmtId="0" fontId="44" fillId="14" borderId="12" xfId="0" applyFont="1" applyFill="1" applyBorder="1" applyAlignment="1">
      <alignment horizontal="center" vertical="center" wrapText="1"/>
    </xf>
    <xf numFmtId="0" fontId="44" fillId="14" borderId="94" xfId="0" applyFont="1" applyFill="1" applyBorder="1" applyAlignment="1">
      <alignment horizontal="center" vertical="center" wrapText="1"/>
    </xf>
    <xf numFmtId="0" fontId="16" fillId="13" borderId="11" xfId="0" applyFont="1" applyFill="1" applyBorder="1" applyAlignment="1">
      <alignment horizontal="center" vertical="center"/>
    </xf>
    <xf numFmtId="0" fontId="16" fillId="13" borderId="12" xfId="0" applyFont="1" applyFill="1" applyBorder="1" applyAlignment="1">
      <alignment horizontal="center" vertical="center"/>
    </xf>
    <xf numFmtId="0" fontId="16" fillId="13" borderId="4" xfId="0" applyFont="1" applyFill="1" applyBorder="1" applyAlignment="1">
      <alignment horizontal="center" vertical="center"/>
    </xf>
    <xf numFmtId="0" fontId="11" fillId="14" borderId="93" xfId="0" applyFont="1" applyFill="1" applyBorder="1" applyAlignment="1">
      <alignment horizontal="center" vertical="center" wrapText="1"/>
    </xf>
    <xf numFmtId="0" fontId="11" fillId="14" borderId="94" xfId="0" applyFont="1" applyFill="1" applyBorder="1" applyAlignment="1">
      <alignment horizontal="center" vertical="center" wrapText="1"/>
    </xf>
    <xf numFmtId="0" fontId="16" fillId="13" borderId="91" xfId="0" applyFont="1" applyFill="1" applyBorder="1" applyAlignment="1">
      <alignment horizontal="center" vertical="center" wrapText="1"/>
    </xf>
    <xf numFmtId="0" fontId="16" fillId="13" borderId="2" xfId="0" applyFont="1" applyFill="1" applyBorder="1" applyAlignment="1">
      <alignment horizontal="center" vertical="center" wrapText="1"/>
    </xf>
    <xf numFmtId="0" fontId="16" fillId="13" borderId="10" xfId="0" applyFont="1" applyFill="1" applyBorder="1" applyAlignment="1">
      <alignment horizontal="center" vertical="center" wrapText="1"/>
    </xf>
  </cellXfs>
  <cellStyles count="8">
    <cellStyle name="40% - アクセント 6" xfId="2" builtinId="51"/>
    <cellStyle name="60% - アクセント 1" xfId="4" builtinId="32"/>
    <cellStyle name="タイトル" xfId="1" builtinId="15"/>
    <cellStyle name="パーセント" xfId="6" builtinId="5"/>
    <cellStyle name="ハイパーリンク" xfId="3" builtinId="8"/>
    <cellStyle name="桁区切り" xfId="5" builtinId="6"/>
    <cellStyle name="標準" xfId="0" builtinId="0"/>
    <cellStyle name="良い" xfId="7" builtinId="26"/>
  </cellStyles>
  <dxfs count="6">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s>
  <tableStyles count="0" defaultTableStyle="TableStyleMedium2" defaultPivotStyle="PivotStyleLight16"/>
  <colors>
    <mruColors>
      <color rgb="FF62A69C"/>
      <color rgb="FF75B1A9"/>
      <color rgb="FF9AC6C0"/>
      <color rgb="FF41736C"/>
      <color rgb="FFFF9999"/>
      <color rgb="FFC1803F"/>
      <color rgb="FFEC6C32"/>
      <color rgb="FFB381D9"/>
      <color rgb="FF996600"/>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492570940245066"/>
          <c:y val="7.6331028429109618E-2"/>
          <c:w val="0.57702170423683075"/>
          <c:h val="0.86814348423896848"/>
        </c:manualLayout>
      </c:layout>
      <c:barChart>
        <c:barDir val="bar"/>
        <c:grouping val="clustered"/>
        <c:varyColors val="0"/>
        <c:ser>
          <c:idx val="0"/>
          <c:order val="0"/>
          <c:tx>
            <c:strRef>
              <c:f>Analytics!$A$200</c:f>
              <c:strCache>
                <c:ptCount val="1"/>
                <c:pt idx="0">
                  <c:v>Financial needs for Mitigation</c:v>
                </c:pt>
              </c:strCache>
            </c:strRef>
          </c:tx>
          <c:spPr>
            <a:solidFill>
              <a:srgbClr val="457B73"/>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Analytics!$B$196:$I$196</c:f>
              <c:strCache>
                <c:ptCount val="8"/>
                <c:pt idx="0">
                  <c:v>Asia</c:v>
                </c:pt>
                <c:pt idx="1">
                  <c:v>North Africa &amp; the Middle East</c:v>
                </c:pt>
                <c:pt idx="2">
                  <c:v>Sub-Saharan Africa</c:v>
                </c:pt>
                <c:pt idx="3">
                  <c:v>Eastern Europe &amp; Central Asia</c:v>
                </c:pt>
                <c:pt idx="4">
                  <c:v>Europe</c:v>
                </c:pt>
                <c:pt idx="5">
                  <c:v>Latin America &amp; the Caribbean</c:v>
                </c:pt>
                <c:pt idx="6">
                  <c:v>Northern America</c:v>
                </c:pt>
                <c:pt idx="7">
                  <c:v>Oceania</c:v>
                </c:pt>
              </c:strCache>
            </c:strRef>
          </c:cat>
          <c:val>
            <c:numRef>
              <c:f>Analytics!$B$200:$I$200</c:f>
              <c:numCache>
                <c:formatCode>#,##0.00</c:formatCode>
                <c:ptCount val="8"/>
                <c:pt idx="0">
                  <c:v>872.72</c:v>
                </c:pt>
                <c:pt idx="1">
                  <c:v>256.17499999999995</c:v>
                </c:pt>
                <c:pt idx="2">
                  <c:v>1905.8570000000002</c:v>
                </c:pt>
                <c:pt idx="3">
                  <c:v>0</c:v>
                </c:pt>
                <c:pt idx="4" formatCode="#,##0">
                  <c:v>0</c:v>
                </c:pt>
                <c:pt idx="5">
                  <c:v>18.045000000000002</c:v>
                </c:pt>
                <c:pt idx="6" formatCode="#,##0">
                  <c:v>0</c:v>
                </c:pt>
                <c:pt idx="7">
                  <c:v>0.315</c:v>
                </c:pt>
              </c:numCache>
            </c:numRef>
          </c:val>
          <c:extLst>
            <c:ext xmlns:c16="http://schemas.microsoft.com/office/drawing/2014/chart" uri="{C3380CC4-5D6E-409C-BE32-E72D297353CC}">
              <c16:uniqueId val="{00000000-8628-461E-8D52-956939A976CC}"/>
            </c:ext>
          </c:extLst>
        </c:ser>
        <c:ser>
          <c:idx val="1"/>
          <c:order val="1"/>
          <c:tx>
            <c:strRef>
              <c:f>Analytics!$A$201</c:f>
              <c:strCache>
                <c:ptCount val="1"/>
                <c:pt idx="0">
                  <c:v>Financial needs for Adaptation</c:v>
                </c:pt>
              </c:strCache>
            </c:strRef>
          </c:tx>
          <c:spPr>
            <a:solidFill>
              <a:srgbClr val="75B1A9"/>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Analytics!$B$196:$I$196</c:f>
              <c:strCache>
                <c:ptCount val="8"/>
                <c:pt idx="0">
                  <c:v>Asia</c:v>
                </c:pt>
                <c:pt idx="1">
                  <c:v>North Africa &amp; the Middle East</c:v>
                </c:pt>
                <c:pt idx="2">
                  <c:v>Sub-Saharan Africa</c:v>
                </c:pt>
                <c:pt idx="3">
                  <c:v>Eastern Europe &amp; Central Asia</c:v>
                </c:pt>
                <c:pt idx="4">
                  <c:v>Europe</c:v>
                </c:pt>
                <c:pt idx="5">
                  <c:v>Latin America &amp; the Caribbean</c:v>
                </c:pt>
                <c:pt idx="6">
                  <c:v>Northern America</c:v>
                </c:pt>
                <c:pt idx="7">
                  <c:v>Oceania</c:v>
                </c:pt>
              </c:strCache>
            </c:strRef>
          </c:cat>
          <c:val>
            <c:numRef>
              <c:f>Analytics!$B$201:$I$201</c:f>
              <c:numCache>
                <c:formatCode>#,##0.00</c:formatCode>
                <c:ptCount val="8"/>
                <c:pt idx="0">
                  <c:v>222.185</c:v>
                </c:pt>
                <c:pt idx="1">
                  <c:v>94.222999999999999</c:v>
                </c:pt>
                <c:pt idx="2">
                  <c:v>892.40690000000006</c:v>
                </c:pt>
                <c:pt idx="3">
                  <c:v>16.72</c:v>
                </c:pt>
                <c:pt idx="4" formatCode="#,##0">
                  <c:v>0</c:v>
                </c:pt>
                <c:pt idx="5">
                  <c:v>23.472999999999999</c:v>
                </c:pt>
                <c:pt idx="6" formatCode="#,##0">
                  <c:v>0</c:v>
                </c:pt>
                <c:pt idx="7">
                  <c:v>0.84599999999999997</c:v>
                </c:pt>
              </c:numCache>
            </c:numRef>
          </c:val>
          <c:extLst>
            <c:ext xmlns:c16="http://schemas.microsoft.com/office/drawing/2014/chart" uri="{C3380CC4-5D6E-409C-BE32-E72D297353CC}">
              <c16:uniqueId val="{00000001-8628-461E-8D52-956939A976CC}"/>
            </c:ext>
          </c:extLst>
        </c:ser>
        <c:ser>
          <c:idx val="2"/>
          <c:order val="2"/>
          <c:tx>
            <c:strRef>
              <c:f>Analytics!$A$203</c:f>
              <c:strCache>
                <c:ptCount val="1"/>
                <c:pt idx="0">
                  <c:v>Total financial needs</c:v>
                </c:pt>
              </c:strCache>
            </c:strRef>
          </c:tx>
          <c:spPr>
            <a:solidFill>
              <a:srgbClr val="32485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Analytics!$B$196:$I$196</c:f>
              <c:strCache>
                <c:ptCount val="8"/>
                <c:pt idx="0">
                  <c:v>Asia</c:v>
                </c:pt>
                <c:pt idx="1">
                  <c:v>North Africa &amp; the Middle East</c:v>
                </c:pt>
                <c:pt idx="2">
                  <c:v>Sub-Saharan Africa</c:v>
                </c:pt>
                <c:pt idx="3">
                  <c:v>Eastern Europe &amp; Central Asia</c:v>
                </c:pt>
                <c:pt idx="4">
                  <c:v>Europe</c:v>
                </c:pt>
                <c:pt idx="5">
                  <c:v>Latin America &amp; the Caribbean</c:v>
                </c:pt>
                <c:pt idx="6">
                  <c:v>Northern America</c:v>
                </c:pt>
                <c:pt idx="7">
                  <c:v>Oceania</c:v>
                </c:pt>
              </c:strCache>
            </c:strRef>
          </c:cat>
          <c:val>
            <c:numRef>
              <c:f>Analytics!$B$203:$I$203</c:f>
              <c:numCache>
                <c:formatCode>#,##0.00</c:formatCode>
                <c:ptCount val="8"/>
                <c:pt idx="0">
                  <c:v>2554.9049999999997</c:v>
                </c:pt>
                <c:pt idx="1">
                  <c:v>353.13799999999998</c:v>
                </c:pt>
                <c:pt idx="2">
                  <c:v>3128.0019000000002</c:v>
                </c:pt>
                <c:pt idx="3">
                  <c:v>28.020000000000003</c:v>
                </c:pt>
                <c:pt idx="4" formatCode="#,##0">
                  <c:v>0</c:v>
                </c:pt>
                <c:pt idx="5">
                  <c:v>48.914000000000001</c:v>
                </c:pt>
                <c:pt idx="6" formatCode="#,##0">
                  <c:v>0</c:v>
                </c:pt>
                <c:pt idx="7">
                  <c:v>4.6930000000000005</c:v>
                </c:pt>
              </c:numCache>
            </c:numRef>
          </c:val>
          <c:extLst>
            <c:ext xmlns:c16="http://schemas.microsoft.com/office/drawing/2014/chart" uri="{C3380CC4-5D6E-409C-BE32-E72D297353CC}">
              <c16:uniqueId val="{00000002-8628-461E-8D52-956939A976CC}"/>
            </c:ext>
          </c:extLst>
        </c:ser>
        <c:dLbls>
          <c:dLblPos val="outEnd"/>
          <c:showLegendKey val="0"/>
          <c:showVal val="1"/>
          <c:showCatName val="0"/>
          <c:showSerName val="0"/>
          <c:showPercent val="0"/>
          <c:showBubbleSize val="0"/>
        </c:dLbls>
        <c:gapWidth val="182"/>
        <c:axId val="168143008"/>
        <c:axId val="168143568"/>
      </c:barChart>
      <c:catAx>
        <c:axId val="1681430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ja-JP"/>
          </a:p>
        </c:txPr>
        <c:crossAx val="168143568"/>
        <c:crosses val="autoZero"/>
        <c:auto val="1"/>
        <c:lblAlgn val="ctr"/>
        <c:lblOffset val="100"/>
        <c:noMultiLvlLbl val="0"/>
      </c:catAx>
      <c:valAx>
        <c:axId val="168143568"/>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ja-JP"/>
          </a:p>
        </c:txPr>
        <c:crossAx val="168143008"/>
        <c:crosses val="autoZero"/>
        <c:crossBetween val="between"/>
      </c:valAx>
      <c:spPr>
        <a:noFill/>
        <a:ln>
          <a:noFill/>
        </a:ln>
        <a:effectLst/>
      </c:spPr>
    </c:plotArea>
    <c:legend>
      <c:legendPos val="b"/>
      <c:layout>
        <c:manualLayout>
          <c:xMode val="edge"/>
          <c:yMode val="edge"/>
          <c:x val="9.5789148498244461E-3"/>
          <c:y val="0.94447451266807803"/>
          <c:w val="0.99042108515017535"/>
          <c:h val="5.552548733192200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176640419947508E-2"/>
          <c:y val="9.4450354124617206E-2"/>
          <c:w val="0.55450314960629921"/>
          <c:h val="0.79214765359867023"/>
        </c:manualLayout>
      </c:layout>
      <c:doughnutChart>
        <c:varyColors val="1"/>
        <c:ser>
          <c:idx val="0"/>
          <c:order val="0"/>
          <c:dPt>
            <c:idx val="0"/>
            <c:bubble3D val="0"/>
            <c:spPr>
              <a:solidFill>
                <a:srgbClr val="75B1A9"/>
              </a:solidFill>
              <a:ln w="19050">
                <a:solidFill>
                  <a:schemeClr val="lt1"/>
                </a:solidFill>
              </a:ln>
              <a:effectLst/>
            </c:spPr>
            <c:extLst>
              <c:ext xmlns:c16="http://schemas.microsoft.com/office/drawing/2014/chart" uri="{C3380CC4-5D6E-409C-BE32-E72D297353CC}">
                <c16:uniqueId val="{00000001-2327-40CC-90C7-6BA17F63D7F2}"/>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2327-40CC-90C7-6BA17F63D7F2}"/>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Analytics!$A$95:$A$96</c:f>
              <c:strCache>
                <c:ptCount val="2"/>
                <c:pt idx="0">
                  <c:v>Economy-wide</c:v>
                </c:pt>
                <c:pt idx="1">
                  <c:v>Sectoral</c:v>
                </c:pt>
              </c:strCache>
            </c:strRef>
          </c:cat>
          <c:val>
            <c:numRef>
              <c:f>Analytics!$J$95:$J$96</c:f>
              <c:numCache>
                <c:formatCode>General</c:formatCode>
                <c:ptCount val="2"/>
                <c:pt idx="0">
                  <c:v>178</c:v>
                </c:pt>
                <c:pt idx="1">
                  <c:v>12</c:v>
                </c:pt>
              </c:numCache>
            </c:numRef>
          </c:val>
          <c:extLst>
            <c:ext xmlns:c16="http://schemas.microsoft.com/office/drawing/2014/chart" uri="{C3380CC4-5D6E-409C-BE32-E72D297353CC}">
              <c16:uniqueId val="{00000004-2327-40CC-90C7-6BA17F63D7F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9340104986876641"/>
          <c:y val="0.27658873410054508"/>
          <c:w val="0.33500629921259845"/>
          <c:h val="0.34472263822436405"/>
        </c:manualLayout>
      </c:layout>
      <c:overlay val="0"/>
      <c:spPr>
        <a:noFill/>
        <a:ln>
          <a:noFill/>
        </a:ln>
        <a:effectLst/>
      </c:spPr>
      <c:txPr>
        <a:bodyPr rot="0" spcFirstLastPara="1" vertOverflow="ellipsis" vert="horz" wrap="square" anchor="ctr" anchorCtr="1"/>
        <a:lstStyle/>
        <a:p>
          <a:pPr algn="l" rtl="0">
            <a:defRPr lang="en-GB" sz="1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324851"/>
              </a:solidFill>
              <a:ln>
                <a:noFill/>
              </a:ln>
              <a:effectLst/>
            </c:spPr>
            <c:extLst>
              <c:ext xmlns:c16="http://schemas.microsoft.com/office/drawing/2014/chart" uri="{C3380CC4-5D6E-409C-BE32-E72D297353CC}">
                <c16:uniqueId val="{00000001-1B0F-4405-A9EE-8A4F18C48A06}"/>
              </c:ext>
            </c:extLst>
          </c:dPt>
          <c:dPt>
            <c:idx val="1"/>
            <c:invertIfNegative val="0"/>
            <c:bubble3D val="0"/>
            <c:spPr>
              <a:solidFill>
                <a:srgbClr val="41736C"/>
              </a:solidFill>
              <a:ln>
                <a:noFill/>
              </a:ln>
              <a:effectLst/>
            </c:spPr>
            <c:extLst>
              <c:ext xmlns:c16="http://schemas.microsoft.com/office/drawing/2014/chart" uri="{C3380CC4-5D6E-409C-BE32-E72D297353CC}">
                <c16:uniqueId val="{00000003-1B0F-4405-A9EE-8A4F18C48A06}"/>
              </c:ext>
            </c:extLst>
          </c:dPt>
          <c:dPt>
            <c:idx val="2"/>
            <c:invertIfNegative val="0"/>
            <c:bubble3D val="0"/>
            <c:spPr>
              <a:solidFill>
                <a:srgbClr val="75B1A9"/>
              </a:solidFill>
              <a:ln>
                <a:noFill/>
              </a:ln>
              <a:effectLst/>
            </c:spPr>
            <c:extLst>
              <c:ext xmlns:c16="http://schemas.microsoft.com/office/drawing/2014/chart" uri="{C3380CC4-5D6E-409C-BE32-E72D297353CC}">
                <c16:uniqueId val="{00000005-1B0F-4405-A9EE-8A4F18C48A06}"/>
              </c:ext>
            </c:extLst>
          </c:dPt>
          <c:dPt>
            <c:idx val="3"/>
            <c:invertIfNegative val="0"/>
            <c:bubble3D val="0"/>
            <c:spPr>
              <a:solidFill>
                <a:srgbClr val="9AC6C0"/>
              </a:solidFill>
              <a:ln>
                <a:noFill/>
              </a:ln>
              <a:effectLst/>
            </c:spPr>
            <c:extLst>
              <c:ext xmlns:c16="http://schemas.microsoft.com/office/drawing/2014/chart" uri="{C3380CC4-5D6E-409C-BE32-E72D297353CC}">
                <c16:uniqueId val="{00000007-1B0F-4405-A9EE-8A4F18C48A06}"/>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1B0F-4405-A9EE-8A4F18C48A06}"/>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1B0F-4405-A9EE-8A4F18C48A0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Analytics!$A$98:$A$103</c:f>
              <c:strCache>
                <c:ptCount val="6"/>
                <c:pt idx="0">
                  <c:v>Energy</c:v>
                </c:pt>
                <c:pt idx="1">
                  <c:v>Agriculture</c:v>
                </c:pt>
                <c:pt idx="2">
                  <c:v>Transport</c:v>
                </c:pt>
                <c:pt idx="3">
                  <c:v>Waste</c:v>
                </c:pt>
                <c:pt idx="4">
                  <c:v>LULUCF</c:v>
                </c:pt>
                <c:pt idx="5">
                  <c:v>Industry</c:v>
                </c:pt>
              </c:strCache>
            </c:strRef>
          </c:cat>
          <c:val>
            <c:numRef>
              <c:f>Analytics!$J$98:$J$103</c:f>
              <c:numCache>
                <c:formatCode>General</c:formatCode>
                <c:ptCount val="6"/>
                <c:pt idx="0">
                  <c:v>193</c:v>
                </c:pt>
                <c:pt idx="1">
                  <c:v>166</c:v>
                </c:pt>
                <c:pt idx="2">
                  <c:v>173</c:v>
                </c:pt>
                <c:pt idx="3">
                  <c:v>167</c:v>
                </c:pt>
                <c:pt idx="4">
                  <c:v>162</c:v>
                </c:pt>
                <c:pt idx="5">
                  <c:v>147</c:v>
                </c:pt>
              </c:numCache>
            </c:numRef>
          </c:val>
          <c:extLst>
            <c:ext xmlns:c16="http://schemas.microsoft.com/office/drawing/2014/chart" uri="{C3380CC4-5D6E-409C-BE32-E72D297353CC}">
              <c16:uniqueId val="{0000000C-1B0F-4405-A9EE-8A4F18C48A06}"/>
            </c:ext>
          </c:extLst>
        </c:ser>
        <c:dLbls>
          <c:dLblPos val="outEnd"/>
          <c:showLegendKey val="0"/>
          <c:showVal val="1"/>
          <c:showCatName val="0"/>
          <c:showSerName val="0"/>
          <c:showPercent val="0"/>
          <c:showBubbleSize val="0"/>
        </c:dLbls>
        <c:gapWidth val="110"/>
        <c:axId val="258007712"/>
        <c:axId val="258008272"/>
      </c:barChart>
      <c:catAx>
        <c:axId val="258007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258008272"/>
        <c:crosses val="autoZero"/>
        <c:auto val="1"/>
        <c:lblAlgn val="ctr"/>
        <c:lblOffset val="100"/>
        <c:noMultiLvlLbl val="0"/>
      </c:catAx>
      <c:valAx>
        <c:axId val="258008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58007712"/>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324851"/>
              </a:solidFill>
              <a:ln>
                <a:noFill/>
              </a:ln>
              <a:effectLst/>
            </c:spPr>
            <c:extLst>
              <c:ext xmlns:c16="http://schemas.microsoft.com/office/drawing/2014/chart" uri="{C3380CC4-5D6E-409C-BE32-E72D297353CC}">
                <c16:uniqueId val="{00000001-D7E8-4748-847E-0A6A345CE9D1}"/>
              </c:ext>
            </c:extLst>
          </c:dPt>
          <c:dPt>
            <c:idx val="1"/>
            <c:invertIfNegative val="0"/>
            <c:bubble3D val="0"/>
            <c:spPr>
              <a:solidFill>
                <a:srgbClr val="41736C"/>
              </a:solidFill>
              <a:ln>
                <a:noFill/>
              </a:ln>
              <a:effectLst/>
            </c:spPr>
            <c:extLst>
              <c:ext xmlns:c16="http://schemas.microsoft.com/office/drawing/2014/chart" uri="{C3380CC4-5D6E-409C-BE32-E72D297353CC}">
                <c16:uniqueId val="{00000003-D7E8-4748-847E-0A6A345CE9D1}"/>
              </c:ext>
            </c:extLst>
          </c:dPt>
          <c:dPt>
            <c:idx val="2"/>
            <c:invertIfNegative val="0"/>
            <c:bubble3D val="0"/>
            <c:spPr>
              <a:solidFill>
                <a:srgbClr val="62A69C"/>
              </a:solidFill>
              <a:ln>
                <a:noFill/>
              </a:ln>
              <a:effectLst/>
            </c:spPr>
            <c:extLst>
              <c:ext xmlns:c16="http://schemas.microsoft.com/office/drawing/2014/chart" uri="{C3380CC4-5D6E-409C-BE32-E72D297353CC}">
                <c16:uniqueId val="{00000005-D7E8-4748-847E-0A6A345CE9D1}"/>
              </c:ext>
            </c:extLst>
          </c:dPt>
          <c:dPt>
            <c:idx val="3"/>
            <c:invertIfNegative val="0"/>
            <c:bubble3D val="0"/>
            <c:spPr>
              <a:solidFill>
                <a:srgbClr val="75B1A9"/>
              </a:solidFill>
              <a:ln>
                <a:noFill/>
              </a:ln>
              <a:effectLst/>
            </c:spPr>
            <c:extLst>
              <c:ext xmlns:c16="http://schemas.microsoft.com/office/drawing/2014/chart" uri="{C3380CC4-5D6E-409C-BE32-E72D297353CC}">
                <c16:uniqueId val="{00000007-D7E8-4748-847E-0A6A345CE9D1}"/>
              </c:ext>
            </c:extLst>
          </c:dPt>
          <c:dPt>
            <c:idx val="4"/>
            <c:invertIfNegative val="0"/>
            <c:bubble3D val="0"/>
            <c:spPr>
              <a:solidFill>
                <a:srgbClr val="9AC6C0"/>
              </a:solidFill>
              <a:ln>
                <a:noFill/>
              </a:ln>
              <a:effectLst/>
            </c:spPr>
            <c:extLst>
              <c:ext xmlns:c16="http://schemas.microsoft.com/office/drawing/2014/chart" uri="{C3380CC4-5D6E-409C-BE32-E72D297353CC}">
                <c16:uniqueId val="{00000009-D7E8-4748-847E-0A6A345CE9D1}"/>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D7E8-4748-847E-0A6A345CE9D1}"/>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D7E8-4748-847E-0A6A345CE9D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Analytics!$A$105:$A$111</c:f>
              <c:strCache>
                <c:ptCount val="7"/>
                <c:pt idx="0">
                  <c:v>CO2</c:v>
                </c:pt>
                <c:pt idx="1">
                  <c:v>CH4</c:v>
                </c:pt>
                <c:pt idx="2">
                  <c:v>N2O</c:v>
                </c:pt>
                <c:pt idx="3">
                  <c:v>HFCs</c:v>
                </c:pt>
                <c:pt idx="4">
                  <c:v>PFCs</c:v>
                </c:pt>
                <c:pt idx="5">
                  <c:v>SF6</c:v>
                </c:pt>
                <c:pt idx="6">
                  <c:v>NF3</c:v>
                </c:pt>
              </c:strCache>
            </c:strRef>
          </c:cat>
          <c:val>
            <c:numRef>
              <c:f>Analytics!$J$105:$J$111</c:f>
              <c:numCache>
                <c:formatCode>General</c:formatCode>
                <c:ptCount val="7"/>
                <c:pt idx="0">
                  <c:v>189</c:v>
                </c:pt>
                <c:pt idx="1">
                  <c:v>174</c:v>
                </c:pt>
                <c:pt idx="2">
                  <c:v>166</c:v>
                </c:pt>
                <c:pt idx="3">
                  <c:v>103</c:v>
                </c:pt>
                <c:pt idx="4">
                  <c:v>71</c:v>
                </c:pt>
                <c:pt idx="5">
                  <c:v>70</c:v>
                </c:pt>
                <c:pt idx="6">
                  <c:v>51</c:v>
                </c:pt>
              </c:numCache>
            </c:numRef>
          </c:val>
          <c:extLst>
            <c:ext xmlns:c16="http://schemas.microsoft.com/office/drawing/2014/chart" uri="{C3380CC4-5D6E-409C-BE32-E72D297353CC}">
              <c16:uniqueId val="{0000000E-D7E8-4748-847E-0A6A345CE9D1}"/>
            </c:ext>
          </c:extLst>
        </c:ser>
        <c:dLbls>
          <c:dLblPos val="outEnd"/>
          <c:showLegendKey val="0"/>
          <c:showVal val="1"/>
          <c:showCatName val="0"/>
          <c:showSerName val="0"/>
          <c:showPercent val="0"/>
          <c:showBubbleSize val="0"/>
        </c:dLbls>
        <c:gapWidth val="110"/>
        <c:axId val="258010512"/>
        <c:axId val="258011072"/>
      </c:barChart>
      <c:catAx>
        <c:axId val="2580105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258011072"/>
        <c:crosses val="autoZero"/>
        <c:auto val="1"/>
        <c:lblAlgn val="ctr"/>
        <c:lblOffset val="100"/>
        <c:noMultiLvlLbl val="0"/>
      </c:catAx>
      <c:valAx>
        <c:axId val="25801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58010512"/>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57621038904919"/>
          <c:y val="3.725453001880482E-2"/>
          <c:w val="0.5288110930739035"/>
          <c:h val="0.71076734649773665"/>
        </c:manualLayout>
      </c:layout>
      <c:barChart>
        <c:barDir val="col"/>
        <c:grouping val="stacked"/>
        <c:varyColors val="0"/>
        <c:ser>
          <c:idx val="7"/>
          <c:order val="0"/>
          <c:tx>
            <c:strRef>
              <c:f>Analytics!$I$272</c:f>
              <c:strCache>
                <c:ptCount val="1"/>
                <c:pt idx="0">
                  <c:v>Oceania</c:v>
                </c:pt>
              </c:strCache>
            </c:strRef>
          </c:tx>
          <c:spPr>
            <a:solidFill>
              <a:srgbClr val="00B0F0"/>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0-3F56-45D2-8DF5-AD71AC5D8690}"/>
                </c:ext>
              </c:extLst>
            </c:dLbl>
            <c:dLbl>
              <c:idx val="4"/>
              <c:layout>
                <c:manualLayout>
                  <c:x val="-5.2830196528033953E-2"/>
                  <c:y val="-5.138539450488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56-45D2-8DF5-AD71AC5D8690}"/>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Analytics!$A$273:$A$278</c:f>
              <c:strCache>
                <c:ptCount val="6"/>
                <c:pt idx="0">
                  <c:v>Start: 2020, End: 2030</c:v>
                </c:pt>
                <c:pt idx="1">
                  <c:v>Start: 2021, End: 2030</c:v>
                </c:pt>
                <c:pt idx="2">
                  <c:v>Start: 2020, End: 2025</c:v>
                </c:pt>
                <c:pt idx="3">
                  <c:v>Start: 2021, End: 2025</c:v>
                </c:pt>
                <c:pt idx="4">
                  <c:v>Start: N/A,  End: N/A</c:v>
                </c:pt>
                <c:pt idx="5">
                  <c:v>Other combinations</c:v>
                </c:pt>
              </c:strCache>
            </c:strRef>
          </c:cat>
          <c:val>
            <c:numRef>
              <c:f>Analytics!$I$273:$I$278</c:f>
              <c:numCache>
                <c:formatCode>General</c:formatCode>
                <c:ptCount val="6"/>
                <c:pt idx="0">
                  <c:v>3</c:v>
                </c:pt>
                <c:pt idx="1">
                  <c:v>5</c:v>
                </c:pt>
                <c:pt idx="2">
                  <c:v>2</c:v>
                </c:pt>
                <c:pt idx="3">
                  <c:v>0</c:v>
                </c:pt>
                <c:pt idx="4">
                  <c:v>1</c:v>
                </c:pt>
                <c:pt idx="5">
                  <c:v>5</c:v>
                </c:pt>
              </c:numCache>
            </c:numRef>
          </c:val>
          <c:extLst>
            <c:ext xmlns:c16="http://schemas.microsoft.com/office/drawing/2014/chart" uri="{C3380CC4-5D6E-409C-BE32-E72D297353CC}">
              <c16:uniqueId val="{00000002-3F56-45D2-8DF5-AD71AC5D8690}"/>
            </c:ext>
          </c:extLst>
        </c:ser>
        <c:ser>
          <c:idx val="6"/>
          <c:order val="1"/>
          <c:tx>
            <c:strRef>
              <c:f>Analytics!$H$272</c:f>
              <c:strCache>
                <c:ptCount val="1"/>
                <c:pt idx="0">
                  <c:v>Northern America</c:v>
                </c:pt>
              </c:strCache>
            </c:strRef>
          </c:tx>
          <c:spPr>
            <a:solidFill>
              <a:schemeClr val="accent2">
                <a:lumMod val="75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3F56-45D2-8DF5-AD71AC5D8690}"/>
                </c:ext>
              </c:extLst>
            </c:dLbl>
            <c:dLbl>
              <c:idx val="1"/>
              <c:delete val="1"/>
              <c:extLst>
                <c:ext xmlns:c15="http://schemas.microsoft.com/office/drawing/2012/chart" uri="{CE6537A1-D6FC-4f65-9D91-7224C49458BB}"/>
                <c:ext xmlns:c16="http://schemas.microsoft.com/office/drawing/2014/chart" uri="{C3380CC4-5D6E-409C-BE32-E72D297353CC}">
                  <c16:uniqueId val="{00000004-3F56-45D2-8DF5-AD71AC5D8690}"/>
                </c:ext>
              </c:extLst>
            </c:dLbl>
            <c:dLbl>
              <c:idx val="2"/>
              <c:delete val="1"/>
              <c:extLst>
                <c:ext xmlns:c15="http://schemas.microsoft.com/office/drawing/2012/chart" uri="{CE6537A1-D6FC-4f65-9D91-7224C49458BB}"/>
                <c:ext xmlns:c16="http://schemas.microsoft.com/office/drawing/2014/chart" uri="{C3380CC4-5D6E-409C-BE32-E72D297353CC}">
                  <c16:uniqueId val="{00000005-3F56-45D2-8DF5-AD71AC5D8690}"/>
                </c:ext>
              </c:extLst>
            </c:dLbl>
            <c:dLbl>
              <c:idx val="3"/>
              <c:delete val="1"/>
              <c:extLst>
                <c:ext xmlns:c15="http://schemas.microsoft.com/office/drawing/2012/chart" uri="{CE6537A1-D6FC-4f65-9D91-7224C49458BB}"/>
                <c:ext xmlns:c16="http://schemas.microsoft.com/office/drawing/2014/chart" uri="{C3380CC4-5D6E-409C-BE32-E72D297353CC}">
                  <c16:uniqueId val="{00000006-3F56-45D2-8DF5-AD71AC5D8690}"/>
                </c:ext>
              </c:extLst>
            </c:dLbl>
            <c:dLbl>
              <c:idx val="4"/>
              <c:delete val="1"/>
              <c:extLst>
                <c:ext xmlns:c15="http://schemas.microsoft.com/office/drawing/2012/chart" uri="{CE6537A1-D6FC-4f65-9D91-7224C49458BB}"/>
                <c:ext xmlns:c16="http://schemas.microsoft.com/office/drawing/2014/chart" uri="{C3380CC4-5D6E-409C-BE32-E72D297353CC}">
                  <c16:uniqueId val="{00000000-05A2-41D5-9486-91AE55F3E76D}"/>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Analytics!$A$273:$A$278</c:f>
              <c:strCache>
                <c:ptCount val="6"/>
                <c:pt idx="0">
                  <c:v>Start: 2020, End: 2030</c:v>
                </c:pt>
                <c:pt idx="1">
                  <c:v>Start: 2021, End: 2030</c:v>
                </c:pt>
                <c:pt idx="2">
                  <c:v>Start: 2020, End: 2025</c:v>
                </c:pt>
                <c:pt idx="3">
                  <c:v>Start: 2021, End: 2025</c:v>
                </c:pt>
                <c:pt idx="4">
                  <c:v>Start: N/A,  End: N/A</c:v>
                </c:pt>
                <c:pt idx="5">
                  <c:v>Other combinations</c:v>
                </c:pt>
              </c:strCache>
            </c:strRef>
          </c:cat>
          <c:val>
            <c:numRef>
              <c:f>Analytics!$H$273:$H$278</c:f>
              <c:numCache>
                <c:formatCode>General</c:formatCode>
                <c:ptCount val="6"/>
                <c:pt idx="0">
                  <c:v>0</c:v>
                </c:pt>
                <c:pt idx="1">
                  <c:v>1</c:v>
                </c:pt>
                <c:pt idx="2">
                  <c:v>0</c:v>
                </c:pt>
                <c:pt idx="3">
                  <c:v>0</c:v>
                </c:pt>
                <c:pt idx="4">
                  <c:v>0</c:v>
                </c:pt>
                <c:pt idx="5">
                  <c:v>1</c:v>
                </c:pt>
              </c:numCache>
            </c:numRef>
          </c:val>
          <c:extLst>
            <c:ext xmlns:c16="http://schemas.microsoft.com/office/drawing/2014/chart" uri="{C3380CC4-5D6E-409C-BE32-E72D297353CC}">
              <c16:uniqueId val="{00000007-3F56-45D2-8DF5-AD71AC5D8690}"/>
            </c:ext>
          </c:extLst>
        </c:ser>
        <c:ser>
          <c:idx val="5"/>
          <c:order val="2"/>
          <c:tx>
            <c:strRef>
              <c:f>Analytics!$G$272</c:f>
              <c:strCache>
                <c:ptCount val="1"/>
                <c:pt idx="0">
                  <c:v>Latin America &amp; the Caribbean</c:v>
                </c:pt>
              </c:strCache>
            </c:strRef>
          </c:tx>
          <c:spPr>
            <a:solidFill>
              <a:schemeClr val="accent6"/>
            </a:solidFill>
            <a:ln>
              <a:noFill/>
            </a:ln>
            <a:effectLst/>
          </c:spPr>
          <c:invertIfNegative val="0"/>
          <c:dLbls>
            <c:dLbl>
              <c:idx val="1"/>
              <c:layout>
                <c:manualLayout>
                  <c:x val="6.2264160193754338E-2"/>
                  <c:y val="-5.44080647698737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56-45D2-8DF5-AD71AC5D8690}"/>
                </c:ext>
              </c:extLst>
            </c:dLbl>
            <c:dLbl>
              <c:idx val="2"/>
              <c:delete val="1"/>
              <c:extLst>
                <c:ext xmlns:c15="http://schemas.microsoft.com/office/drawing/2012/chart" uri="{CE6537A1-D6FC-4f65-9D91-7224C49458BB}"/>
                <c:ext xmlns:c16="http://schemas.microsoft.com/office/drawing/2014/chart" uri="{C3380CC4-5D6E-409C-BE32-E72D297353CC}">
                  <c16:uniqueId val="{00000009-3F56-45D2-8DF5-AD71AC5D8690}"/>
                </c:ext>
              </c:extLst>
            </c:dLbl>
            <c:dLbl>
              <c:idx val="3"/>
              <c:delete val="1"/>
              <c:extLst>
                <c:ext xmlns:c15="http://schemas.microsoft.com/office/drawing/2012/chart" uri="{CE6537A1-D6FC-4f65-9D91-7224C49458BB}"/>
                <c:ext xmlns:c16="http://schemas.microsoft.com/office/drawing/2014/chart" uri="{C3380CC4-5D6E-409C-BE32-E72D297353CC}">
                  <c16:uniqueId val="{0000000A-3F56-45D2-8DF5-AD71AC5D8690}"/>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Analytics!$A$273:$A$278</c:f>
              <c:strCache>
                <c:ptCount val="6"/>
                <c:pt idx="0">
                  <c:v>Start: 2020, End: 2030</c:v>
                </c:pt>
                <c:pt idx="1">
                  <c:v>Start: 2021, End: 2030</c:v>
                </c:pt>
                <c:pt idx="2">
                  <c:v>Start: 2020, End: 2025</c:v>
                </c:pt>
                <c:pt idx="3">
                  <c:v>Start: 2021, End: 2025</c:v>
                </c:pt>
                <c:pt idx="4">
                  <c:v>Start: N/A,  End: N/A</c:v>
                </c:pt>
                <c:pt idx="5">
                  <c:v>Other combinations</c:v>
                </c:pt>
              </c:strCache>
            </c:strRef>
          </c:cat>
          <c:val>
            <c:numRef>
              <c:f>Analytics!$G$273:$G$278</c:f>
              <c:numCache>
                <c:formatCode>General</c:formatCode>
                <c:ptCount val="6"/>
                <c:pt idx="0">
                  <c:v>5</c:v>
                </c:pt>
                <c:pt idx="1">
                  <c:v>9</c:v>
                </c:pt>
                <c:pt idx="2">
                  <c:v>1</c:v>
                </c:pt>
                <c:pt idx="3">
                  <c:v>0</c:v>
                </c:pt>
                <c:pt idx="4">
                  <c:v>4</c:v>
                </c:pt>
                <c:pt idx="5">
                  <c:v>14</c:v>
                </c:pt>
              </c:numCache>
            </c:numRef>
          </c:val>
          <c:extLst>
            <c:ext xmlns:c16="http://schemas.microsoft.com/office/drawing/2014/chart" uri="{C3380CC4-5D6E-409C-BE32-E72D297353CC}">
              <c16:uniqueId val="{0000000B-3F56-45D2-8DF5-AD71AC5D8690}"/>
            </c:ext>
          </c:extLst>
        </c:ser>
        <c:ser>
          <c:idx val="4"/>
          <c:order val="3"/>
          <c:tx>
            <c:strRef>
              <c:f>Analytics!$F$272</c:f>
              <c:strCache>
                <c:ptCount val="1"/>
                <c:pt idx="0">
                  <c:v>Europe</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C-3F56-45D2-8DF5-AD71AC5D8690}"/>
                </c:ext>
              </c:extLst>
            </c:dLbl>
            <c:dLbl>
              <c:idx val="2"/>
              <c:delete val="1"/>
              <c:extLst>
                <c:ext xmlns:c15="http://schemas.microsoft.com/office/drawing/2012/chart" uri="{CE6537A1-D6FC-4f65-9D91-7224C49458BB}"/>
                <c:ext xmlns:c16="http://schemas.microsoft.com/office/drawing/2014/chart" uri="{C3380CC4-5D6E-409C-BE32-E72D297353CC}">
                  <c16:uniqueId val="{0000000D-3F56-45D2-8DF5-AD71AC5D8690}"/>
                </c:ext>
              </c:extLst>
            </c:dLbl>
            <c:dLbl>
              <c:idx val="3"/>
              <c:delete val="1"/>
              <c:extLst>
                <c:ext xmlns:c15="http://schemas.microsoft.com/office/drawing/2012/chart" uri="{CE6537A1-D6FC-4f65-9D91-7224C49458BB}"/>
                <c:ext xmlns:c16="http://schemas.microsoft.com/office/drawing/2014/chart" uri="{C3380CC4-5D6E-409C-BE32-E72D297353CC}">
                  <c16:uniqueId val="{0000000E-3F56-45D2-8DF5-AD71AC5D8690}"/>
                </c:ext>
              </c:extLst>
            </c:dLbl>
            <c:dLbl>
              <c:idx val="4"/>
              <c:layout>
                <c:manualLayout>
                  <c:x val="-6.2264160193754303E-2"/>
                  <c:y val="-2.41813621199438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56-45D2-8DF5-AD71AC5D8690}"/>
                </c:ext>
              </c:extLst>
            </c:dLbl>
            <c:dLbl>
              <c:idx val="5"/>
              <c:layout>
                <c:manualLayout>
                  <c:x val="5.5045860198375623E-2"/>
                  <c:y val="-2.41813621199438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A2-41D5-9486-91AE55F3E76D}"/>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Analytics!$A$273:$A$278</c:f>
              <c:strCache>
                <c:ptCount val="6"/>
                <c:pt idx="0">
                  <c:v>Start: 2020, End: 2030</c:v>
                </c:pt>
                <c:pt idx="1">
                  <c:v>Start: 2021, End: 2030</c:v>
                </c:pt>
                <c:pt idx="2">
                  <c:v>Start: 2020, End: 2025</c:v>
                </c:pt>
                <c:pt idx="3">
                  <c:v>Start: 2021, End: 2025</c:v>
                </c:pt>
                <c:pt idx="4">
                  <c:v>Start: N/A,  End: N/A</c:v>
                </c:pt>
                <c:pt idx="5">
                  <c:v>Other combinations</c:v>
                </c:pt>
              </c:strCache>
            </c:strRef>
          </c:cat>
          <c:val>
            <c:numRef>
              <c:f>Analytics!$F$273:$F$278</c:f>
              <c:numCache>
                <c:formatCode>General</c:formatCode>
                <c:ptCount val="6"/>
                <c:pt idx="0">
                  <c:v>0</c:v>
                </c:pt>
                <c:pt idx="1">
                  <c:v>33</c:v>
                </c:pt>
                <c:pt idx="2">
                  <c:v>0</c:v>
                </c:pt>
                <c:pt idx="3">
                  <c:v>0</c:v>
                </c:pt>
                <c:pt idx="4">
                  <c:v>1</c:v>
                </c:pt>
                <c:pt idx="5">
                  <c:v>2</c:v>
                </c:pt>
              </c:numCache>
            </c:numRef>
          </c:val>
          <c:extLst>
            <c:ext xmlns:c16="http://schemas.microsoft.com/office/drawing/2014/chart" uri="{C3380CC4-5D6E-409C-BE32-E72D297353CC}">
              <c16:uniqueId val="{00000010-3F56-45D2-8DF5-AD71AC5D8690}"/>
            </c:ext>
          </c:extLst>
        </c:ser>
        <c:ser>
          <c:idx val="3"/>
          <c:order val="4"/>
          <c:tx>
            <c:strRef>
              <c:f>Analytics!$E$272</c:f>
              <c:strCache>
                <c:ptCount val="1"/>
                <c:pt idx="0">
                  <c:v>Eastern Europe &amp; Central Asia</c:v>
                </c:pt>
              </c:strCache>
            </c:strRef>
          </c:tx>
          <c:spPr>
            <a:solidFill>
              <a:srgbClr val="B381D9"/>
            </a:solidFill>
            <a:ln>
              <a:noFill/>
            </a:ln>
            <a:effectLst/>
          </c:spPr>
          <c:invertIfNegative val="0"/>
          <c:dLbls>
            <c:dLbl>
              <c:idx val="0"/>
              <c:layout>
                <c:manualLayout>
                  <c:x val="5.4716989261178024E-2"/>
                  <c:y val="-1.5113351324964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F56-45D2-8DF5-AD71AC5D8690}"/>
                </c:ext>
              </c:extLst>
            </c:dLbl>
            <c:dLbl>
              <c:idx val="2"/>
              <c:delete val="1"/>
              <c:extLst>
                <c:ext xmlns:c15="http://schemas.microsoft.com/office/drawing/2012/chart" uri="{CE6537A1-D6FC-4f65-9D91-7224C49458BB}"/>
                <c:ext xmlns:c16="http://schemas.microsoft.com/office/drawing/2014/chart" uri="{C3380CC4-5D6E-409C-BE32-E72D297353CC}">
                  <c16:uniqueId val="{00000012-3F56-45D2-8DF5-AD71AC5D8690}"/>
                </c:ext>
              </c:extLst>
            </c:dLbl>
            <c:dLbl>
              <c:idx val="3"/>
              <c:delete val="1"/>
              <c:extLst>
                <c:ext xmlns:c15="http://schemas.microsoft.com/office/drawing/2012/chart" uri="{CE6537A1-D6FC-4f65-9D91-7224C49458BB}"/>
                <c:ext xmlns:c16="http://schemas.microsoft.com/office/drawing/2014/chart" uri="{C3380CC4-5D6E-409C-BE32-E72D297353CC}">
                  <c16:uniqueId val="{00000013-3F56-45D2-8DF5-AD71AC5D8690}"/>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Analytics!$A$273:$A$278</c:f>
              <c:strCache>
                <c:ptCount val="6"/>
                <c:pt idx="0">
                  <c:v>Start: 2020, End: 2030</c:v>
                </c:pt>
                <c:pt idx="1">
                  <c:v>Start: 2021, End: 2030</c:v>
                </c:pt>
                <c:pt idx="2">
                  <c:v>Start: 2020, End: 2025</c:v>
                </c:pt>
                <c:pt idx="3">
                  <c:v>Start: 2021, End: 2025</c:v>
                </c:pt>
                <c:pt idx="4">
                  <c:v>Start: N/A,  End: N/A</c:v>
                </c:pt>
                <c:pt idx="5">
                  <c:v>Other combinations</c:v>
                </c:pt>
              </c:strCache>
            </c:strRef>
          </c:cat>
          <c:val>
            <c:numRef>
              <c:f>Analytics!$E$273:$E$278</c:f>
              <c:numCache>
                <c:formatCode>General</c:formatCode>
                <c:ptCount val="6"/>
                <c:pt idx="0">
                  <c:v>2</c:v>
                </c:pt>
                <c:pt idx="1">
                  <c:v>12</c:v>
                </c:pt>
                <c:pt idx="2">
                  <c:v>0</c:v>
                </c:pt>
                <c:pt idx="3">
                  <c:v>0</c:v>
                </c:pt>
                <c:pt idx="4">
                  <c:v>1</c:v>
                </c:pt>
                <c:pt idx="5">
                  <c:v>2</c:v>
                </c:pt>
              </c:numCache>
            </c:numRef>
          </c:val>
          <c:extLst>
            <c:ext xmlns:c16="http://schemas.microsoft.com/office/drawing/2014/chart" uri="{C3380CC4-5D6E-409C-BE32-E72D297353CC}">
              <c16:uniqueId val="{00000014-3F56-45D2-8DF5-AD71AC5D8690}"/>
            </c:ext>
          </c:extLst>
        </c:ser>
        <c:ser>
          <c:idx val="2"/>
          <c:order val="5"/>
          <c:tx>
            <c:strRef>
              <c:f>Analytics!$D$272</c:f>
              <c:strCache>
                <c:ptCount val="1"/>
                <c:pt idx="0">
                  <c:v>Sub-Saharan Africa</c:v>
                </c:pt>
              </c:strCache>
            </c:strRef>
          </c:tx>
          <c:spPr>
            <a:solidFill>
              <a:srgbClr val="EC6C32"/>
            </a:solidFill>
            <a:ln>
              <a:noFill/>
            </a:ln>
            <a:effectLst/>
          </c:spPr>
          <c:invertIfNegative val="0"/>
          <c:dLbls>
            <c:dLbl>
              <c:idx val="2"/>
              <c:layout>
                <c:manualLayout>
                  <c:x val="5.849057472746616E-2"/>
                  <c:y val="-3.32493729149227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F56-45D2-8DF5-AD71AC5D8690}"/>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Analytics!$A$273:$A$278</c:f>
              <c:strCache>
                <c:ptCount val="6"/>
                <c:pt idx="0">
                  <c:v>Start: 2020, End: 2030</c:v>
                </c:pt>
                <c:pt idx="1">
                  <c:v>Start: 2021, End: 2030</c:v>
                </c:pt>
                <c:pt idx="2">
                  <c:v>Start: 2020, End: 2025</c:v>
                </c:pt>
                <c:pt idx="3">
                  <c:v>Start: 2021, End: 2025</c:v>
                </c:pt>
                <c:pt idx="4">
                  <c:v>Start: N/A,  End: N/A</c:v>
                </c:pt>
                <c:pt idx="5">
                  <c:v>Other combinations</c:v>
                </c:pt>
              </c:strCache>
            </c:strRef>
          </c:cat>
          <c:val>
            <c:numRef>
              <c:f>Analytics!$D$273:$D$278</c:f>
              <c:numCache>
                <c:formatCode>General</c:formatCode>
                <c:ptCount val="6"/>
                <c:pt idx="0">
                  <c:v>9</c:v>
                </c:pt>
                <c:pt idx="1">
                  <c:v>21</c:v>
                </c:pt>
                <c:pt idx="2">
                  <c:v>2</c:v>
                </c:pt>
                <c:pt idx="3">
                  <c:v>0</c:v>
                </c:pt>
                <c:pt idx="4">
                  <c:v>3</c:v>
                </c:pt>
                <c:pt idx="5">
                  <c:v>14</c:v>
                </c:pt>
              </c:numCache>
            </c:numRef>
          </c:val>
          <c:extLst>
            <c:ext xmlns:c16="http://schemas.microsoft.com/office/drawing/2014/chart" uri="{C3380CC4-5D6E-409C-BE32-E72D297353CC}">
              <c16:uniqueId val="{00000016-3F56-45D2-8DF5-AD71AC5D8690}"/>
            </c:ext>
          </c:extLst>
        </c:ser>
        <c:ser>
          <c:idx val="1"/>
          <c:order val="6"/>
          <c:tx>
            <c:strRef>
              <c:f>Analytics!$C$272</c:f>
              <c:strCache>
                <c:ptCount val="1"/>
                <c:pt idx="0">
                  <c:v>North Africa &amp; the Middle East</c:v>
                </c:pt>
              </c:strCache>
            </c:strRef>
          </c:tx>
          <c:spPr>
            <a:solidFill>
              <a:srgbClr val="C1803F"/>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7-3F56-45D2-8DF5-AD71AC5D8690}"/>
                </c:ext>
              </c:extLst>
            </c:dLbl>
            <c:dLbl>
              <c:idx val="2"/>
              <c:delete val="1"/>
              <c:extLst>
                <c:ext xmlns:c15="http://schemas.microsoft.com/office/drawing/2012/chart" uri="{CE6537A1-D6FC-4f65-9D91-7224C49458BB}"/>
                <c:ext xmlns:c16="http://schemas.microsoft.com/office/drawing/2014/chart" uri="{C3380CC4-5D6E-409C-BE32-E72D297353CC}">
                  <c16:uniqueId val="{00000018-3F56-45D2-8DF5-AD71AC5D8690}"/>
                </c:ext>
              </c:extLst>
            </c:dLbl>
            <c:dLbl>
              <c:idx val="3"/>
              <c:delete val="1"/>
              <c:extLst>
                <c:ext xmlns:c15="http://schemas.microsoft.com/office/drawing/2012/chart" uri="{CE6537A1-D6FC-4f65-9D91-7224C49458BB}"/>
                <c:ext xmlns:c16="http://schemas.microsoft.com/office/drawing/2014/chart" uri="{C3380CC4-5D6E-409C-BE32-E72D297353CC}">
                  <c16:uniqueId val="{00000019-3F56-45D2-8DF5-AD71AC5D8690}"/>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Analytics!$A$273:$A$278</c:f>
              <c:strCache>
                <c:ptCount val="6"/>
                <c:pt idx="0">
                  <c:v>Start: 2020, End: 2030</c:v>
                </c:pt>
                <c:pt idx="1">
                  <c:v>Start: 2021, End: 2030</c:v>
                </c:pt>
                <c:pt idx="2">
                  <c:v>Start: 2020, End: 2025</c:v>
                </c:pt>
                <c:pt idx="3">
                  <c:v>Start: 2021, End: 2025</c:v>
                </c:pt>
                <c:pt idx="4">
                  <c:v>Start: N/A,  End: N/A</c:v>
                </c:pt>
                <c:pt idx="5">
                  <c:v>Other combinations</c:v>
                </c:pt>
              </c:strCache>
            </c:strRef>
          </c:cat>
          <c:val>
            <c:numRef>
              <c:f>Analytics!$C$273:$C$278</c:f>
              <c:numCache>
                <c:formatCode>General</c:formatCode>
                <c:ptCount val="6"/>
                <c:pt idx="0">
                  <c:v>3</c:v>
                </c:pt>
                <c:pt idx="1">
                  <c:v>4</c:v>
                </c:pt>
                <c:pt idx="2">
                  <c:v>0</c:v>
                </c:pt>
                <c:pt idx="3">
                  <c:v>0</c:v>
                </c:pt>
                <c:pt idx="4">
                  <c:v>4</c:v>
                </c:pt>
                <c:pt idx="5">
                  <c:v>9</c:v>
                </c:pt>
              </c:numCache>
            </c:numRef>
          </c:val>
          <c:extLst>
            <c:ext xmlns:c16="http://schemas.microsoft.com/office/drawing/2014/chart" uri="{C3380CC4-5D6E-409C-BE32-E72D297353CC}">
              <c16:uniqueId val="{0000001A-3F56-45D2-8DF5-AD71AC5D8690}"/>
            </c:ext>
          </c:extLst>
        </c:ser>
        <c:ser>
          <c:idx val="0"/>
          <c:order val="7"/>
          <c:tx>
            <c:strRef>
              <c:f>Analytics!$B$272</c:f>
              <c:strCache>
                <c:ptCount val="1"/>
                <c:pt idx="0">
                  <c:v>Asia</c:v>
                </c:pt>
              </c:strCache>
            </c:strRef>
          </c:tx>
          <c:spPr>
            <a:solidFill>
              <a:schemeClr val="accent4"/>
            </a:solidFill>
            <a:ln>
              <a:noFill/>
            </a:ln>
            <a:effectLst/>
          </c:spPr>
          <c:invertIfNegative val="0"/>
          <c:dLbls>
            <c:dLbl>
              <c:idx val="2"/>
              <c:layout>
                <c:manualLayout>
                  <c:x val="-1.8867927331440697E-3"/>
                  <c:y val="-3.02267026499298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F56-45D2-8DF5-AD71AC5D8690}"/>
                </c:ext>
              </c:extLst>
            </c:dLbl>
            <c:dLbl>
              <c:idx val="3"/>
              <c:delete val="1"/>
              <c:extLst>
                <c:ext xmlns:c15="http://schemas.microsoft.com/office/drawing/2012/chart" uri="{CE6537A1-D6FC-4f65-9D91-7224C49458BB}"/>
                <c:ext xmlns:c16="http://schemas.microsoft.com/office/drawing/2014/chart" uri="{C3380CC4-5D6E-409C-BE32-E72D297353CC}">
                  <c16:uniqueId val="{0000001C-3F56-45D2-8DF5-AD71AC5D8690}"/>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Analytics!$A$273:$A$278</c:f>
              <c:strCache>
                <c:ptCount val="6"/>
                <c:pt idx="0">
                  <c:v>Start: 2020, End: 2030</c:v>
                </c:pt>
                <c:pt idx="1">
                  <c:v>Start: 2021, End: 2030</c:v>
                </c:pt>
                <c:pt idx="2">
                  <c:v>Start: 2020, End: 2025</c:v>
                </c:pt>
                <c:pt idx="3">
                  <c:v>Start: 2021, End: 2025</c:v>
                </c:pt>
                <c:pt idx="4">
                  <c:v>Start: N/A,  End: N/A</c:v>
                </c:pt>
                <c:pt idx="5">
                  <c:v>Other combinations</c:v>
                </c:pt>
              </c:strCache>
            </c:strRef>
          </c:cat>
          <c:val>
            <c:numRef>
              <c:f>Analytics!$B$273:$B$278</c:f>
              <c:numCache>
                <c:formatCode>General</c:formatCode>
                <c:ptCount val="6"/>
                <c:pt idx="0">
                  <c:v>3</c:v>
                </c:pt>
                <c:pt idx="1">
                  <c:v>13</c:v>
                </c:pt>
                <c:pt idx="2">
                  <c:v>1</c:v>
                </c:pt>
                <c:pt idx="3">
                  <c:v>0</c:v>
                </c:pt>
                <c:pt idx="4">
                  <c:v>3</c:v>
                </c:pt>
                <c:pt idx="5">
                  <c:v>4</c:v>
                </c:pt>
              </c:numCache>
            </c:numRef>
          </c:val>
          <c:extLst>
            <c:ext xmlns:c16="http://schemas.microsoft.com/office/drawing/2014/chart" uri="{C3380CC4-5D6E-409C-BE32-E72D297353CC}">
              <c16:uniqueId val="{0000001D-3F56-45D2-8DF5-AD71AC5D8690}"/>
            </c:ext>
          </c:extLst>
        </c:ser>
        <c:dLbls>
          <c:showLegendKey val="0"/>
          <c:showVal val="0"/>
          <c:showCatName val="0"/>
          <c:showSerName val="0"/>
          <c:showPercent val="0"/>
          <c:showBubbleSize val="0"/>
        </c:dLbls>
        <c:gapWidth val="55"/>
        <c:overlap val="100"/>
        <c:axId val="489420800"/>
        <c:axId val="489418504"/>
      </c:barChart>
      <c:catAx>
        <c:axId val="48942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6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489418504"/>
        <c:crosses val="autoZero"/>
        <c:auto val="1"/>
        <c:lblAlgn val="ctr"/>
        <c:lblOffset val="100"/>
        <c:noMultiLvlLbl val="0"/>
      </c:catAx>
      <c:valAx>
        <c:axId val="489418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Number of countries</a:t>
                </a:r>
                <a:endParaRPr lang="ja-JP"/>
              </a:p>
            </c:rich>
          </c:tx>
          <c:layout>
            <c:manualLayout>
              <c:xMode val="edge"/>
              <c:yMode val="edge"/>
              <c:x val="2.2522130633998282E-2"/>
              <c:y val="0.2197490802871203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489420800"/>
        <c:crosses val="autoZero"/>
        <c:crossBetween val="between"/>
      </c:valAx>
      <c:spPr>
        <a:noFill/>
        <a:ln>
          <a:noFill/>
        </a:ln>
        <a:effectLst/>
      </c:spPr>
    </c:plotArea>
    <c:legend>
      <c:legendPos val="r"/>
      <c:layout>
        <c:manualLayout>
          <c:xMode val="edge"/>
          <c:yMode val="edge"/>
          <c:x val="0.7035447103285607"/>
          <c:y val="0.26670209775696446"/>
          <c:w val="0.28690621885116907"/>
          <c:h val="0.466595566480538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970436474512879E-2"/>
          <c:y val="0.15147365751026975"/>
          <c:w val="0.58011142902815649"/>
          <c:h val="0.72857189467845618"/>
        </c:manualLayout>
      </c:layout>
      <c:doughnutChart>
        <c:varyColors val="1"/>
        <c:ser>
          <c:idx val="0"/>
          <c:order val="0"/>
          <c:spPr>
            <a:solidFill>
              <a:srgbClr val="457B73"/>
            </a:solidFill>
          </c:spPr>
          <c:dPt>
            <c:idx val="0"/>
            <c:bubble3D val="0"/>
            <c:spPr>
              <a:solidFill>
                <a:srgbClr val="75B1A9"/>
              </a:solidFill>
              <a:ln>
                <a:noFill/>
              </a:ln>
              <a:effectLst/>
            </c:spPr>
            <c:extLst>
              <c:ext xmlns:c16="http://schemas.microsoft.com/office/drawing/2014/chart" uri="{C3380CC4-5D6E-409C-BE32-E72D297353CC}">
                <c16:uniqueId val="{00000001-FC86-414A-97EC-94B1584820C6}"/>
              </c:ext>
            </c:extLst>
          </c:dPt>
          <c:dPt>
            <c:idx val="1"/>
            <c:bubble3D val="0"/>
            <c:spPr>
              <a:solidFill>
                <a:srgbClr val="457B73"/>
              </a:solidFill>
              <a:ln>
                <a:noFill/>
              </a:ln>
              <a:effectLst/>
            </c:spPr>
            <c:extLst>
              <c:ext xmlns:c16="http://schemas.microsoft.com/office/drawing/2014/chart" uri="{C3380CC4-5D6E-409C-BE32-E72D297353CC}">
                <c16:uniqueId val="{00000003-FC86-414A-97EC-94B1584820C6}"/>
              </c:ext>
            </c:extLst>
          </c:dPt>
          <c:dPt>
            <c:idx val="2"/>
            <c:bubble3D val="0"/>
            <c:spPr>
              <a:solidFill>
                <a:srgbClr val="324851"/>
              </a:solidFill>
              <a:ln>
                <a:noFill/>
              </a:ln>
              <a:effectLst/>
            </c:spPr>
            <c:extLst>
              <c:ext xmlns:c16="http://schemas.microsoft.com/office/drawing/2014/chart" uri="{C3380CC4-5D6E-409C-BE32-E72D297353CC}">
                <c16:uniqueId val="{00000005-FC86-414A-97EC-94B1584820C6}"/>
              </c:ext>
            </c:extLst>
          </c:dPt>
          <c:dLbls>
            <c:dLbl>
              <c:idx val="0"/>
              <c:layout>
                <c:manualLayout>
                  <c:x val="1.6182644279210612E-2"/>
                  <c:y val="2.3391800576476329E-2"/>
                </c:manualLayout>
              </c:layout>
              <c:showLegendKey val="0"/>
              <c:showVal val="1"/>
              <c:showCatName val="0"/>
              <c:showSerName val="0"/>
              <c:showPercent val="0"/>
              <c:showBubbleSize val="0"/>
              <c:extLst>
                <c:ext xmlns:c15="http://schemas.microsoft.com/office/drawing/2012/chart" uri="{CE6537A1-D6FC-4f65-9D91-7224C49458BB}">
                  <c15:layout>
                    <c:manualLayout>
                      <c:w val="0.16916207605044101"/>
                      <c:h val="0.11244774427607723"/>
                    </c:manualLayout>
                  </c15:layout>
                </c:ext>
                <c:ext xmlns:c16="http://schemas.microsoft.com/office/drawing/2014/chart" uri="{C3380CC4-5D6E-409C-BE32-E72D297353CC}">
                  <c16:uniqueId val="{00000001-FC86-414A-97EC-94B1584820C6}"/>
                </c:ext>
              </c:extLst>
            </c:dLbl>
            <c:dLbl>
              <c:idx val="2"/>
              <c:layout>
                <c:manualLayout>
                  <c:x val="-4.295942397839452E-3"/>
                  <c:y val="3.174615495532665E-2"/>
                </c:manualLayout>
              </c:layout>
              <c:numFmt formatCode="#,##0.00_);[Red]\(#,##0.0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15:layout>
                    <c:manualLayout>
                      <c:w val="0.15111682099360524"/>
                      <c:h val="0.12247281656297788"/>
                    </c:manualLayout>
                  </c15:layout>
                </c:ext>
                <c:ext xmlns:c16="http://schemas.microsoft.com/office/drawing/2014/chart" uri="{C3380CC4-5D6E-409C-BE32-E72D297353CC}">
                  <c16:uniqueId val="{00000005-FC86-414A-97EC-94B1584820C6}"/>
                </c:ext>
              </c:extLst>
            </c:dLbl>
            <c:numFmt formatCode="#,##0.00_);[Red]\(#,##0.00\)" sourceLinked="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ja-JP"/>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Analytics!$A$200:$A$202</c:f>
              <c:strCache>
                <c:ptCount val="3"/>
                <c:pt idx="0">
                  <c:v>Financial needs for Mitigation</c:v>
                </c:pt>
                <c:pt idx="1">
                  <c:v>Financial needs for Adaptation</c:v>
                </c:pt>
                <c:pt idx="2">
                  <c:v>Unspecified financial needs</c:v>
                </c:pt>
              </c:strCache>
            </c:strRef>
          </c:cat>
          <c:val>
            <c:numRef>
              <c:f>Analytics!$J$200:$J$202</c:f>
              <c:numCache>
                <c:formatCode>#,##0</c:formatCode>
                <c:ptCount val="3"/>
                <c:pt idx="0">
                  <c:v>3053.1120000000005</c:v>
                </c:pt>
                <c:pt idx="1">
                  <c:v>1249.8539000000001</c:v>
                </c:pt>
                <c:pt idx="2">
                  <c:v>1814.7059999999994</c:v>
                </c:pt>
              </c:numCache>
            </c:numRef>
          </c:val>
          <c:extLst>
            <c:ext xmlns:c16="http://schemas.microsoft.com/office/drawing/2014/chart" uri="{C3380CC4-5D6E-409C-BE32-E72D297353CC}">
              <c16:uniqueId val="{00000006-FC86-414A-97EC-94B1584820C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92330107992936"/>
          <c:y val="0.36444411952799272"/>
          <c:w val="0.36931117918703699"/>
          <c:h val="0.394571961572016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721253008825602E-2"/>
          <c:y val="5.8562113620095016E-2"/>
          <c:w val="0.67076828444971648"/>
          <c:h val="0.7302052450055313"/>
        </c:manualLayout>
      </c:layout>
      <c:barChart>
        <c:barDir val="col"/>
        <c:grouping val="stacked"/>
        <c:varyColors val="0"/>
        <c:ser>
          <c:idx val="7"/>
          <c:order val="0"/>
          <c:tx>
            <c:strRef>
              <c:f>Analytics!$I$28</c:f>
              <c:strCache>
                <c:ptCount val="1"/>
                <c:pt idx="0">
                  <c:v>Oceania</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Analytics!$A$30:$A$38</c15:sqref>
                  </c15:fullRef>
                </c:ext>
              </c:extLst>
              <c:f>Analytics!$A$30:$A$33</c:f>
              <c:strCache>
                <c:ptCount val="4"/>
                <c:pt idx="0">
                  <c:v>Parties to the UNFCCC</c:v>
                </c:pt>
                <c:pt idx="1">
                  <c:v>INDC submitted</c:v>
                </c:pt>
                <c:pt idx="2">
                  <c:v>(Updated) First NDC submitted</c:v>
                </c:pt>
                <c:pt idx="3">
                  <c:v>(Updated) Second NDC submitted</c:v>
                </c:pt>
              </c:strCache>
            </c:strRef>
          </c:cat>
          <c:val>
            <c:numRef>
              <c:extLst>
                <c:ext xmlns:c15="http://schemas.microsoft.com/office/drawing/2012/chart" uri="{02D57815-91ED-43cb-92C2-25804820EDAC}">
                  <c15:fullRef>
                    <c15:sqref>Analytics!$I$30:$I$38</c15:sqref>
                  </c15:fullRef>
                </c:ext>
              </c:extLst>
              <c:f>Analytics!$I$30:$I$33</c:f>
              <c:numCache>
                <c:formatCode>General</c:formatCode>
                <c:ptCount val="4"/>
                <c:pt idx="0">
                  <c:v>16</c:v>
                </c:pt>
                <c:pt idx="1">
                  <c:v>16</c:v>
                </c:pt>
                <c:pt idx="2">
                  <c:v>16</c:v>
                </c:pt>
                <c:pt idx="3">
                  <c:v>4</c:v>
                </c:pt>
              </c:numCache>
            </c:numRef>
          </c:val>
          <c:extLst>
            <c:ext xmlns:c15="http://schemas.microsoft.com/office/drawing/2012/chart" uri="{02D57815-91ED-43cb-92C2-25804820EDAC}">
              <c15:categoryFilterExceptions>
                <c15:categoryFilterException>
                  <c15:sqref>Analytics!$I$38</c15:sqref>
                  <c15:dLbl>
                    <c:idx val="3"/>
                    <c:delete val="1"/>
                    <c:extLst>
                      <c:ext uri="{CE6537A1-D6FC-4f65-9D91-7224C49458BB}"/>
                      <c:ext xmlns:c16="http://schemas.microsoft.com/office/drawing/2014/chart" uri="{C3380CC4-5D6E-409C-BE32-E72D297353CC}">
                        <c16:uniqueId val="{00000000-389F-4C7D-AAF2-B1550E561B46}"/>
                      </c:ext>
                    </c:extLst>
                  </c15:dLbl>
                </c15:categoryFilterException>
              </c15:categoryFilterExceptions>
            </c:ext>
            <c:ext xmlns:c16="http://schemas.microsoft.com/office/drawing/2014/chart" uri="{C3380CC4-5D6E-409C-BE32-E72D297353CC}">
              <c16:uniqueId val="{00000001-F35E-4FEF-AC61-8162E283933F}"/>
            </c:ext>
          </c:extLst>
        </c:ser>
        <c:ser>
          <c:idx val="0"/>
          <c:order val="1"/>
          <c:tx>
            <c:strRef>
              <c:f>Analytics!$H$28</c:f>
              <c:strCache>
                <c:ptCount val="1"/>
                <c:pt idx="0">
                  <c:v>Northern America</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3"/>
              <c:layout>
                <c:manualLayout>
                  <c:x val="5.2184713929150792E-2"/>
                  <c:y val="-1.70357751277683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5E-4FEF-AC61-8162E283933F}"/>
                </c:ext>
              </c:extLst>
            </c:dLbl>
            <c:spPr>
              <a:noFill/>
              <a:ln>
                <a:noFill/>
              </a:ln>
              <a:effectLst/>
            </c:spPr>
            <c:txPr>
              <a:bodyPr rot="0" spcFirstLastPara="1" vertOverflow="ellipsis" vert="horz" wrap="square" lIns="38100" tIns="19050" rIns="38100" bIns="19050" anchor="ctr" anchorCtr="1">
                <a:spAutoFit/>
              </a:bodyPr>
              <a:lstStyle/>
              <a:p>
                <a:pPr>
                  <a:defRPr lang="ja-JP"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Analytics!$A$30:$A$38</c15:sqref>
                  </c15:fullRef>
                </c:ext>
              </c:extLst>
              <c:f>Analytics!$A$30:$A$33</c:f>
              <c:strCache>
                <c:ptCount val="4"/>
                <c:pt idx="0">
                  <c:v>Parties to the UNFCCC</c:v>
                </c:pt>
                <c:pt idx="1">
                  <c:v>INDC submitted</c:v>
                </c:pt>
                <c:pt idx="2">
                  <c:v>(Updated) First NDC submitted</c:v>
                </c:pt>
                <c:pt idx="3">
                  <c:v>(Updated) Second NDC submitted</c:v>
                </c:pt>
              </c:strCache>
            </c:strRef>
          </c:cat>
          <c:val>
            <c:numRef>
              <c:extLst>
                <c:ext xmlns:c15="http://schemas.microsoft.com/office/drawing/2012/chart" uri="{02D57815-91ED-43cb-92C2-25804820EDAC}">
                  <c15:fullRef>
                    <c15:sqref>Analytics!$H$30:$H$38</c15:sqref>
                  </c15:fullRef>
                </c:ext>
              </c:extLst>
              <c:f>Analytics!$H$30:$H$33</c:f>
              <c:numCache>
                <c:formatCode>General</c:formatCode>
                <c:ptCount val="4"/>
                <c:pt idx="0">
                  <c:v>2</c:v>
                </c:pt>
                <c:pt idx="1">
                  <c:v>2</c:v>
                </c:pt>
                <c:pt idx="2">
                  <c:v>2</c:v>
                </c:pt>
                <c:pt idx="3">
                  <c:v>0</c:v>
                </c:pt>
              </c:numCache>
            </c:numRef>
          </c:val>
          <c:extLst>
            <c:ext xmlns:c15="http://schemas.microsoft.com/office/drawing/2012/chart" uri="{02D57815-91ED-43cb-92C2-25804820EDAC}">
              <c15:categoryFilterExceptions>
                <c15:categoryFilterException>
                  <c15:sqref>Analytics!$H$38</c15:sqref>
                  <c15:dLbl>
                    <c:idx val="3"/>
                    <c:delete val="1"/>
                    <c:extLst>
                      <c:ext uri="{CE6537A1-D6FC-4f65-9D91-7224C49458BB}"/>
                      <c:ext xmlns:c16="http://schemas.microsoft.com/office/drawing/2014/chart" uri="{C3380CC4-5D6E-409C-BE32-E72D297353CC}">
                        <c16:uniqueId val="{00000001-389F-4C7D-AAF2-B1550E561B46}"/>
                      </c:ext>
                    </c:extLst>
                  </c15:dLbl>
                </c15:categoryFilterException>
              </c15:categoryFilterExceptions>
            </c:ext>
            <c:ext xmlns:c16="http://schemas.microsoft.com/office/drawing/2014/chart" uri="{C3380CC4-5D6E-409C-BE32-E72D297353CC}">
              <c16:uniqueId val="{00000003-F35E-4FEF-AC61-8162E283933F}"/>
            </c:ext>
          </c:extLst>
        </c:ser>
        <c:ser>
          <c:idx val="1"/>
          <c:order val="2"/>
          <c:tx>
            <c:strRef>
              <c:f>Analytics!$G$28</c:f>
              <c:strCache>
                <c:ptCount val="1"/>
                <c:pt idx="0">
                  <c:v>Latin America &amp; the Caribbean</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3"/>
              <c:layout>
                <c:manualLayout>
                  <c:x val="5.2184713929150792E-2"/>
                  <c:y val="-1.362862010221465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5E-4FEF-AC61-8162E283933F}"/>
                </c:ext>
              </c:extLst>
            </c:dLbl>
            <c:spPr>
              <a:noFill/>
              <a:ln>
                <a:noFill/>
              </a:ln>
              <a:effectLst/>
            </c:spPr>
            <c:txPr>
              <a:bodyPr rot="0" spcFirstLastPara="1" vertOverflow="ellipsis" vert="horz" wrap="square" lIns="38100" tIns="19050" rIns="38100" bIns="19050" anchor="ctr" anchorCtr="1">
                <a:spAutoFit/>
              </a:bodyPr>
              <a:lstStyle/>
              <a:p>
                <a:pPr>
                  <a:defRPr lang="ja-JP"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Analytics!$A$30:$A$38</c15:sqref>
                  </c15:fullRef>
                </c:ext>
              </c:extLst>
              <c:f>Analytics!$A$30:$A$33</c:f>
              <c:strCache>
                <c:ptCount val="4"/>
                <c:pt idx="0">
                  <c:v>Parties to the UNFCCC</c:v>
                </c:pt>
                <c:pt idx="1">
                  <c:v>INDC submitted</c:v>
                </c:pt>
                <c:pt idx="2">
                  <c:v>(Updated) First NDC submitted</c:v>
                </c:pt>
                <c:pt idx="3">
                  <c:v>(Updated) Second NDC submitted</c:v>
                </c:pt>
              </c:strCache>
            </c:strRef>
          </c:cat>
          <c:val>
            <c:numRef>
              <c:extLst>
                <c:ext xmlns:c15="http://schemas.microsoft.com/office/drawing/2012/chart" uri="{02D57815-91ED-43cb-92C2-25804820EDAC}">
                  <c15:fullRef>
                    <c15:sqref>Analytics!$G$30:$G$38</c15:sqref>
                  </c15:fullRef>
                </c:ext>
              </c:extLst>
              <c:f>Analytics!$G$30:$G$33</c:f>
              <c:numCache>
                <c:formatCode>General</c:formatCode>
                <c:ptCount val="4"/>
                <c:pt idx="0">
                  <c:v>33</c:v>
                </c:pt>
                <c:pt idx="1">
                  <c:v>32</c:v>
                </c:pt>
                <c:pt idx="2">
                  <c:v>33</c:v>
                </c:pt>
                <c:pt idx="3">
                  <c:v>3</c:v>
                </c:pt>
              </c:numCache>
            </c:numRef>
          </c:val>
          <c:extLst>
            <c:ext xmlns:c15="http://schemas.microsoft.com/office/drawing/2012/chart" uri="{02D57815-91ED-43cb-92C2-25804820EDAC}">
              <c15:categoryFilterExceptions>
                <c15:categoryFilterException>
                  <c15:sqref>Analytics!$G$38</c15:sqref>
                  <c15:dLbl>
                    <c:idx val="3"/>
                    <c:delete val="1"/>
                    <c:extLst>
                      <c:ext uri="{CE6537A1-D6FC-4f65-9D91-7224C49458BB}"/>
                      <c:ext xmlns:c16="http://schemas.microsoft.com/office/drawing/2014/chart" uri="{C3380CC4-5D6E-409C-BE32-E72D297353CC}">
                        <c16:uniqueId val="{00000002-389F-4C7D-AAF2-B1550E561B46}"/>
                      </c:ext>
                    </c:extLst>
                  </c15:dLbl>
                </c15:categoryFilterException>
              </c15:categoryFilterExceptions>
            </c:ext>
            <c:ext xmlns:c16="http://schemas.microsoft.com/office/drawing/2014/chart" uri="{C3380CC4-5D6E-409C-BE32-E72D297353CC}">
              <c16:uniqueId val="{00000005-F35E-4FEF-AC61-8162E283933F}"/>
            </c:ext>
          </c:extLst>
        </c:ser>
        <c:ser>
          <c:idx val="2"/>
          <c:order val="3"/>
          <c:tx>
            <c:strRef>
              <c:f>Analytics!$F$28</c:f>
              <c:strCache>
                <c:ptCount val="1"/>
                <c:pt idx="0">
                  <c:v>Europe
**</c:v>
                </c:pt>
              </c:strCache>
            </c:strRef>
          </c:tx>
          <c:spPr>
            <a:solidFill>
              <a:schemeClr val="accent1"/>
            </a:solidFill>
            <a:ln>
              <a:noFill/>
            </a:ln>
            <a:effectLst>
              <a:outerShdw blurRad="57150" dist="19050" dir="5400000" algn="ctr" rotWithShape="0">
                <a:srgbClr val="000000">
                  <a:alpha val="63000"/>
                </a:srgbClr>
              </a:outerShdw>
            </a:effectLst>
          </c:spPr>
          <c:invertIfNegative val="0"/>
          <c:dLbls>
            <c:dLbl>
              <c:idx val="3"/>
              <c:layout>
                <c:manualLayout>
                  <c:x val="5.4669700306729498E-2"/>
                  <c:y val="-1.02214650766609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5E-4FEF-AC61-8162E283933F}"/>
                </c:ext>
              </c:extLst>
            </c:dLbl>
            <c:spPr>
              <a:noFill/>
              <a:ln>
                <a:noFill/>
              </a:ln>
              <a:effectLst/>
            </c:spPr>
            <c:txPr>
              <a:bodyPr rot="0" spcFirstLastPara="1" vertOverflow="ellipsis" vert="horz" wrap="square" lIns="38100" tIns="19050" rIns="38100" bIns="19050" anchor="ctr" anchorCtr="1">
                <a:spAutoFit/>
              </a:bodyPr>
              <a:lstStyle/>
              <a:p>
                <a:pPr>
                  <a:defRPr lang="ja-JP"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Analytics!$A$30:$A$38</c15:sqref>
                  </c15:fullRef>
                </c:ext>
              </c:extLst>
              <c:f>Analytics!$A$30:$A$33</c:f>
              <c:strCache>
                <c:ptCount val="4"/>
                <c:pt idx="0">
                  <c:v>Parties to the UNFCCC</c:v>
                </c:pt>
                <c:pt idx="1">
                  <c:v>INDC submitted</c:v>
                </c:pt>
                <c:pt idx="2">
                  <c:v>(Updated) First NDC submitted</c:v>
                </c:pt>
                <c:pt idx="3">
                  <c:v>(Updated) Second NDC submitted</c:v>
                </c:pt>
              </c:strCache>
            </c:strRef>
          </c:cat>
          <c:val>
            <c:numRef>
              <c:extLst>
                <c:ext xmlns:c15="http://schemas.microsoft.com/office/drawing/2012/chart" uri="{02D57815-91ED-43cb-92C2-25804820EDAC}">
                  <c15:fullRef>
                    <c15:sqref>Analytics!$F$30:$F$38</c15:sqref>
                  </c15:fullRef>
                </c:ext>
              </c:extLst>
              <c:f>Analytics!$F$30:$F$33</c:f>
              <c:numCache>
                <c:formatCode>General</c:formatCode>
                <c:ptCount val="4"/>
                <c:pt idx="0">
                  <c:v>36</c:v>
                </c:pt>
                <c:pt idx="1">
                  <c:v>36</c:v>
                </c:pt>
                <c:pt idx="2">
                  <c:v>36</c:v>
                </c:pt>
                <c:pt idx="3">
                  <c:v>0</c:v>
                </c:pt>
              </c:numCache>
            </c:numRef>
          </c:val>
          <c:extLst>
            <c:ext xmlns:c15="http://schemas.microsoft.com/office/drawing/2012/chart" uri="{02D57815-91ED-43cb-92C2-25804820EDAC}">
              <c15:categoryFilterExceptions>
                <c15:categoryFilterException>
                  <c15:sqref>Analytics!$F$38</c15:sqref>
                  <c15:dLbl>
                    <c:idx val="3"/>
                    <c:delete val="1"/>
                    <c:extLst>
                      <c:ext uri="{CE6537A1-D6FC-4f65-9D91-7224C49458BB}"/>
                      <c:ext xmlns:c16="http://schemas.microsoft.com/office/drawing/2014/chart" uri="{C3380CC4-5D6E-409C-BE32-E72D297353CC}">
                        <c16:uniqueId val="{00000003-389F-4C7D-AAF2-B1550E561B46}"/>
                      </c:ext>
                    </c:extLst>
                  </c15:dLbl>
                </c15:categoryFilterException>
              </c15:categoryFilterExceptions>
            </c:ext>
            <c:ext xmlns:c16="http://schemas.microsoft.com/office/drawing/2014/chart" uri="{C3380CC4-5D6E-409C-BE32-E72D297353CC}">
              <c16:uniqueId val="{00000007-F35E-4FEF-AC61-8162E283933F}"/>
            </c:ext>
          </c:extLst>
        </c:ser>
        <c:ser>
          <c:idx val="3"/>
          <c:order val="4"/>
          <c:tx>
            <c:strRef>
              <c:f>Analytics!$E$28</c:f>
              <c:strCache>
                <c:ptCount val="1"/>
                <c:pt idx="0">
                  <c:v>Eastern Europe &amp; Central Asia</c:v>
                </c:pt>
              </c:strCache>
            </c:strRef>
          </c:tx>
          <c:spPr>
            <a:solidFill>
              <a:srgbClr val="B381D9"/>
            </a:solidFill>
            <a:ln>
              <a:noFill/>
            </a:ln>
            <a:effectLst>
              <a:outerShdw blurRad="57150" dist="19050" dir="5400000" algn="ctr" rotWithShape="0">
                <a:srgbClr val="000000">
                  <a:alpha val="63000"/>
                </a:srgbClr>
              </a:outerShdw>
            </a:effectLst>
          </c:spPr>
          <c:invertIfNegative val="0"/>
          <c:dLbls>
            <c:dLbl>
              <c:idx val="3"/>
              <c:layout>
                <c:manualLayout>
                  <c:x val="5.4669700306729498E-2"/>
                  <c:y val="-2.044293015332197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35E-4FEF-AC61-8162E283933F}"/>
                </c:ext>
              </c:extLst>
            </c:dLbl>
            <c:spPr>
              <a:noFill/>
              <a:ln>
                <a:noFill/>
              </a:ln>
              <a:effectLst/>
            </c:spPr>
            <c:txPr>
              <a:bodyPr rot="0" spcFirstLastPara="1" vertOverflow="ellipsis" vert="horz" wrap="square" lIns="38100" tIns="19050" rIns="38100" bIns="19050" anchor="ctr" anchorCtr="1">
                <a:spAutoFit/>
              </a:bodyPr>
              <a:lstStyle/>
              <a:p>
                <a:pPr>
                  <a:defRPr lang="ja-JP"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Analytics!$A$30:$A$38</c15:sqref>
                  </c15:fullRef>
                </c:ext>
              </c:extLst>
              <c:f>Analytics!$A$30:$A$33</c:f>
              <c:strCache>
                <c:ptCount val="4"/>
                <c:pt idx="0">
                  <c:v>Parties to the UNFCCC</c:v>
                </c:pt>
                <c:pt idx="1">
                  <c:v>INDC submitted</c:v>
                </c:pt>
                <c:pt idx="2">
                  <c:v>(Updated) First NDC submitted</c:v>
                </c:pt>
                <c:pt idx="3">
                  <c:v>(Updated) Second NDC submitted</c:v>
                </c:pt>
              </c:strCache>
            </c:strRef>
          </c:cat>
          <c:val>
            <c:numRef>
              <c:extLst>
                <c:ext xmlns:c15="http://schemas.microsoft.com/office/drawing/2012/chart" uri="{02D57815-91ED-43cb-92C2-25804820EDAC}">
                  <c15:fullRef>
                    <c15:sqref>Analytics!$E$30:$E$38</c15:sqref>
                  </c15:fullRef>
                </c:ext>
              </c:extLst>
              <c:f>Analytics!$E$30:$E$33</c:f>
              <c:numCache>
                <c:formatCode>General</c:formatCode>
                <c:ptCount val="4"/>
                <c:pt idx="0">
                  <c:v>17</c:v>
                </c:pt>
                <c:pt idx="1">
                  <c:v>17</c:v>
                </c:pt>
                <c:pt idx="2">
                  <c:v>17</c:v>
                </c:pt>
                <c:pt idx="3">
                  <c:v>0</c:v>
                </c:pt>
              </c:numCache>
            </c:numRef>
          </c:val>
          <c:extLst>
            <c:ext xmlns:c15="http://schemas.microsoft.com/office/drawing/2012/chart" uri="{02D57815-91ED-43cb-92C2-25804820EDAC}">
              <c15:categoryFilterExceptions>
                <c15:categoryFilterException>
                  <c15:sqref>Analytics!$E$38</c15:sqref>
                  <c15:dLbl>
                    <c:idx val="3"/>
                    <c:delete val="1"/>
                    <c:extLst>
                      <c:ext uri="{CE6537A1-D6FC-4f65-9D91-7224C49458BB}"/>
                      <c:ext xmlns:c16="http://schemas.microsoft.com/office/drawing/2014/chart" uri="{C3380CC4-5D6E-409C-BE32-E72D297353CC}">
                        <c16:uniqueId val="{00000004-389F-4C7D-AAF2-B1550E561B46}"/>
                      </c:ext>
                    </c:extLst>
                  </c15:dLbl>
                </c15:categoryFilterException>
              </c15:categoryFilterExceptions>
            </c:ext>
            <c:ext xmlns:c16="http://schemas.microsoft.com/office/drawing/2014/chart" uri="{C3380CC4-5D6E-409C-BE32-E72D297353CC}">
              <c16:uniqueId val="{00000009-F35E-4FEF-AC61-8162E283933F}"/>
            </c:ext>
          </c:extLst>
        </c:ser>
        <c:ser>
          <c:idx val="4"/>
          <c:order val="5"/>
          <c:tx>
            <c:strRef>
              <c:f>Analytics!$D$28</c:f>
              <c:strCache>
                <c:ptCount val="1"/>
                <c:pt idx="0">
                  <c:v>Sub-Saharan Africa</c:v>
                </c:pt>
              </c:strCache>
            </c:strRef>
          </c:tx>
          <c:spPr>
            <a:solidFill>
              <a:srgbClr val="EC6C32"/>
            </a:solidFill>
            <a:ln>
              <a:noFill/>
            </a:ln>
            <a:effectLst>
              <a:outerShdw blurRad="57150" dist="19050" dir="5400000" algn="ctr" rotWithShape="0">
                <a:srgbClr val="000000">
                  <a:alpha val="63000"/>
                </a:srgbClr>
              </a:outerShdw>
            </a:effectLst>
          </c:spPr>
          <c:invertIfNegative val="0"/>
          <c:dLbls>
            <c:dLbl>
              <c:idx val="3"/>
              <c:layout>
                <c:manualLayout>
                  <c:x val="5.7154686684308113E-2"/>
                  <c:y val="-1.02214650766609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35E-4FEF-AC61-8162E283933F}"/>
                </c:ext>
              </c:extLst>
            </c:dLbl>
            <c:spPr>
              <a:noFill/>
              <a:ln>
                <a:noFill/>
              </a:ln>
              <a:effectLst/>
            </c:spPr>
            <c:txPr>
              <a:bodyPr rot="0" spcFirstLastPara="1" vertOverflow="ellipsis" vert="horz" wrap="square" lIns="38100" tIns="19050" rIns="38100" bIns="19050" anchor="ctr" anchorCtr="1">
                <a:spAutoFit/>
              </a:bodyPr>
              <a:lstStyle/>
              <a:p>
                <a:pPr>
                  <a:defRPr lang="ja-JP"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Analytics!$A$30:$A$38</c15:sqref>
                  </c15:fullRef>
                </c:ext>
              </c:extLst>
              <c:f>Analytics!$A$30:$A$33</c:f>
              <c:strCache>
                <c:ptCount val="4"/>
                <c:pt idx="0">
                  <c:v>Parties to the UNFCCC</c:v>
                </c:pt>
                <c:pt idx="1">
                  <c:v>INDC submitted</c:v>
                </c:pt>
                <c:pt idx="2">
                  <c:v>(Updated) First NDC submitted</c:v>
                </c:pt>
                <c:pt idx="3">
                  <c:v>(Updated) Second NDC submitted</c:v>
                </c:pt>
              </c:strCache>
            </c:strRef>
          </c:cat>
          <c:val>
            <c:numRef>
              <c:extLst>
                <c:ext xmlns:c15="http://schemas.microsoft.com/office/drawing/2012/chart" uri="{02D57815-91ED-43cb-92C2-25804820EDAC}">
                  <c15:fullRef>
                    <c15:sqref>Analytics!$D$30:$D$38</c15:sqref>
                  </c15:fullRef>
                </c:ext>
              </c:extLst>
              <c:f>Analytics!$D$30:$D$33</c:f>
              <c:numCache>
                <c:formatCode>General</c:formatCode>
                <c:ptCount val="4"/>
                <c:pt idx="0">
                  <c:v>49</c:v>
                </c:pt>
                <c:pt idx="1">
                  <c:v>49</c:v>
                </c:pt>
                <c:pt idx="2">
                  <c:v>49</c:v>
                </c:pt>
                <c:pt idx="3">
                  <c:v>2</c:v>
                </c:pt>
              </c:numCache>
            </c:numRef>
          </c:val>
          <c:extLst>
            <c:ext xmlns:c15="http://schemas.microsoft.com/office/drawing/2012/chart" uri="{02D57815-91ED-43cb-92C2-25804820EDAC}">
              <c15:categoryFilterExceptions>
                <c15:categoryFilterException>
                  <c15:sqref>Analytics!$D$38</c15:sqref>
                  <c15:dLbl>
                    <c:idx val="3"/>
                    <c:delete val="1"/>
                    <c:extLst>
                      <c:ext uri="{CE6537A1-D6FC-4f65-9D91-7224C49458BB}"/>
                      <c:ext xmlns:c16="http://schemas.microsoft.com/office/drawing/2014/chart" uri="{C3380CC4-5D6E-409C-BE32-E72D297353CC}">
                        <c16:uniqueId val="{00000005-389F-4C7D-AAF2-B1550E561B46}"/>
                      </c:ext>
                    </c:extLst>
                  </c15:dLbl>
                </c15:categoryFilterException>
              </c15:categoryFilterExceptions>
            </c:ext>
            <c:ext xmlns:c16="http://schemas.microsoft.com/office/drawing/2014/chart" uri="{C3380CC4-5D6E-409C-BE32-E72D297353CC}">
              <c16:uniqueId val="{0000000B-F35E-4FEF-AC61-8162E283933F}"/>
            </c:ext>
          </c:extLst>
        </c:ser>
        <c:ser>
          <c:idx val="5"/>
          <c:order val="6"/>
          <c:tx>
            <c:strRef>
              <c:f>Analytics!$C$28</c:f>
              <c:strCache>
                <c:ptCount val="1"/>
                <c:pt idx="0">
                  <c:v>North Africa &amp; the Middle East</c:v>
                </c:pt>
              </c:strCache>
            </c:strRef>
          </c:tx>
          <c:spPr>
            <a:solidFill>
              <a:srgbClr val="C1803F"/>
            </a:solidFill>
            <a:ln>
              <a:noFill/>
            </a:ln>
            <a:effectLst>
              <a:outerShdw blurRad="57150" dist="19050" dir="5400000" algn="ctr" rotWithShape="0">
                <a:srgbClr val="000000">
                  <a:alpha val="63000"/>
                </a:srgbClr>
              </a:outerShdw>
            </a:effectLst>
          </c:spPr>
          <c:invertIfNegative val="0"/>
          <c:dLbls>
            <c:dLbl>
              <c:idx val="3"/>
              <c:layout>
                <c:manualLayout>
                  <c:x val="5.2184713929150792E-2"/>
                  <c:y val="-1.362862010221465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35E-4FEF-AC61-8162E283933F}"/>
                </c:ext>
              </c:extLst>
            </c:dLbl>
            <c:spPr>
              <a:noFill/>
              <a:ln>
                <a:noFill/>
              </a:ln>
              <a:effectLst/>
            </c:spPr>
            <c:txPr>
              <a:bodyPr rot="0" spcFirstLastPara="1" vertOverflow="ellipsis" vert="horz" wrap="square" lIns="38100" tIns="19050" rIns="38100" bIns="19050" anchor="ctr" anchorCtr="1">
                <a:spAutoFit/>
              </a:bodyPr>
              <a:lstStyle/>
              <a:p>
                <a:pPr>
                  <a:defRPr lang="ja-JP"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Analytics!$A$30:$A$38</c15:sqref>
                  </c15:fullRef>
                </c:ext>
              </c:extLst>
              <c:f>Analytics!$A$30:$A$33</c:f>
              <c:strCache>
                <c:ptCount val="4"/>
                <c:pt idx="0">
                  <c:v>Parties to the UNFCCC</c:v>
                </c:pt>
                <c:pt idx="1">
                  <c:v>INDC submitted</c:v>
                </c:pt>
                <c:pt idx="2">
                  <c:v>(Updated) First NDC submitted</c:v>
                </c:pt>
                <c:pt idx="3">
                  <c:v>(Updated) Second NDC submitted</c:v>
                </c:pt>
              </c:strCache>
            </c:strRef>
          </c:cat>
          <c:val>
            <c:numRef>
              <c:extLst>
                <c:ext xmlns:c15="http://schemas.microsoft.com/office/drawing/2012/chart" uri="{02D57815-91ED-43cb-92C2-25804820EDAC}">
                  <c15:fullRef>
                    <c15:sqref>Analytics!$C$30:$C$38</c15:sqref>
                  </c15:fullRef>
                </c:ext>
              </c:extLst>
              <c:f>Analytics!$C$30:$C$33</c:f>
              <c:numCache>
                <c:formatCode>General</c:formatCode>
                <c:ptCount val="4"/>
                <c:pt idx="0">
                  <c:v>20</c:v>
                </c:pt>
                <c:pt idx="1">
                  <c:v>17</c:v>
                </c:pt>
                <c:pt idx="2">
                  <c:v>17</c:v>
                </c:pt>
                <c:pt idx="3">
                  <c:v>2</c:v>
                </c:pt>
              </c:numCache>
            </c:numRef>
          </c:val>
          <c:extLst>
            <c:ext xmlns:c15="http://schemas.microsoft.com/office/drawing/2012/chart" uri="{02D57815-91ED-43cb-92C2-25804820EDAC}">
              <c15:categoryFilterExceptions>
                <c15:categoryFilterException>
                  <c15:sqref>Analytics!$C$38</c15:sqref>
                  <c15:dLbl>
                    <c:idx val="3"/>
                    <c:delete val="1"/>
                    <c:extLst>
                      <c:ext uri="{CE6537A1-D6FC-4f65-9D91-7224C49458BB}"/>
                      <c:ext xmlns:c16="http://schemas.microsoft.com/office/drawing/2014/chart" uri="{C3380CC4-5D6E-409C-BE32-E72D297353CC}">
                        <c16:uniqueId val="{00000006-389F-4C7D-AAF2-B1550E561B46}"/>
                      </c:ext>
                    </c:extLst>
                  </c15:dLbl>
                </c15:categoryFilterException>
              </c15:categoryFilterExceptions>
            </c:ext>
            <c:ext xmlns:c16="http://schemas.microsoft.com/office/drawing/2014/chart" uri="{C3380CC4-5D6E-409C-BE32-E72D297353CC}">
              <c16:uniqueId val="{0000000D-F35E-4FEF-AC61-8162E283933F}"/>
            </c:ext>
          </c:extLst>
        </c:ser>
        <c:ser>
          <c:idx val="6"/>
          <c:order val="7"/>
          <c:tx>
            <c:strRef>
              <c:f>Analytics!$B$28</c:f>
              <c:strCache>
                <c:ptCount val="1"/>
                <c:pt idx="0">
                  <c:v>Asia</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3"/>
              <c:layout>
                <c:manualLayout>
                  <c:x val="5.2184713929150792E-2"/>
                  <c:y val="-6.814310051107325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35E-4FEF-AC61-8162E283933F}"/>
                </c:ext>
              </c:extLst>
            </c:dLbl>
            <c:spPr>
              <a:noFill/>
              <a:ln>
                <a:noFill/>
              </a:ln>
              <a:effectLst/>
            </c:spPr>
            <c:txPr>
              <a:bodyPr rot="0" spcFirstLastPara="1" vertOverflow="ellipsis" vert="horz" wrap="square" lIns="38100" tIns="19050" rIns="38100" bIns="19050" anchor="ctr" anchorCtr="1">
                <a:spAutoFit/>
              </a:bodyPr>
              <a:lstStyle/>
              <a:p>
                <a:pPr>
                  <a:defRPr lang="ja-JP" sz="11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Analytics!$A$30:$A$38</c15:sqref>
                  </c15:fullRef>
                </c:ext>
              </c:extLst>
              <c:f>Analytics!$A$30:$A$33</c:f>
              <c:strCache>
                <c:ptCount val="4"/>
                <c:pt idx="0">
                  <c:v>Parties to the UNFCCC</c:v>
                </c:pt>
                <c:pt idx="1">
                  <c:v>INDC submitted</c:v>
                </c:pt>
                <c:pt idx="2">
                  <c:v>(Updated) First NDC submitted</c:v>
                </c:pt>
                <c:pt idx="3">
                  <c:v>(Updated) Second NDC submitted</c:v>
                </c:pt>
              </c:strCache>
            </c:strRef>
          </c:cat>
          <c:val>
            <c:numRef>
              <c:extLst>
                <c:ext xmlns:c15="http://schemas.microsoft.com/office/drawing/2012/chart" uri="{02D57815-91ED-43cb-92C2-25804820EDAC}">
                  <c15:fullRef>
                    <c15:sqref>Analytics!$B$30:$B$38</c15:sqref>
                  </c15:fullRef>
                </c:ext>
              </c:extLst>
              <c:f>Analytics!$B$30:$B$33</c:f>
              <c:numCache>
                <c:formatCode>General</c:formatCode>
                <c:ptCount val="4"/>
                <c:pt idx="0">
                  <c:v>24</c:v>
                </c:pt>
                <c:pt idx="1">
                  <c:v>24</c:v>
                </c:pt>
                <c:pt idx="2">
                  <c:v>24</c:v>
                </c:pt>
                <c:pt idx="3">
                  <c:v>2</c:v>
                </c:pt>
              </c:numCache>
            </c:numRef>
          </c:val>
          <c:extLst>
            <c:ext xmlns:c15="http://schemas.microsoft.com/office/drawing/2012/chart" uri="{02D57815-91ED-43cb-92C2-25804820EDAC}">
              <c15:categoryFilterExceptions>
                <c15:categoryFilterException>
                  <c15:sqref>Analytics!$B$38</c15:sqref>
                  <c15:dLbl>
                    <c:idx val="3"/>
                    <c:delete val="1"/>
                    <c:extLst>
                      <c:ext uri="{CE6537A1-D6FC-4f65-9D91-7224C49458BB}"/>
                      <c:ext xmlns:c16="http://schemas.microsoft.com/office/drawing/2014/chart" uri="{C3380CC4-5D6E-409C-BE32-E72D297353CC}">
                        <c16:uniqueId val="{00000007-389F-4C7D-AAF2-B1550E561B46}"/>
                      </c:ext>
                    </c:extLst>
                  </c15:dLbl>
                </c15:categoryFilterException>
              </c15:categoryFilterExceptions>
            </c:ext>
            <c:ext xmlns:c16="http://schemas.microsoft.com/office/drawing/2014/chart" uri="{C3380CC4-5D6E-409C-BE32-E72D297353CC}">
              <c16:uniqueId val="{0000000F-F35E-4FEF-AC61-8162E283933F}"/>
            </c:ext>
          </c:extLst>
        </c:ser>
        <c:dLbls>
          <c:dLblPos val="ctr"/>
          <c:showLegendKey val="0"/>
          <c:showVal val="1"/>
          <c:showCatName val="0"/>
          <c:showSerName val="0"/>
          <c:showPercent val="0"/>
          <c:showBubbleSize val="0"/>
        </c:dLbls>
        <c:gapWidth val="150"/>
        <c:overlap val="100"/>
        <c:axId val="256768768"/>
        <c:axId val="256769328"/>
      </c:barChart>
      <c:catAx>
        <c:axId val="256768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800" b="0" i="0" u="none" strike="noStrike" kern="1200" baseline="0">
                <a:solidFill>
                  <a:schemeClr val="tx1">
                    <a:lumMod val="65000"/>
                    <a:lumOff val="35000"/>
                  </a:schemeClr>
                </a:solidFill>
                <a:latin typeface="+mn-lt"/>
                <a:ea typeface="+mn-ea"/>
                <a:cs typeface="+mn-cs"/>
              </a:defRPr>
            </a:pPr>
            <a:endParaRPr lang="ja-JP"/>
          </a:p>
        </c:txPr>
        <c:crossAx val="256769328"/>
        <c:crosses val="autoZero"/>
        <c:auto val="1"/>
        <c:lblAlgn val="ctr"/>
        <c:lblOffset val="100"/>
        <c:noMultiLvlLbl val="0"/>
      </c:catAx>
      <c:valAx>
        <c:axId val="256769328"/>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r>
                  <a:rPr lang="en-GB"/>
                  <a:t>Number of Countries</a:t>
                </a:r>
              </a:p>
            </c:rich>
          </c:tx>
          <c:layout>
            <c:manualLayout>
              <c:xMode val="edge"/>
              <c:yMode val="edge"/>
              <c:x val="0"/>
              <c:y val="0.24889590395733566"/>
            </c:manualLayout>
          </c:layout>
          <c:overlay val="0"/>
          <c:spPr>
            <a:noFill/>
            <a:ln>
              <a:noFill/>
            </a:ln>
            <a:effectLst/>
          </c:spPr>
          <c:txPr>
            <a:bodyPr rot="-54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ja-JP"/>
          </a:p>
        </c:txPr>
        <c:crossAx val="256768768"/>
        <c:crosses val="autoZero"/>
        <c:crossBetween val="between"/>
      </c:valAx>
      <c:spPr>
        <a:noFill/>
        <a:ln>
          <a:noFill/>
        </a:ln>
        <a:effectLst/>
      </c:spPr>
    </c:plotArea>
    <c:legend>
      <c:legendPos val="r"/>
      <c:layout>
        <c:manualLayout>
          <c:xMode val="edge"/>
          <c:yMode val="edge"/>
          <c:x val="0.76885039370078745"/>
          <c:y val="0.16621574469084058"/>
          <c:w val="0.22620699308076539"/>
          <c:h val="0.61552027070996296"/>
        </c:manualLayout>
      </c:layout>
      <c:overlay val="0"/>
      <c:spPr>
        <a:noFill/>
        <a:ln>
          <a:noFill/>
        </a:ln>
        <a:effectLst/>
      </c:spPr>
      <c:txPr>
        <a:bodyPr rot="0" spcFirstLastPara="1" vertOverflow="ellipsis" vert="horz" wrap="square" anchor="ctr" anchorCtr="1"/>
        <a:lstStyle/>
        <a:p>
          <a:pPr>
            <a:defRPr lang="ja-JP" sz="105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6.2609986949074992E-2"/>
          <c:y val="8.3490667272702365E-2"/>
          <c:w val="0.46393067619305789"/>
          <c:h val="0.78988920295182452"/>
        </c:manualLayout>
      </c:layout>
      <c:pieChart>
        <c:varyColors val="1"/>
        <c:ser>
          <c:idx val="0"/>
          <c:order val="0"/>
          <c:tx>
            <c:strRef>
              <c:f>Analytics!$J$27:$J$28</c:f>
              <c:strCache>
                <c:ptCount val="2"/>
                <c:pt idx="0">
                  <c:v>Table 1: Overall Summary Table</c:v>
                </c:pt>
                <c:pt idx="1">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C8CC-461C-A534-D858CAB48364}"/>
              </c:ext>
            </c:extLst>
          </c:dPt>
          <c:dPt>
            <c:idx val="1"/>
            <c:bubble3D val="0"/>
            <c:spPr>
              <a:solidFill>
                <a:srgbClr val="FF9999"/>
              </a:solidFill>
              <a:ln w="19050">
                <a:solidFill>
                  <a:schemeClr val="lt1"/>
                </a:solidFill>
              </a:ln>
              <a:effectLst/>
            </c:spPr>
            <c:extLst>
              <c:ext xmlns:c16="http://schemas.microsoft.com/office/drawing/2014/chart" uri="{C3380CC4-5D6E-409C-BE32-E72D297353CC}">
                <c16:uniqueId val="{00000003-C8CC-461C-A534-D858CAB48364}"/>
              </c:ext>
            </c:extLst>
          </c:dPt>
          <c:dPt>
            <c:idx val="2"/>
            <c:bubble3D val="0"/>
            <c:spPr>
              <a:solidFill>
                <a:srgbClr val="75B1A9"/>
              </a:solidFill>
              <a:ln w="19050">
                <a:solidFill>
                  <a:schemeClr val="lt1"/>
                </a:solidFill>
              </a:ln>
              <a:effectLst/>
            </c:spPr>
            <c:extLst>
              <c:ext xmlns:c16="http://schemas.microsoft.com/office/drawing/2014/chart" uri="{C3380CC4-5D6E-409C-BE32-E72D297353CC}">
                <c16:uniqueId val="{00000005-C8CC-461C-A534-D858CAB48364}"/>
              </c:ext>
            </c:extLst>
          </c:dPt>
          <c:dLbls>
            <c:dLbl>
              <c:idx val="0"/>
              <c:layout>
                <c:manualLayout>
                  <c:x val="-7.4317132383821441E-2"/>
                  <c:y val="-2.08439590946036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CC-461C-A534-D858CAB48364}"/>
                </c:ext>
              </c:extLst>
            </c:dLbl>
            <c:dLbl>
              <c:idx val="2"/>
              <c:layout>
                <c:manualLayout>
                  <c:x val="7.421687476201061E-2"/>
                  <c:y val="-0.270610816168258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CC-461C-A534-D858CAB48364}"/>
                </c:ext>
              </c:extLst>
            </c:dLbl>
            <c:spPr>
              <a:noFill/>
              <a:ln>
                <a:noFill/>
              </a:ln>
              <a:effectLst/>
            </c:spPr>
            <c:txPr>
              <a:bodyPr rot="0" spcFirstLastPara="1" vertOverflow="ellipsis" vert="horz" wrap="square" anchor="ctr" anchorCtr="1"/>
              <a:lstStyle/>
              <a:p>
                <a:pPr>
                  <a:defRPr lang="ja-JP" sz="1600" b="1"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Analytics!$A$40:$A$42</c:f>
              <c:strCache>
                <c:ptCount val="3"/>
                <c:pt idx="0">
                  <c:v>PA not signed</c:v>
                </c:pt>
                <c:pt idx="1">
                  <c:v>PA signed but not ratified</c:v>
                </c:pt>
                <c:pt idx="2">
                  <c:v>PA ratified</c:v>
                </c:pt>
              </c:strCache>
            </c:strRef>
          </c:cat>
          <c:val>
            <c:numRef>
              <c:f>Analytics!$J$40:$J$42</c:f>
              <c:numCache>
                <c:formatCode>General</c:formatCode>
                <c:ptCount val="3"/>
                <c:pt idx="0">
                  <c:v>2</c:v>
                </c:pt>
                <c:pt idx="1">
                  <c:v>4</c:v>
                </c:pt>
                <c:pt idx="2">
                  <c:v>193</c:v>
                </c:pt>
              </c:numCache>
            </c:numRef>
          </c:val>
          <c:extLst>
            <c:ext xmlns:c16="http://schemas.microsoft.com/office/drawing/2014/chart" uri="{C3380CC4-5D6E-409C-BE32-E72D297353CC}">
              <c16:uniqueId val="{00000006-C8CC-461C-A534-D858CAB48364}"/>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074134469746036"/>
          <c:y val="0.2678959445607248"/>
          <c:w val="0.29154045563768965"/>
          <c:h val="0.44375175293869878"/>
        </c:manualLayout>
      </c:layout>
      <c:overlay val="0"/>
      <c:spPr>
        <a:noFill/>
        <a:ln>
          <a:noFill/>
        </a:ln>
        <a:effectLst/>
      </c:spPr>
      <c:txPr>
        <a:bodyPr rot="0" spcFirstLastPara="1" vertOverflow="ellipsis" vert="horz" wrap="square" anchor="ctr" anchorCtr="1"/>
        <a:lstStyle/>
        <a:p>
          <a:pPr rtl="0">
            <a:defRPr lang="ja-JP" sz="1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757573468214197E-2"/>
          <c:y val="0.13261821778035718"/>
          <c:w val="0.48450320749961551"/>
          <c:h val="0.81438130190770941"/>
        </c:manualLayout>
      </c:layout>
      <c:doughnutChart>
        <c:varyColors val="1"/>
        <c:ser>
          <c:idx val="0"/>
          <c:order val="0"/>
          <c:dPt>
            <c:idx val="0"/>
            <c:bubble3D val="0"/>
            <c:spPr>
              <a:solidFill>
                <a:srgbClr val="75B1A9"/>
              </a:solidFill>
              <a:ln w="19050">
                <a:solidFill>
                  <a:schemeClr val="lt1"/>
                </a:solidFill>
              </a:ln>
              <a:effectLst/>
            </c:spPr>
            <c:extLst>
              <c:ext xmlns:c16="http://schemas.microsoft.com/office/drawing/2014/chart" uri="{C3380CC4-5D6E-409C-BE32-E72D297353CC}">
                <c16:uniqueId val="{00000001-153D-4732-BE87-6A478DED2DBF}"/>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153D-4732-BE87-6A478DED2DBF}"/>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53D-4732-BE87-6A478DED2DBF}"/>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53D-4732-BE87-6A478DED2DBF}"/>
              </c:ext>
            </c:extLst>
          </c:dPt>
          <c:dPt>
            <c:idx val="4"/>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9-153D-4732-BE87-6A478DED2DBF}"/>
              </c:ext>
            </c:extLst>
          </c:dPt>
          <c:dLbls>
            <c:dLbl>
              <c:idx val="0"/>
              <c:layout>
                <c:manualLayout>
                  <c:x val="8.0239026725439054E-4"/>
                  <c:y val="-1.253522239485950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3D-4732-BE87-6A478DED2DBF}"/>
                </c:ext>
              </c:extLst>
            </c:dLbl>
            <c:dLbl>
              <c:idx val="1"/>
              <c:layout>
                <c:manualLayout>
                  <c:x val="-2.7563729847649675E-3"/>
                  <c:y val="-1.27085010314637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3D-4732-BE87-6A478DED2DBF}"/>
                </c:ext>
              </c:extLst>
            </c:dLbl>
            <c:dLbl>
              <c:idx val="2"/>
              <c:layout>
                <c:manualLayout>
                  <c:x val="-1.4772115749682234E-3"/>
                  <c:y val="-3.3427259719629436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3D-4732-BE87-6A478DED2DBF}"/>
                </c:ext>
              </c:extLst>
            </c:dLbl>
            <c:dLbl>
              <c:idx val="3"/>
              <c:layout>
                <c:manualLayout>
                  <c:x val="1.6222123177998976E-3"/>
                  <c:y val="-1.169954090186907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3D-4732-BE87-6A478DED2DBF}"/>
                </c:ext>
              </c:extLst>
            </c:dLbl>
            <c:dLbl>
              <c:idx val="4"/>
              <c:layout>
                <c:manualLayout>
                  <c:x val="-1.859654335660934E-3"/>
                  <c:y val="3.122218418349859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3D-4732-BE87-6A478DED2DBF}"/>
                </c:ext>
              </c:extLst>
            </c:dLbl>
            <c:spPr>
              <a:noFill/>
              <a:ln>
                <a:noFill/>
              </a:ln>
              <a:effectLst/>
            </c:spPr>
            <c:txPr>
              <a:bodyPr rot="0" spcFirstLastPara="1" vertOverflow="ellipsis" vert="horz" wrap="square" anchor="ctr" anchorCtr="1"/>
              <a:lstStyle/>
              <a:p>
                <a:pPr>
                  <a:defRPr lang="ja-JP" sz="1600" b="1"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Analytics!$A$152:$A$156</c:f>
              <c:strCache>
                <c:ptCount val="5"/>
                <c:pt idx="0">
                  <c:v>Absolute emission reduction</c:v>
                </c:pt>
                <c:pt idx="1">
                  <c:v>Relative emission reduction</c:v>
                </c:pt>
                <c:pt idx="2">
                  <c:v>Carbon intensity reduction</c:v>
                </c:pt>
                <c:pt idx="3">
                  <c:v>Peak of carbon emissions</c:v>
                </c:pt>
                <c:pt idx="4">
                  <c:v>Policies and actions</c:v>
                </c:pt>
              </c:strCache>
            </c:strRef>
          </c:cat>
          <c:val>
            <c:numRef>
              <c:f>Analytics!$J$152:$J$156</c:f>
              <c:numCache>
                <c:formatCode>General</c:formatCode>
                <c:ptCount val="5"/>
                <c:pt idx="0">
                  <c:v>87</c:v>
                </c:pt>
                <c:pt idx="1">
                  <c:v>79</c:v>
                </c:pt>
                <c:pt idx="2">
                  <c:v>7</c:v>
                </c:pt>
                <c:pt idx="3">
                  <c:v>3</c:v>
                </c:pt>
                <c:pt idx="4">
                  <c:v>17</c:v>
                </c:pt>
              </c:numCache>
            </c:numRef>
          </c:val>
          <c:extLst>
            <c:ext xmlns:c16="http://schemas.microsoft.com/office/drawing/2014/chart" uri="{C3380CC4-5D6E-409C-BE32-E72D297353CC}">
              <c16:uniqueId val="{0000000A-153D-4732-BE87-6A478DED2DB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227256208358583"/>
          <c:y val="4.1781191152605208E-2"/>
          <c:w val="0.3160171324738254"/>
          <c:h val="0.92532251389598741"/>
        </c:manualLayout>
      </c:layout>
      <c:overlay val="0"/>
      <c:spPr>
        <a:noFill/>
        <a:ln>
          <a:noFill/>
        </a:ln>
        <a:effectLst/>
      </c:spPr>
      <c:txPr>
        <a:bodyPr rot="0" spcFirstLastPara="1" vertOverflow="ellipsis" vert="horz" wrap="square" anchor="ctr" anchorCtr="1"/>
        <a:lstStyle/>
        <a:p>
          <a:pPr algn="l" rtl="0">
            <a:defRPr lang="en-GB" sz="11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923813637003531E-2"/>
          <c:y val="9.5383727034120708E-2"/>
          <c:w val="0.50131105025646649"/>
          <c:h val="0.82623482064741904"/>
        </c:manualLayout>
      </c:layout>
      <c:doughnutChart>
        <c:varyColors val="1"/>
        <c:ser>
          <c:idx val="0"/>
          <c:order val="0"/>
          <c:tx>
            <c:strRef>
              <c:f>Analytics!$A$158:$A$162</c:f>
              <c:strCache>
                <c:ptCount val="5"/>
                <c:pt idx="0">
                  <c:v>Business as Usual (BAU)</c:v>
                </c:pt>
                <c:pt idx="1">
                  <c:v>Year 1990</c:v>
                </c:pt>
                <c:pt idx="2">
                  <c:v>Year 2005</c:v>
                </c:pt>
                <c:pt idx="3">
                  <c:v>Year 2010</c:v>
                </c:pt>
                <c:pt idx="4">
                  <c:v>Other years</c:v>
                </c:pt>
              </c:strCache>
            </c:strRef>
          </c:tx>
          <c:dPt>
            <c:idx val="0"/>
            <c:bubble3D val="0"/>
            <c:spPr>
              <a:solidFill>
                <a:srgbClr val="75B1A9"/>
              </a:solidFill>
              <a:ln w="19050">
                <a:solidFill>
                  <a:schemeClr val="lt1"/>
                </a:solidFill>
              </a:ln>
              <a:effectLst/>
            </c:spPr>
            <c:extLst>
              <c:ext xmlns:c16="http://schemas.microsoft.com/office/drawing/2014/chart" uri="{C3380CC4-5D6E-409C-BE32-E72D297353CC}">
                <c16:uniqueId val="{00000001-BBD1-466B-A046-3F0C10CC8BF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BBD1-466B-A046-3F0C10CC8BF6}"/>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BBD1-466B-A046-3F0C10CC8BF6}"/>
              </c:ext>
            </c:extLst>
          </c:dPt>
          <c:dPt>
            <c:idx val="3"/>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7-BBD1-466B-A046-3F0C10CC8BF6}"/>
              </c:ext>
            </c:extLst>
          </c:dPt>
          <c:dPt>
            <c:idx val="4"/>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9-BBD1-466B-A046-3F0C10CC8BF6}"/>
              </c:ext>
            </c:extLst>
          </c:dPt>
          <c:dLbls>
            <c:spPr>
              <a:noFill/>
              <a:ln>
                <a:noFill/>
              </a:ln>
              <a:effectLst/>
            </c:spPr>
            <c:txPr>
              <a:bodyPr rot="0" spcFirstLastPara="1" vertOverflow="ellipsis" vert="horz" wrap="square" anchor="ctr" anchorCtr="1"/>
              <a:lstStyle/>
              <a:p>
                <a:pPr>
                  <a:defRPr lang="ja-JP" sz="1600" b="1"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Analytics!$A$158:$A$162</c:f>
              <c:strCache>
                <c:ptCount val="5"/>
                <c:pt idx="0">
                  <c:v>Business as Usual (BAU)</c:v>
                </c:pt>
                <c:pt idx="1">
                  <c:v>Year 1990</c:v>
                </c:pt>
                <c:pt idx="2">
                  <c:v>Year 2005</c:v>
                </c:pt>
                <c:pt idx="3">
                  <c:v>Year 2010</c:v>
                </c:pt>
                <c:pt idx="4">
                  <c:v>Other years</c:v>
                </c:pt>
              </c:strCache>
            </c:strRef>
          </c:cat>
          <c:val>
            <c:numRef>
              <c:f>Analytics!$J$158:$J$162</c:f>
              <c:numCache>
                <c:formatCode>General</c:formatCode>
                <c:ptCount val="5"/>
                <c:pt idx="0">
                  <c:v>77</c:v>
                </c:pt>
                <c:pt idx="1">
                  <c:v>46</c:v>
                </c:pt>
                <c:pt idx="2">
                  <c:v>12</c:v>
                </c:pt>
                <c:pt idx="3">
                  <c:v>12</c:v>
                </c:pt>
                <c:pt idx="4">
                  <c:v>20</c:v>
                </c:pt>
              </c:numCache>
            </c:numRef>
          </c:val>
          <c:extLst>
            <c:ext xmlns:c16="http://schemas.microsoft.com/office/drawing/2014/chart" uri="{C3380CC4-5D6E-409C-BE32-E72D297353CC}">
              <c16:uniqueId val="{0000000A-BBD1-466B-A046-3F0C10CC8BF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346507351613845"/>
          <c:y val="2.3204899387576548E-2"/>
          <c:w val="0.29934827473966252"/>
          <c:h val="0.90247867454068242"/>
        </c:manualLayout>
      </c:layout>
      <c:overlay val="0"/>
      <c:spPr>
        <a:noFill/>
        <a:ln>
          <a:noFill/>
        </a:ln>
        <a:effectLst/>
      </c:spPr>
      <c:txPr>
        <a:bodyPr rot="0" spcFirstLastPara="1" vertOverflow="ellipsis" vert="horz" wrap="square" anchor="ctr" anchorCtr="1"/>
        <a:lstStyle/>
        <a:p>
          <a:pPr rtl="0">
            <a:defRPr lang="ja-JP" sz="11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5055336221216E-2"/>
          <c:y val="6.9410172477806689E-2"/>
          <c:w val="0.51378503432304834"/>
          <c:h val="0.86331143479068739"/>
        </c:manualLayout>
      </c:layout>
      <c:doughnutChart>
        <c:varyColors val="1"/>
        <c:ser>
          <c:idx val="0"/>
          <c:order val="0"/>
          <c:dPt>
            <c:idx val="0"/>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1-0A3A-4E12-A802-945D66ACD07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A3A-4E12-A802-945D66ACD07B}"/>
              </c:ext>
            </c:extLst>
          </c:dPt>
          <c:dPt>
            <c:idx val="2"/>
            <c:bubble3D val="0"/>
            <c:spPr>
              <a:solidFill>
                <a:srgbClr val="75B1A9"/>
              </a:solidFill>
              <a:ln w="19050">
                <a:solidFill>
                  <a:schemeClr val="lt1"/>
                </a:solidFill>
              </a:ln>
              <a:effectLst/>
            </c:spPr>
            <c:extLst>
              <c:ext xmlns:c16="http://schemas.microsoft.com/office/drawing/2014/chart" uri="{C3380CC4-5D6E-409C-BE32-E72D297353CC}">
                <c16:uniqueId val="{00000005-0A3A-4E12-A802-945D66ACD07B}"/>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0A3A-4E12-A802-945D66ACD07B}"/>
              </c:ext>
            </c:extLst>
          </c:dPt>
          <c:dLbls>
            <c:spPr>
              <a:noFill/>
              <a:ln>
                <a:noFill/>
              </a:ln>
              <a:effectLst/>
            </c:spPr>
            <c:txPr>
              <a:bodyPr rot="0" spcFirstLastPara="1" vertOverflow="ellipsis" vert="horz" wrap="square" anchor="ctr" anchorCtr="1"/>
              <a:lstStyle/>
              <a:p>
                <a:pPr>
                  <a:defRPr lang="ja-JP" sz="1600" b="1"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Analytics!$A$164:$A$167</c:f>
              <c:strCache>
                <c:ptCount val="4"/>
                <c:pt idx="0">
                  <c:v>Year 2020</c:v>
                </c:pt>
                <c:pt idx="1">
                  <c:v>Year 2025</c:v>
                </c:pt>
                <c:pt idx="2">
                  <c:v>Year 2030</c:v>
                </c:pt>
                <c:pt idx="3">
                  <c:v>Year 2050</c:v>
                </c:pt>
              </c:strCache>
            </c:strRef>
          </c:cat>
          <c:val>
            <c:numRef>
              <c:f>Analytics!$J$164:$J$167</c:f>
              <c:numCache>
                <c:formatCode>General</c:formatCode>
                <c:ptCount val="4"/>
                <c:pt idx="0">
                  <c:v>4</c:v>
                </c:pt>
                <c:pt idx="1">
                  <c:v>25</c:v>
                </c:pt>
                <c:pt idx="2">
                  <c:v>176</c:v>
                </c:pt>
                <c:pt idx="3">
                  <c:v>5</c:v>
                </c:pt>
              </c:numCache>
            </c:numRef>
          </c:val>
          <c:extLst>
            <c:ext xmlns:c16="http://schemas.microsoft.com/office/drawing/2014/chart" uri="{C3380CC4-5D6E-409C-BE32-E72D297353CC}">
              <c16:uniqueId val="{00000008-0A3A-4E12-A802-945D66ACD07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033237602283046"/>
          <c:y val="0.11181146984103474"/>
          <c:w val="0.25538655917867181"/>
          <c:h val="0.82094665914039644"/>
        </c:manualLayout>
      </c:layout>
      <c:overlay val="0"/>
      <c:spPr>
        <a:noFill/>
        <a:ln>
          <a:noFill/>
        </a:ln>
        <a:effectLst/>
      </c:spPr>
      <c:txPr>
        <a:bodyPr rot="0" spcFirstLastPara="1" vertOverflow="ellipsis" vert="horz" wrap="square" anchor="ctr" anchorCtr="1"/>
        <a:lstStyle/>
        <a:p>
          <a:pPr rtl="0">
            <a:defRPr lang="ja-JP" sz="11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10931120369705E-2"/>
          <c:y val="2.2080050598999278E-2"/>
          <c:w val="0.67089869705129257"/>
          <c:h val="0.82608334202591827"/>
        </c:manualLayout>
      </c:layout>
      <c:barChart>
        <c:barDir val="col"/>
        <c:grouping val="stacked"/>
        <c:varyColors val="0"/>
        <c:ser>
          <c:idx val="7"/>
          <c:order val="0"/>
          <c:tx>
            <c:strRef>
              <c:f>Analytics!$I$229</c:f>
              <c:strCache>
                <c:ptCount val="1"/>
                <c:pt idx="0">
                  <c:v>Oceania</c:v>
                </c:pt>
              </c:strCache>
            </c:strRef>
          </c:tx>
          <c:spPr>
            <a:solidFill>
              <a:srgbClr val="00B0F0"/>
            </a:solidFill>
            <a:ln>
              <a:noFill/>
            </a:ln>
            <a:effectLst>
              <a:outerShdw blurRad="57150" dist="19050" dir="5400000" algn="ctr" rotWithShape="0">
                <a:srgbClr val="000000">
                  <a:alpha val="63000"/>
                </a:srgbClr>
              </a:outerShdw>
            </a:effectLst>
          </c:spPr>
          <c:invertIfNegative val="0"/>
          <c:dLbls>
            <c:dLbl>
              <c:idx val="1"/>
              <c:layout>
                <c:manualLayout>
                  <c:x val="5.4259876365606287E-2"/>
                  <c:y val="-2.790049234482987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59-43E8-B43F-2CA1E7D31F4F}"/>
                </c:ext>
              </c:extLst>
            </c:dLbl>
            <c:dLbl>
              <c:idx val="2"/>
              <c:layout>
                <c:manualLayout>
                  <c:x val="5.1159312001857409E-2"/>
                  <c:y val="-1.1160196937931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59-43E8-B43F-2CA1E7D31F4F}"/>
                </c:ext>
              </c:extLst>
            </c:dLbl>
            <c:dLbl>
              <c:idx val="3"/>
              <c:layout>
                <c:manualLayout>
                  <c:x val="6.0558628589761569E-2"/>
                  <c:y val="1.39502461724148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59-43E8-B43F-2CA1E7D31F4F}"/>
                </c:ext>
              </c:extLst>
            </c:dLbl>
            <c:spPr>
              <a:noFill/>
              <a:ln>
                <a:noFill/>
              </a:ln>
              <a:effectLst/>
            </c:spPr>
            <c:txPr>
              <a:bodyPr rot="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Analytics!$A$231:$A$238</c15:sqref>
                  </c15:fullRef>
                </c:ext>
              </c:extLst>
              <c:f>Analytics!$A$233:$A$236</c:f>
              <c:strCache>
                <c:ptCount val="4"/>
                <c:pt idx="0">
                  <c:v>International</c:v>
                </c:pt>
                <c:pt idx="1">
                  <c:v>Regional</c:v>
                </c:pt>
                <c:pt idx="2">
                  <c:v>Bilateral</c:v>
                </c:pt>
                <c:pt idx="3">
                  <c:v>National Trading Scheme</c:v>
                </c:pt>
              </c:strCache>
            </c:strRef>
          </c:cat>
          <c:val>
            <c:numRef>
              <c:extLst>
                <c:ext xmlns:c15="http://schemas.microsoft.com/office/drawing/2012/chart" uri="{02D57815-91ED-43cb-92C2-25804820EDAC}">
                  <c15:fullRef>
                    <c15:sqref>Analytics!$I$231:$I$238</c15:sqref>
                  </c15:fullRef>
                </c:ext>
              </c:extLst>
              <c:f>Analytics!$I$233:$I$236</c:f>
              <c:numCache>
                <c:formatCode>General</c:formatCode>
                <c:ptCount val="4"/>
                <c:pt idx="0">
                  <c:v>7</c:v>
                </c:pt>
                <c:pt idx="1">
                  <c:v>3</c:v>
                </c:pt>
                <c:pt idx="2">
                  <c:v>2</c:v>
                </c:pt>
                <c:pt idx="3">
                  <c:v>3</c:v>
                </c:pt>
              </c:numCache>
            </c:numRef>
          </c:val>
          <c:extLst>
            <c:ext xmlns:c16="http://schemas.microsoft.com/office/drawing/2014/chart" uri="{C3380CC4-5D6E-409C-BE32-E72D297353CC}">
              <c16:uniqueId val="{00000003-2159-43E8-B43F-2CA1E7D31F4F}"/>
            </c:ext>
          </c:extLst>
        </c:ser>
        <c:ser>
          <c:idx val="6"/>
          <c:order val="1"/>
          <c:tx>
            <c:strRef>
              <c:f>Analytics!$H$229</c:f>
              <c:strCache>
                <c:ptCount val="1"/>
                <c:pt idx="0">
                  <c:v>Northern America</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1"/>
              <c:layout>
                <c:manualLayout>
                  <c:x val="5.270959418373182E-2"/>
                  <c:y val="-2.79004923448299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59-43E8-B43F-2CA1E7D31F4F}"/>
                </c:ext>
              </c:extLst>
            </c:dLbl>
            <c:dLbl>
              <c:idx val="2"/>
              <c:delete val="1"/>
              <c:extLst>
                <c:ext xmlns:c15="http://schemas.microsoft.com/office/drawing/2012/chart" uri="{CE6537A1-D6FC-4f65-9D91-7224C49458BB}"/>
                <c:ext xmlns:c16="http://schemas.microsoft.com/office/drawing/2014/chart" uri="{C3380CC4-5D6E-409C-BE32-E72D297353CC}">
                  <c16:uniqueId val="{00000005-2159-43E8-B43F-2CA1E7D31F4F}"/>
                </c:ext>
              </c:extLst>
            </c:dLbl>
            <c:dLbl>
              <c:idx val="3"/>
              <c:layout>
                <c:manualLayout>
                  <c:x val="6.0558628589761569E-2"/>
                  <c:y val="-1.0230062347884412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59-43E8-B43F-2CA1E7D31F4F}"/>
                </c:ext>
              </c:extLst>
            </c:dLbl>
            <c:spPr>
              <a:noFill/>
              <a:ln>
                <a:noFill/>
              </a:ln>
              <a:effectLst/>
            </c:spPr>
            <c:txPr>
              <a:bodyPr rot="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Analytics!$A$231:$A$238</c15:sqref>
                  </c15:fullRef>
                </c:ext>
              </c:extLst>
              <c:f>Analytics!$A$233:$A$236</c:f>
              <c:strCache>
                <c:ptCount val="4"/>
                <c:pt idx="0">
                  <c:v>International</c:v>
                </c:pt>
                <c:pt idx="1">
                  <c:v>Regional</c:v>
                </c:pt>
                <c:pt idx="2">
                  <c:v>Bilateral</c:v>
                </c:pt>
                <c:pt idx="3">
                  <c:v>National Trading Scheme</c:v>
                </c:pt>
              </c:strCache>
            </c:strRef>
          </c:cat>
          <c:val>
            <c:numRef>
              <c:extLst>
                <c:ext xmlns:c15="http://schemas.microsoft.com/office/drawing/2012/chart" uri="{02D57815-91ED-43cb-92C2-25804820EDAC}">
                  <c15:fullRef>
                    <c15:sqref>Analytics!$H$231:$H$238</c15:sqref>
                  </c15:fullRef>
                </c:ext>
              </c:extLst>
              <c:f>Analytics!$H$233:$H$236</c:f>
              <c:numCache>
                <c:formatCode>General</c:formatCode>
                <c:ptCount val="4"/>
                <c:pt idx="0">
                  <c:v>1</c:v>
                </c:pt>
                <c:pt idx="1">
                  <c:v>2</c:v>
                </c:pt>
                <c:pt idx="2">
                  <c:v>1</c:v>
                </c:pt>
                <c:pt idx="3">
                  <c:v>2</c:v>
                </c:pt>
              </c:numCache>
            </c:numRef>
          </c:val>
          <c:extLst>
            <c:ext xmlns:c16="http://schemas.microsoft.com/office/drawing/2014/chart" uri="{C3380CC4-5D6E-409C-BE32-E72D297353CC}">
              <c16:uniqueId val="{00000007-2159-43E8-B43F-2CA1E7D31F4F}"/>
            </c:ext>
          </c:extLst>
        </c:ser>
        <c:ser>
          <c:idx val="5"/>
          <c:order val="2"/>
          <c:tx>
            <c:strRef>
              <c:f>Analytics!$G$229</c:f>
              <c:strCache>
                <c:ptCount val="1"/>
                <c:pt idx="0">
                  <c:v>Latin America &amp; the Caribbean</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
              <c:layout>
                <c:manualLayout>
                  <c:x val="5.4259876365606287E-2"/>
                  <c:y val="-5.02208862206938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59-43E8-B43F-2CA1E7D31F4F}"/>
                </c:ext>
              </c:extLst>
            </c:dLbl>
            <c:dLbl>
              <c:idx val="2"/>
              <c:layout>
                <c:manualLayout>
                  <c:x val="5.1159312001857409E-2"/>
                  <c:y val="-2.79004923448299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159-43E8-B43F-2CA1E7D31F4F}"/>
                </c:ext>
              </c:extLst>
            </c:dLbl>
            <c:dLbl>
              <c:idx val="3"/>
              <c:layout>
                <c:manualLayout>
                  <c:x val="6.0558628589761569E-2"/>
                  <c:y val="-8.370147703448961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159-43E8-B43F-2CA1E7D31F4F}"/>
                </c:ext>
              </c:extLst>
            </c:dLbl>
            <c:spPr>
              <a:noFill/>
              <a:ln>
                <a:noFill/>
              </a:ln>
              <a:effectLst/>
            </c:spPr>
            <c:txPr>
              <a:bodyPr rot="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Analytics!$A$231:$A$238</c15:sqref>
                  </c15:fullRef>
                </c:ext>
              </c:extLst>
              <c:f>Analytics!$A$233:$A$236</c:f>
              <c:strCache>
                <c:ptCount val="4"/>
                <c:pt idx="0">
                  <c:v>International</c:v>
                </c:pt>
                <c:pt idx="1">
                  <c:v>Regional</c:v>
                </c:pt>
                <c:pt idx="2">
                  <c:v>Bilateral</c:v>
                </c:pt>
                <c:pt idx="3">
                  <c:v>National Trading Scheme</c:v>
                </c:pt>
              </c:strCache>
            </c:strRef>
          </c:cat>
          <c:val>
            <c:numRef>
              <c:extLst>
                <c:ext xmlns:c15="http://schemas.microsoft.com/office/drawing/2012/chart" uri="{02D57815-91ED-43cb-92C2-25804820EDAC}">
                  <c15:fullRef>
                    <c15:sqref>Analytics!$G$231:$G$238</c15:sqref>
                  </c15:fullRef>
                </c:ext>
              </c:extLst>
              <c:f>Analytics!$G$233:$G$236</c:f>
              <c:numCache>
                <c:formatCode>General</c:formatCode>
                <c:ptCount val="4"/>
                <c:pt idx="0">
                  <c:v>18</c:v>
                </c:pt>
                <c:pt idx="1">
                  <c:v>5</c:v>
                </c:pt>
                <c:pt idx="2">
                  <c:v>8</c:v>
                </c:pt>
                <c:pt idx="3">
                  <c:v>4</c:v>
                </c:pt>
              </c:numCache>
            </c:numRef>
          </c:val>
          <c:extLst>
            <c:ext xmlns:c16="http://schemas.microsoft.com/office/drawing/2014/chart" uri="{C3380CC4-5D6E-409C-BE32-E72D297353CC}">
              <c16:uniqueId val="{0000000B-2159-43E8-B43F-2CA1E7D31F4F}"/>
            </c:ext>
          </c:extLst>
        </c:ser>
        <c:ser>
          <c:idx val="4"/>
          <c:order val="3"/>
          <c:tx>
            <c:strRef>
              <c:f>Analytics!$F$229</c:f>
              <c:strCache>
                <c:ptCount val="1"/>
                <c:pt idx="0">
                  <c:v>Europe</c:v>
                </c:pt>
              </c:strCache>
            </c:strRef>
          </c:tx>
          <c:spPr>
            <a:solidFill>
              <a:schemeClr val="accent1"/>
            </a:solid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C-2159-43E8-B43F-2CA1E7D31F4F}"/>
                </c:ext>
              </c:extLst>
            </c:dLbl>
            <c:dLbl>
              <c:idx val="3"/>
              <c:layout>
                <c:manualLayout>
                  <c:x val="2.9586143223238712E-3"/>
                  <c:y val="-7.47313341368348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159-43E8-B43F-2CA1E7D31F4F}"/>
                </c:ext>
              </c:extLst>
            </c:dLbl>
            <c:spPr>
              <a:noFill/>
              <a:ln>
                <a:noFill/>
              </a:ln>
              <a:effectLst/>
            </c:spPr>
            <c:txPr>
              <a:bodyPr rot="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Analytics!$A$231:$A$238</c15:sqref>
                  </c15:fullRef>
                </c:ext>
              </c:extLst>
              <c:f>Analytics!$A$233:$A$236</c:f>
              <c:strCache>
                <c:ptCount val="4"/>
                <c:pt idx="0">
                  <c:v>International</c:v>
                </c:pt>
                <c:pt idx="1">
                  <c:v>Regional</c:v>
                </c:pt>
                <c:pt idx="2">
                  <c:v>Bilateral</c:v>
                </c:pt>
                <c:pt idx="3">
                  <c:v>National Trading Scheme</c:v>
                </c:pt>
              </c:strCache>
            </c:strRef>
          </c:cat>
          <c:val>
            <c:numRef>
              <c:extLst>
                <c:ext xmlns:c15="http://schemas.microsoft.com/office/drawing/2012/chart" uri="{02D57815-91ED-43cb-92C2-25804820EDAC}">
                  <c15:fullRef>
                    <c15:sqref>Analytics!$F$231:$F$238</c15:sqref>
                  </c15:fullRef>
                </c:ext>
              </c:extLst>
              <c:f>Analytics!$F$233:$F$236</c:f>
              <c:numCache>
                <c:formatCode>General</c:formatCode>
                <c:ptCount val="4"/>
                <c:pt idx="0">
                  <c:v>6</c:v>
                </c:pt>
                <c:pt idx="1">
                  <c:v>2</c:v>
                </c:pt>
                <c:pt idx="2">
                  <c:v>2</c:v>
                </c:pt>
                <c:pt idx="3">
                  <c:v>31</c:v>
                </c:pt>
              </c:numCache>
            </c:numRef>
          </c:val>
          <c:extLst>
            <c:ext xmlns:c16="http://schemas.microsoft.com/office/drawing/2014/chart" uri="{C3380CC4-5D6E-409C-BE32-E72D297353CC}">
              <c16:uniqueId val="{0000000E-2159-43E8-B43F-2CA1E7D31F4F}"/>
            </c:ext>
          </c:extLst>
        </c:ser>
        <c:ser>
          <c:idx val="3"/>
          <c:order val="4"/>
          <c:tx>
            <c:strRef>
              <c:f>Analytics!$E$229</c:f>
              <c:strCache>
                <c:ptCount val="1"/>
                <c:pt idx="0">
                  <c:v>Eastern Europe &amp; Central Asia</c:v>
                </c:pt>
              </c:strCache>
            </c:strRef>
          </c:tx>
          <c:spPr>
            <a:solidFill>
              <a:srgbClr val="B381D9"/>
            </a:solidFill>
            <a:ln>
              <a:noFill/>
            </a:ln>
            <a:effectLst>
              <a:outerShdw blurRad="57150" dist="19050" dir="5400000" algn="ctr" rotWithShape="0">
                <a:srgbClr val="000000">
                  <a:alpha val="63000"/>
                </a:srgbClr>
              </a:outerShdw>
            </a:effectLst>
          </c:spPr>
          <c:invertIfNegative val="0"/>
          <c:dLbls>
            <c:dLbl>
              <c:idx val="1"/>
              <c:layout>
                <c:manualLayout>
                  <c:x val="5.8910722911229688E-2"/>
                  <c:y val="3.06905415793128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159-43E8-B43F-2CA1E7D31F4F}"/>
                </c:ext>
              </c:extLst>
            </c:dLbl>
            <c:dLbl>
              <c:idx val="2"/>
              <c:layout>
                <c:manualLayout>
                  <c:x val="5.2709594183731764E-2"/>
                  <c:y val="-4.46407877517279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159-43E8-B43F-2CA1E7D31F4F}"/>
                </c:ext>
              </c:extLst>
            </c:dLbl>
            <c:dLbl>
              <c:idx val="3"/>
              <c:layout>
                <c:manualLayout>
                  <c:x val="6.0558628589761569E-2"/>
                  <c:y val="-4.18507385172448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159-43E8-B43F-2CA1E7D31F4F}"/>
                </c:ext>
              </c:extLst>
            </c:dLbl>
            <c:spPr>
              <a:noFill/>
              <a:ln>
                <a:noFill/>
              </a:ln>
              <a:effectLst/>
            </c:spPr>
            <c:txPr>
              <a:bodyPr rot="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Analytics!$A$231:$A$238</c15:sqref>
                  </c15:fullRef>
                </c:ext>
              </c:extLst>
              <c:f>Analytics!$A$233:$A$236</c:f>
              <c:strCache>
                <c:ptCount val="4"/>
                <c:pt idx="0">
                  <c:v>International</c:v>
                </c:pt>
                <c:pt idx="1">
                  <c:v>Regional</c:v>
                </c:pt>
                <c:pt idx="2">
                  <c:v>Bilateral</c:v>
                </c:pt>
                <c:pt idx="3">
                  <c:v>National Trading Scheme</c:v>
                </c:pt>
              </c:strCache>
            </c:strRef>
          </c:cat>
          <c:val>
            <c:numRef>
              <c:extLst>
                <c:ext xmlns:c15="http://schemas.microsoft.com/office/drawing/2012/chart" uri="{02D57815-91ED-43cb-92C2-25804820EDAC}">
                  <c15:fullRef>
                    <c15:sqref>Analytics!$E$231:$E$238</c15:sqref>
                  </c15:fullRef>
                </c:ext>
              </c:extLst>
              <c:f>Analytics!$E$233:$E$236</c:f>
              <c:numCache>
                <c:formatCode>General</c:formatCode>
                <c:ptCount val="4"/>
                <c:pt idx="0">
                  <c:v>7</c:v>
                </c:pt>
                <c:pt idx="1">
                  <c:v>2</c:v>
                </c:pt>
                <c:pt idx="2">
                  <c:v>2</c:v>
                </c:pt>
                <c:pt idx="3">
                  <c:v>1</c:v>
                </c:pt>
              </c:numCache>
            </c:numRef>
          </c:val>
          <c:extLst>
            <c:ext xmlns:c16="http://schemas.microsoft.com/office/drawing/2014/chart" uri="{C3380CC4-5D6E-409C-BE32-E72D297353CC}">
              <c16:uniqueId val="{00000012-2159-43E8-B43F-2CA1E7D31F4F}"/>
            </c:ext>
          </c:extLst>
        </c:ser>
        <c:ser>
          <c:idx val="2"/>
          <c:order val="5"/>
          <c:tx>
            <c:strRef>
              <c:f>Analytics!$D$229</c:f>
              <c:strCache>
                <c:ptCount val="1"/>
                <c:pt idx="0">
                  <c:v>Sub-Saharan Africa</c:v>
                </c:pt>
              </c:strCache>
            </c:strRef>
          </c:tx>
          <c:spPr>
            <a:solidFill>
              <a:srgbClr val="EC6C32"/>
            </a:solidFill>
            <a:ln>
              <a:noFill/>
            </a:ln>
            <a:effectLst>
              <a:outerShdw blurRad="57150" dist="19050" dir="5400000" algn="ctr" rotWithShape="0">
                <a:srgbClr val="000000">
                  <a:alpha val="63000"/>
                </a:srgbClr>
              </a:outerShdw>
            </a:effectLst>
          </c:spPr>
          <c:invertIfNegative val="0"/>
          <c:dLbls>
            <c:dLbl>
              <c:idx val="1"/>
              <c:layout>
                <c:manualLayout>
                  <c:x val="7.4701485748343593E-2"/>
                  <c:y val="-5.704773491856358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159-43E8-B43F-2CA1E7D31F4F}"/>
                </c:ext>
              </c:extLst>
            </c:dLbl>
            <c:dLbl>
              <c:idx val="2"/>
              <c:delete val="1"/>
              <c:extLst>
                <c:ext xmlns:c15="http://schemas.microsoft.com/office/drawing/2012/chart" uri="{CE6537A1-D6FC-4f65-9D91-7224C49458BB}"/>
                <c:ext xmlns:c16="http://schemas.microsoft.com/office/drawing/2014/chart" uri="{C3380CC4-5D6E-409C-BE32-E72D297353CC}">
                  <c16:uniqueId val="{00000014-2159-43E8-B43F-2CA1E7D31F4F}"/>
                </c:ext>
              </c:extLst>
            </c:dLbl>
            <c:dLbl>
              <c:idx val="3"/>
              <c:layout>
                <c:manualLayout>
                  <c:x val="6.2111413938216994E-2"/>
                  <c:y val="-6.97512308620746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159-43E8-B43F-2CA1E7D31F4F}"/>
                </c:ext>
              </c:extLst>
            </c:dLbl>
            <c:spPr>
              <a:noFill/>
              <a:ln>
                <a:noFill/>
              </a:ln>
              <a:effectLst/>
            </c:spPr>
            <c:txPr>
              <a:bodyPr rot="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Analytics!$A$231:$A$238</c15:sqref>
                  </c15:fullRef>
                </c:ext>
              </c:extLst>
              <c:f>Analytics!$A$233:$A$236</c:f>
              <c:strCache>
                <c:ptCount val="4"/>
                <c:pt idx="0">
                  <c:v>International</c:v>
                </c:pt>
                <c:pt idx="1">
                  <c:v>Regional</c:v>
                </c:pt>
                <c:pt idx="2">
                  <c:v>Bilateral</c:v>
                </c:pt>
                <c:pt idx="3">
                  <c:v>National Trading Scheme</c:v>
                </c:pt>
              </c:strCache>
            </c:strRef>
          </c:cat>
          <c:val>
            <c:numRef>
              <c:extLst>
                <c:ext xmlns:c15="http://schemas.microsoft.com/office/drawing/2012/chart" uri="{02D57815-91ED-43cb-92C2-25804820EDAC}">
                  <c15:fullRef>
                    <c15:sqref>Analytics!$D$231:$D$238</c15:sqref>
                  </c15:fullRef>
                </c:ext>
              </c:extLst>
              <c:f>Analytics!$D$233:$D$236</c:f>
              <c:numCache>
                <c:formatCode>General</c:formatCode>
                <c:ptCount val="4"/>
                <c:pt idx="0">
                  <c:v>28</c:v>
                </c:pt>
                <c:pt idx="1">
                  <c:v>5</c:v>
                </c:pt>
                <c:pt idx="2">
                  <c:v>6</c:v>
                </c:pt>
                <c:pt idx="3">
                  <c:v>1</c:v>
                </c:pt>
              </c:numCache>
            </c:numRef>
          </c:val>
          <c:extLst>
            <c:ext xmlns:c16="http://schemas.microsoft.com/office/drawing/2014/chart" uri="{C3380CC4-5D6E-409C-BE32-E72D297353CC}">
              <c16:uniqueId val="{00000016-2159-43E8-B43F-2CA1E7D31F4F}"/>
            </c:ext>
          </c:extLst>
        </c:ser>
        <c:ser>
          <c:idx val="1"/>
          <c:order val="6"/>
          <c:tx>
            <c:strRef>
              <c:f>Analytics!$C$229</c:f>
              <c:strCache>
                <c:ptCount val="1"/>
                <c:pt idx="0">
                  <c:v>North Africa &amp; the Middle East</c:v>
                </c:pt>
              </c:strCache>
            </c:strRef>
          </c:tx>
          <c:spPr>
            <a:solidFill>
              <a:srgbClr val="C1803F"/>
            </a:solidFill>
            <a:ln>
              <a:noFill/>
            </a:ln>
            <a:effectLst>
              <a:outerShdw blurRad="57150" dist="19050" dir="5400000" algn="ctr" rotWithShape="0">
                <a:srgbClr val="000000">
                  <a:alpha val="63000"/>
                </a:srgbClr>
              </a:outerShdw>
            </a:effectLst>
          </c:spPr>
          <c:invertIfNegative val="0"/>
          <c:dLbls>
            <c:dLbl>
              <c:idx val="1"/>
              <c:layout>
                <c:manualLayout>
                  <c:x val="4.4958183274359485E-2"/>
                  <c:y val="-3.90606892827618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159-43E8-B43F-2CA1E7D31F4F}"/>
                </c:ext>
              </c:extLst>
            </c:dLbl>
            <c:dLbl>
              <c:idx val="2"/>
              <c:delete val="1"/>
              <c:extLst>
                <c:ext xmlns:c15="http://schemas.microsoft.com/office/drawing/2012/chart" uri="{CE6537A1-D6FC-4f65-9D91-7224C49458BB}"/>
                <c:ext xmlns:c16="http://schemas.microsoft.com/office/drawing/2014/chart" uri="{C3380CC4-5D6E-409C-BE32-E72D297353CC}">
                  <c16:uniqueId val="{00000018-2159-43E8-B43F-2CA1E7D31F4F}"/>
                </c:ext>
              </c:extLst>
            </c:dLbl>
            <c:dLbl>
              <c:idx val="3"/>
              <c:layout>
                <c:manualLayout>
                  <c:x val="6.2111413938216994E-2"/>
                  <c:y val="-9.486167397242167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159-43E8-B43F-2CA1E7D31F4F}"/>
                </c:ext>
              </c:extLst>
            </c:dLbl>
            <c:spPr>
              <a:noFill/>
              <a:ln>
                <a:noFill/>
              </a:ln>
              <a:effectLst/>
            </c:spPr>
            <c:txPr>
              <a:bodyPr rot="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Analytics!$A$231:$A$238</c15:sqref>
                  </c15:fullRef>
                </c:ext>
              </c:extLst>
              <c:f>Analytics!$A$233:$A$236</c:f>
              <c:strCache>
                <c:ptCount val="4"/>
                <c:pt idx="0">
                  <c:v>International</c:v>
                </c:pt>
                <c:pt idx="1">
                  <c:v>Regional</c:v>
                </c:pt>
                <c:pt idx="2">
                  <c:v>Bilateral</c:v>
                </c:pt>
                <c:pt idx="3">
                  <c:v>National Trading Scheme</c:v>
                </c:pt>
              </c:strCache>
            </c:strRef>
          </c:cat>
          <c:val>
            <c:numRef>
              <c:extLst>
                <c:ext xmlns:c15="http://schemas.microsoft.com/office/drawing/2012/chart" uri="{02D57815-91ED-43cb-92C2-25804820EDAC}">
                  <c15:fullRef>
                    <c15:sqref>Analytics!$C$231:$C$238</c15:sqref>
                  </c15:fullRef>
                </c:ext>
              </c:extLst>
              <c:f>Analytics!$C$233:$C$236</c:f>
              <c:numCache>
                <c:formatCode>General</c:formatCode>
                <c:ptCount val="4"/>
                <c:pt idx="0">
                  <c:v>11</c:v>
                </c:pt>
                <c:pt idx="1">
                  <c:v>2</c:v>
                </c:pt>
                <c:pt idx="2">
                  <c:v>5</c:v>
                </c:pt>
                <c:pt idx="3">
                  <c:v>1</c:v>
                </c:pt>
              </c:numCache>
            </c:numRef>
          </c:val>
          <c:extLst>
            <c:ext xmlns:c16="http://schemas.microsoft.com/office/drawing/2014/chart" uri="{C3380CC4-5D6E-409C-BE32-E72D297353CC}">
              <c16:uniqueId val="{0000001A-2159-43E8-B43F-2CA1E7D31F4F}"/>
            </c:ext>
          </c:extLst>
        </c:ser>
        <c:ser>
          <c:idx val="0"/>
          <c:order val="7"/>
          <c:tx>
            <c:strRef>
              <c:f>Analytics!$B$229</c:f>
              <c:strCache>
                <c:ptCount val="1"/>
                <c:pt idx="0">
                  <c:v>Asia</c:v>
                </c:pt>
              </c:strCache>
            </c:strRef>
          </c:tx>
          <c:spPr>
            <a:solidFill>
              <a:srgbClr val="FFC000"/>
            </a:solidFill>
            <a:ln>
              <a:noFill/>
            </a:ln>
            <a:effectLst>
              <a:outerShdw blurRad="57150" dist="19050" dir="5400000" algn="ctr" rotWithShape="0">
                <a:srgbClr val="000000">
                  <a:alpha val="63000"/>
                </a:srgbClr>
              </a:outerShdw>
            </a:effectLst>
          </c:spPr>
          <c:invertIfNegative val="0"/>
          <c:dLbls>
            <c:dLbl>
              <c:idx val="1"/>
              <c:layout>
                <c:manualLayout>
                  <c:x val="2.6354797091865882E-2"/>
                  <c:y val="-5.02208862206938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159-43E8-B43F-2CA1E7D31F4F}"/>
                </c:ext>
              </c:extLst>
            </c:dLbl>
            <c:dLbl>
              <c:idx val="2"/>
              <c:layout>
                <c:manualLayout>
                  <c:x val="5.2709594183731764E-2"/>
                  <c:y val="-5.30109354551768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159-43E8-B43F-2CA1E7D31F4F}"/>
                </c:ext>
              </c:extLst>
            </c:dLbl>
            <c:dLbl>
              <c:idx val="3"/>
              <c:layout>
                <c:manualLayout>
                  <c:x val="6.2111413938216994E-2"/>
                  <c:y val="-0.11160196937931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159-43E8-B43F-2CA1E7D31F4F}"/>
                </c:ext>
              </c:extLst>
            </c:dLbl>
            <c:spPr>
              <a:noFill/>
              <a:ln>
                <a:noFill/>
              </a:ln>
              <a:effectLst/>
            </c:spPr>
            <c:txPr>
              <a:bodyPr rot="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Analytics!$A$231:$A$238</c15:sqref>
                  </c15:fullRef>
                </c:ext>
              </c:extLst>
              <c:f>Analytics!$A$233:$A$236</c:f>
              <c:strCache>
                <c:ptCount val="4"/>
                <c:pt idx="0">
                  <c:v>International</c:v>
                </c:pt>
                <c:pt idx="1">
                  <c:v>Regional</c:v>
                </c:pt>
                <c:pt idx="2">
                  <c:v>Bilateral</c:v>
                </c:pt>
                <c:pt idx="3">
                  <c:v>National Trading Scheme</c:v>
                </c:pt>
              </c:strCache>
            </c:strRef>
          </c:cat>
          <c:val>
            <c:numRef>
              <c:extLst>
                <c:ext xmlns:c15="http://schemas.microsoft.com/office/drawing/2012/chart" uri="{02D57815-91ED-43cb-92C2-25804820EDAC}">
                  <c15:fullRef>
                    <c15:sqref>Analytics!$B$231:$B$238</c15:sqref>
                  </c15:fullRef>
                </c:ext>
              </c:extLst>
              <c:f>Analytics!$B$233:$B$236</c:f>
              <c:numCache>
                <c:formatCode>General</c:formatCode>
                <c:ptCount val="4"/>
                <c:pt idx="0">
                  <c:v>16</c:v>
                </c:pt>
                <c:pt idx="1">
                  <c:v>4</c:v>
                </c:pt>
                <c:pt idx="2">
                  <c:v>9</c:v>
                </c:pt>
                <c:pt idx="3">
                  <c:v>4</c:v>
                </c:pt>
              </c:numCache>
            </c:numRef>
          </c:val>
          <c:extLst>
            <c:ext xmlns:c16="http://schemas.microsoft.com/office/drawing/2014/chart" uri="{C3380CC4-5D6E-409C-BE32-E72D297353CC}">
              <c16:uniqueId val="{0000001E-2159-43E8-B43F-2CA1E7D31F4F}"/>
            </c:ext>
          </c:extLst>
        </c:ser>
        <c:dLbls>
          <c:dLblPos val="ctr"/>
          <c:showLegendKey val="0"/>
          <c:showVal val="1"/>
          <c:showCatName val="0"/>
          <c:showSerName val="0"/>
          <c:showPercent val="0"/>
          <c:showBubbleSize val="0"/>
        </c:dLbls>
        <c:gapWidth val="150"/>
        <c:overlap val="100"/>
        <c:axId val="257693376"/>
        <c:axId val="257693936"/>
        <c:extLst>
          <c:ext xmlns:c15="http://schemas.microsoft.com/office/drawing/2012/chart" uri="{02D57815-91ED-43cb-92C2-25804820EDAC}">
            <c15:filteredBarSeries>
              <c15:ser>
                <c:idx val="8"/>
                <c:order val="8"/>
                <c:tx>
                  <c:strRef>
                    <c:extLst>
                      <c:ext uri="{02D57815-91ED-43cb-92C2-25804820EDAC}">
                        <c15:formulaRef>
                          <c15:sqref>Analytics!$J$229</c15:sqref>
                        </c15:formulaRef>
                      </c:ext>
                    </c:extLst>
                    <c:strCache>
                      <c:ptCount val="1"/>
                      <c:pt idx="0">
                        <c:v>Total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Analytics!$A$231:$A$238</c15:sqref>
                        </c15:fullRef>
                        <c15:formulaRef>
                          <c15:sqref>Analytics!$A$233:$A$236</c15:sqref>
                        </c15:formulaRef>
                      </c:ext>
                    </c:extLst>
                    <c:strCache>
                      <c:ptCount val="4"/>
                      <c:pt idx="0">
                        <c:v>International</c:v>
                      </c:pt>
                      <c:pt idx="1">
                        <c:v>Regional</c:v>
                      </c:pt>
                      <c:pt idx="2">
                        <c:v>Bilateral</c:v>
                      </c:pt>
                      <c:pt idx="3">
                        <c:v>National Trading Scheme</c:v>
                      </c:pt>
                    </c:strCache>
                  </c:strRef>
                </c:cat>
                <c:val>
                  <c:numRef>
                    <c:extLst>
                      <c:ext uri="{02D57815-91ED-43cb-92C2-25804820EDAC}">
                        <c15:fullRef>
                          <c15:sqref>Analytics!$J$231:$J$238</c15:sqref>
                        </c15:fullRef>
                        <c15:formulaRef>
                          <c15:sqref>Analytics!$J$233:$J$236</c15:sqref>
                        </c15:formulaRef>
                      </c:ext>
                    </c:extLst>
                    <c:numCache>
                      <c:formatCode>General</c:formatCode>
                      <c:ptCount val="4"/>
                      <c:pt idx="0">
                        <c:v>94</c:v>
                      </c:pt>
                      <c:pt idx="1">
                        <c:v>25</c:v>
                      </c:pt>
                      <c:pt idx="2">
                        <c:v>35</c:v>
                      </c:pt>
                      <c:pt idx="3">
                        <c:v>47</c:v>
                      </c:pt>
                    </c:numCache>
                  </c:numRef>
                </c:val>
                <c:extLst>
                  <c:ext xmlns:c16="http://schemas.microsoft.com/office/drawing/2014/chart" uri="{C3380CC4-5D6E-409C-BE32-E72D297353CC}">
                    <c16:uniqueId val="{0000001F-2159-43E8-B43F-2CA1E7D31F4F}"/>
                  </c:ext>
                </c:extLst>
              </c15:ser>
            </c15:filteredBarSeries>
          </c:ext>
        </c:extLst>
      </c:barChart>
      <c:catAx>
        <c:axId val="257693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100" b="0" i="0" u="none" strike="noStrike" kern="1200" baseline="0">
                <a:solidFill>
                  <a:schemeClr val="tx1">
                    <a:lumMod val="85000"/>
                    <a:lumOff val="15000"/>
                  </a:schemeClr>
                </a:solidFill>
                <a:latin typeface="+mn-lt"/>
                <a:ea typeface="+mn-ea"/>
                <a:cs typeface="+mn-cs"/>
              </a:defRPr>
            </a:pPr>
            <a:endParaRPr lang="ja-JP"/>
          </a:p>
        </c:txPr>
        <c:crossAx val="257693936"/>
        <c:crosses val="autoZero"/>
        <c:auto val="1"/>
        <c:lblAlgn val="ctr"/>
        <c:lblOffset val="100"/>
        <c:noMultiLvlLbl val="0"/>
      </c:catAx>
      <c:valAx>
        <c:axId val="25769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r>
                  <a:rPr lang="en-GB"/>
                  <a:t>Number of Countries</a:t>
                </a:r>
              </a:p>
            </c:rich>
          </c:tx>
          <c:layout>
            <c:manualLayout>
              <c:xMode val="edge"/>
              <c:yMode val="edge"/>
              <c:x val="1.4005978628803546E-3"/>
              <c:y val="0.23841445960886032"/>
            </c:manualLayout>
          </c:layout>
          <c:overlay val="0"/>
          <c:spPr>
            <a:noFill/>
            <a:ln>
              <a:noFill/>
            </a:ln>
            <a:effectLst/>
          </c:spPr>
          <c:txPr>
            <a:bodyPr rot="-5400000" spcFirstLastPara="1" vertOverflow="ellipsis" vert="horz" wrap="square" anchor="ctr" anchorCtr="1"/>
            <a:lstStyle/>
            <a:p>
              <a:pPr>
                <a:defRPr lang="ja-JP" sz="1200" b="0" i="0" u="none" strike="noStrike" kern="1200" baseline="0">
                  <a:solidFill>
                    <a:schemeClr val="tx1">
                      <a:lumMod val="85000"/>
                      <a:lumOff val="1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100" b="0" i="0" u="none" strike="noStrike" kern="1200" baseline="0">
                <a:solidFill>
                  <a:schemeClr val="tx1">
                    <a:lumMod val="85000"/>
                    <a:lumOff val="15000"/>
                  </a:schemeClr>
                </a:solidFill>
                <a:latin typeface="+mn-lt"/>
                <a:ea typeface="+mn-ea"/>
                <a:cs typeface="+mn-cs"/>
              </a:defRPr>
            </a:pPr>
            <a:endParaRPr lang="ja-JP"/>
          </a:p>
        </c:txPr>
        <c:crossAx val="257693376"/>
        <c:crosses val="autoZero"/>
        <c:crossBetween val="between"/>
      </c:valAx>
      <c:spPr>
        <a:noFill/>
        <a:ln>
          <a:noFill/>
        </a:ln>
        <a:effectLst/>
      </c:spPr>
    </c:plotArea>
    <c:legend>
      <c:legendPos val="r"/>
      <c:layout>
        <c:manualLayout>
          <c:xMode val="edge"/>
          <c:yMode val="edge"/>
          <c:x val="0.7629953607150457"/>
          <c:y val="0.11390763270535695"/>
          <c:w val="0.22771436952225863"/>
          <c:h val="0.792496296187292"/>
        </c:manualLayout>
      </c:layout>
      <c:overlay val="0"/>
      <c:spPr>
        <a:noFill/>
        <a:ln>
          <a:noFill/>
        </a:ln>
        <a:effectLst/>
      </c:spPr>
      <c:txPr>
        <a:bodyPr rot="0" spcFirstLastPara="1" vertOverflow="ellipsis" vert="horz" wrap="square" anchor="ctr" anchorCtr="1"/>
        <a:lstStyle/>
        <a:p>
          <a:pPr>
            <a:defRPr lang="ja-JP" sz="1100" b="0" i="0" u="none" strike="noStrike" kern="1200" baseline="0">
              <a:solidFill>
                <a:schemeClr val="tx1">
                  <a:lumMod val="85000"/>
                  <a:lumOff val="1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lumMod val="85000"/>
              <a:lumOff val="15000"/>
            </a:schemeClr>
          </a:solidFill>
        </a:defRPr>
      </a:pPr>
      <a:endParaRPr lang="ja-JP"/>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01519729941566E-2"/>
          <c:y val="5.348081208000071E-2"/>
          <c:w val="0.50949130822318156"/>
          <c:h val="0.87500004438565815"/>
        </c:manualLayout>
      </c:layout>
      <c:doughnutChart>
        <c:varyColors val="1"/>
        <c:ser>
          <c:idx val="0"/>
          <c:order val="0"/>
          <c:dPt>
            <c:idx val="0"/>
            <c:bubble3D val="0"/>
            <c:spPr>
              <a:solidFill>
                <a:srgbClr val="75B1A9"/>
              </a:solidFill>
              <a:ln w="19050">
                <a:solidFill>
                  <a:schemeClr val="lt1"/>
                </a:solidFill>
              </a:ln>
              <a:effectLst/>
            </c:spPr>
            <c:extLst>
              <c:ext xmlns:c16="http://schemas.microsoft.com/office/drawing/2014/chart" uri="{C3380CC4-5D6E-409C-BE32-E72D297353CC}">
                <c16:uniqueId val="{00000001-EDD4-476B-A89A-33163CD69C0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DD4-476B-A89A-33163CD69C08}"/>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EDD4-476B-A89A-33163CD69C0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Analytics!$A$169:$A$171</c:f>
              <c:strCache>
                <c:ptCount val="3"/>
                <c:pt idx="0">
                  <c:v>Single year target</c:v>
                </c:pt>
                <c:pt idx="1">
                  <c:v>Multi-year target (budget type)</c:v>
                </c:pt>
                <c:pt idx="2">
                  <c:v>Unspecified target year</c:v>
                </c:pt>
              </c:strCache>
            </c:strRef>
          </c:cat>
          <c:val>
            <c:numRef>
              <c:f>Analytics!$J$169:$J$171</c:f>
              <c:numCache>
                <c:formatCode>General</c:formatCode>
                <c:ptCount val="3"/>
                <c:pt idx="0">
                  <c:v>167</c:v>
                </c:pt>
                <c:pt idx="1">
                  <c:v>9</c:v>
                </c:pt>
                <c:pt idx="2">
                  <c:v>18</c:v>
                </c:pt>
              </c:numCache>
            </c:numRef>
          </c:val>
          <c:extLst>
            <c:ext xmlns:c16="http://schemas.microsoft.com/office/drawing/2014/chart" uri="{C3380CC4-5D6E-409C-BE32-E72D297353CC}">
              <c16:uniqueId val="{00000006-EDD4-476B-A89A-33163CD69C0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543001743172816"/>
          <c:y val="0.11438255111008531"/>
          <c:w val="0.28618923731899154"/>
          <c:h val="0.6449662225141811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314960</xdr:colOff>
      <xdr:row>0</xdr:row>
      <xdr:rowOff>79163</xdr:rowOff>
    </xdr:from>
    <xdr:to>
      <xdr:col>5</xdr:col>
      <xdr:colOff>1241454</xdr:colOff>
      <xdr:row>0</xdr:row>
      <xdr:rowOff>3316605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845" b="14522"/>
        <a:stretch/>
      </xdr:blipFill>
      <xdr:spPr>
        <a:xfrm>
          <a:off x="1886585" y="79163"/>
          <a:ext cx="6163339" cy="32374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252399</xdr:colOff>
      <xdr:row>97</xdr:row>
      <xdr:rowOff>0</xdr:rowOff>
    </xdr:from>
    <xdr:to>
      <xdr:col>0</xdr:col>
      <xdr:colOff>800387</xdr:colOff>
      <xdr:row>97</xdr:row>
      <xdr:rowOff>0</xdr:rowOff>
    </xdr:to>
    <xdr:pic>
      <xdr:nvPicPr>
        <xdr:cNvPr id="114" name="Picture 113" descr="Flag of Iceland">
          <a:extLst>
            <a:ext uri="{FF2B5EF4-FFF2-40B4-BE49-F238E27FC236}">
              <a16:creationId xmlns:a16="http://schemas.microsoft.com/office/drawing/2014/main" id="{00000000-0008-0000-01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399" y="98845283"/>
          <a:ext cx="547988" cy="317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234328</xdr:colOff>
      <xdr:row>27</xdr:row>
      <xdr:rowOff>0</xdr:rowOff>
    </xdr:from>
    <xdr:to>
      <xdr:col>0</xdr:col>
      <xdr:colOff>774375</xdr:colOff>
      <xdr:row>27</xdr:row>
      <xdr:rowOff>0</xdr:rowOff>
    </xdr:to>
    <xdr:pic>
      <xdr:nvPicPr>
        <xdr:cNvPr id="128" name="Picture 127" descr="Flag of Bulgaria">
          <a:extLst>
            <a:ext uri="{FF2B5EF4-FFF2-40B4-BE49-F238E27FC236}">
              <a16:creationId xmlns:a16="http://schemas.microsoft.com/office/drawing/2014/main" id="{00000000-0008-0000-0100-00008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4328" y="33469392"/>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202578</xdr:colOff>
      <xdr:row>46</xdr:row>
      <xdr:rowOff>0</xdr:rowOff>
    </xdr:from>
    <xdr:to>
      <xdr:col>0</xdr:col>
      <xdr:colOff>742625</xdr:colOff>
      <xdr:row>46</xdr:row>
      <xdr:rowOff>0</xdr:rowOff>
    </xdr:to>
    <xdr:pic>
      <xdr:nvPicPr>
        <xdr:cNvPr id="129" name="Picture 128" descr="Flag of Cyprus">
          <a:extLst>
            <a:ext uri="{FF2B5EF4-FFF2-40B4-BE49-F238E27FC236}">
              <a16:creationId xmlns:a16="http://schemas.microsoft.com/office/drawing/2014/main" id="{00000000-0008-0000-0100-00008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2578" y="58629086"/>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246155</xdr:colOff>
      <xdr:row>43</xdr:row>
      <xdr:rowOff>0</xdr:rowOff>
    </xdr:from>
    <xdr:to>
      <xdr:col>0</xdr:col>
      <xdr:colOff>786202</xdr:colOff>
      <xdr:row>43</xdr:row>
      <xdr:rowOff>0</xdr:rowOff>
    </xdr:to>
    <xdr:pic>
      <xdr:nvPicPr>
        <xdr:cNvPr id="130" name="Picture 129" descr="Flag of Croatia">
          <a:extLst>
            <a:ext uri="{FF2B5EF4-FFF2-40B4-BE49-F238E27FC236}">
              <a16:creationId xmlns:a16="http://schemas.microsoft.com/office/drawing/2014/main" id="{00000000-0008-0000-0100-00008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6155" y="56755839"/>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214220</xdr:colOff>
      <xdr:row>46</xdr:row>
      <xdr:rowOff>0</xdr:rowOff>
    </xdr:from>
    <xdr:to>
      <xdr:col>0</xdr:col>
      <xdr:colOff>754267</xdr:colOff>
      <xdr:row>46</xdr:row>
      <xdr:rowOff>0</xdr:rowOff>
    </xdr:to>
    <xdr:pic>
      <xdr:nvPicPr>
        <xdr:cNvPr id="132" name="Picture 131" descr="Flag of Denmark">
          <a:extLst>
            <a:ext uri="{FF2B5EF4-FFF2-40B4-BE49-F238E27FC236}">
              <a16:creationId xmlns:a16="http://schemas.microsoft.com/office/drawing/2014/main" id="{00000000-0008-0000-0100-00008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9220" y="179030565"/>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280024</xdr:colOff>
      <xdr:row>55</xdr:row>
      <xdr:rowOff>0</xdr:rowOff>
    </xdr:from>
    <xdr:to>
      <xdr:col>0</xdr:col>
      <xdr:colOff>820071</xdr:colOff>
      <xdr:row>55</xdr:row>
      <xdr:rowOff>0</xdr:rowOff>
    </xdr:to>
    <xdr:pic>
      <xdr:nvPicPr>
        <xdr:cNvPr id="133" name="Picture 132" descr="Flag of Estonia">
          <a:extLst>
            <a:ext uri="{FF2B5EF4-FFF2-40B4-BE49-F238E27FC236}">
              <a16:creationId xmlns:a16="http://schemas.microsoft.com/office/drawing/2014/main" id="{00000000-0008-0000-0100-000085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0024" y="73440214"/>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288926</xdr:colOff>
      <xdr:row>85</xdr:row>
      <xdr:rowOff>0</xdr:rowOff>
    </xdr:from>
    <xdr:to>
      <xdr:col>0</xdr:col>
      <xdr:colOff>828973</xdr:colOff>
      <xdr:row>85</xdr:row>
      <xdr:rowOff>0</xdr:rowOff>
    </xdr:to>
    <xdr:pic>
      <xdr:nvPicPr>
        <xdr:cNvPr id="135" name="Picture 134" descr="Flag of France">
          <a:extLst>
            <a:ext uri="{FF2B5EF4-FFF2-40B4-BE49-F238E27FC236}">
              <a16:creationId xmlns:a16="http://schemas.microsoft.com/office/drawing/2014/main" id="{00000000-0008-0000-0100-000087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88926" y="81132241"/>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234950</xdr:colOff>
      <xdr:row>97</xdr:row>
      <xdr:rowOff>0</xdr:rowOff>
    </xdr:from>
    <xdr:to>
      <xdr:col>0</xdr:col>
      <xdr:colOff>774997</xdr:colOff>
      <xdr:row>97</xdr:row>
      <xdr:rowOff>0</xdr:rowOff>
    </xdr:to>
    <xdr:pic>
      <xdr:nvPicPr>
        <xdr:cNvPr id="138" name="Picture 137" descr="Flag of Hungary">
          <a:extLst>
            <a:ext uri="{FF2B5EF4-FFF2-40B4-BE49-F238E27FC236}">
              <a16:creationId xmlns:a16="http://schemas.microsoft.com/office/drawing/2014/main" id="{00000000-0008-0000-0100-00008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4950" y="98065077"/>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234329</xdr:colOff>
      <xdr:row>102</xdr:row>
      <xdr:rowOff>0</xdr:rowOff>
    </xdr:from>
    <xdr:to>
      <xdr:col>0</xdr:col>
      <xdr:colOff>774376</xdr:colOff>
      <xdr:row>102</xdr:row>
      <xdr:rowOff>0</xdr:rowOff>
    </xdr:to>
    <xdr:pic>
      <xdr:nvPicPr>
        <xdr:cNvPr id="140" name="Picture 139" descr="Flag of Italy">
          <a:extLst>
            <a:ext uri="{FF2B5EF4-FFF2-40B4-BE49-F238E27FC236}">
              <a16:creationId xmlns:a16="http://schemas.microsoft.com/office/drawing/2014/main" id="{00000000-0008-0000-0100-00008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34329" y="107482375"/>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246157</xdr:colOff>
      <xdr:row>111</xdr:row>
      <xdr:rowOff>0</xdr:rowOff>
    </xdr:from>
    <xdr:to>
      <xdr:col>0</xdr:col>
      <xdr:colOff>786204</xdr:colOff>
      <xdr:row>111</xdr:row>
      <xdr:rowOff>0</xdr:rowOff>
    </xdr:to>
    <xdr:pic>
      <xdr:nvPicPr>
        <xdr:cNvPr id="141" name="Picture 140" descr="Flag of Latvia">
          <a:extLst>
            <a:ext uri="{FF2B5EF4-FFF2-40B4-BE49-F238E27FC236}">
              <a16:creationId xmlns:a16="http://schemas.microsoft.com/office/drawing/2014/main" id="{00000000-0008-0000-0100-00008D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6157" y="123227263"/>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287245</xdr:colOff>
      <xdr:row>153</xdr:row>
      <xdr:rowOff>0</xdr:rowOff>
    </xdr:from>
    <xdr:to>
      <xdr:col>0</xdr:col>
      <xdr:colOff>827292</xdr:colOff>
      <xdr:row>153</xdr:row>
      <xdr:rowOff>0</xdr:rowOff>
    </xdr:to>
    <xdr:pic>
      <xdr:nvPicPr>
        <xdr:cNvPr id="148" name="Picture 147" descr="Flag of Romania">
          <a:extLst>
            <a:ext uri="{FF2B5EF4-FFF2-40B4-BE49-F238E27FC236}">
              <a16:creationId xmlns:a16="http://schemas.microsoft.com/office/drawing/2014/main" id="{00000000-0008-0000-0100-00009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87245" y="145603543"/>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215901</xdr:colOff>
      <xdr:row>167</xdr:row>
      <xdr:rowOff>0</xdr:rowOff>
    </xdr:from>
    <xdr:to>
      <xdr:col>0</xdr:col>
      <xdr:colOff>755948</xdr:colOff>
      <xdr:row>167</xdr:row>
      <xdr:rowOff>0</xdr:rowOff>
    </xdr:to>
    <xdr:pic>
      <xdr:nvPicPr>
        <xdr:cNvPr id="150" name="Picture 149" descr="Flag of Slovenia">
          <a:extLst>
            <a:ext uri="{FF2B5EF4-FFF2-40B4-BE49-F238E27FC236}">
              <a16:creationId xmlns:a16="http://schemas.microsoft.com/office/drawing/2014/main" id="{00000000-0008-0000-0100-000096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50901" y="197931963"/>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268195</xdr:colOff>
      <xdr:row>171</xdr:row>
      <xdr:rowOff>0</xdr:rowOff>
    </xdr:from>
    <xdr:to>
      <xdr:col>0</xdr:col>
      <xdr:colOff>808242</xdr:colOff>
      <xdr:row>171</xdr:row>
      <xdr:rowOff>0</xdr:rowOff>
    </xdr:to>
    <xdr:pic>
      <xdr:nvPicPr>
        <xdr:cNvPr id="151" name="Picture 150" descr="Flag of Spain">
          <a:extLst>
            <a:ext uri="{FF2B5EF4-FFF2-40B4-BE49-F238E27FC236}">
              <a16:creationId xmlns:a16="http://schemas.microsoft.com/office/drawing/2014/main" id="{00000000-0008-0000-0100-000097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68195" y="171563588"/>
          <a:ext cx="540047" cy="30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276039</xdr:colOff>
      <xdr:row>175</xdr:row>
      <xdr:rowOff>0</xdr:rowOff>
    </xdr:from>
    <xdr:to>
      <xdr:col>0</xdr:col>
      <xdr:colOff>816086</xdr:colOff>
      <xdr:row>175</xdr:row>
      <xdr:rowOff>0</xdr:rowOff>
    </xdr:to>
    <xdr:pic>
      <xdr:nvPicPr>
        <xdr:cNvPr id="152" name="Picture 151" descr="Flag of Sweden">
          <a:extLst>
            <a:ext uri="{FF2B5EF4-FFF2-40B4-BE49-F238E27FC236}">
              <a16:creationId xmlns:a16="http://schemas.microsoft.com/office/drawing/2014/main" id="{00000000-0008-0000-0100-000098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76039" y="178602192"/>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252571</xdr:colOff>
      <xdr:row>192</xdr:row>
      <xdr:rowOff>0</xdr:rowOff>
    </xdr:from>
    <xdr:to>
      <xdr:col>0</xdr:col>
      <xdr:colOff>792618</xdr:colOff>
      <xdr:row>192</xdr:row>
      <xdr:rowOff>0</xdr:rowOff>
    </xdr:to>
    <xdr:pic>
      <xdr:nvPicPr>
        <xdr:cNvPr id="153" name="Picture 152" descr="Flag of United Kingdom">
          <a:extLst>
            <a:ext uri="{FF2B5EF4-FFF2-40B4-BE49-F238E27FC236}">
              <a16:creationId xmlns:a16="http://schemas.microsoft.com/office/drawing/2014/main" id="{00000000-0008-0000-0100-000099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52571" y="200523389"/>
          <a:ext cx="540047" cy="31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55</xdr:col>
      <xdr:colOff>44451</xdr:colOff>
      <xdr:row>42</xdr:row>
      <xdr:rowOff>0</xdr:rowOff>
    </xdr:from>
    <xdr:to>
      <xdr:col>55</xdr:col>
      <xdr:colOff>284861</xdr:colOff>
      <xdr:row>42</xdr:row>
      <xdr:rowOff>250329</xdr:rowOff>
    </xdr:to>
    <xdr:sp macro="" textlink="">
      <xdr:nvSpPr>
        <xdr:cNvPr id="2231" name="AutoShape 183" descr="Image result for cook islands flag">
          <a:extLst>
            <a:ext uri="{FF2B5EF4-FFF2-40B4-BE49-F238E27FC236}">
              <a16:creationId xmlns:a16="http://schemas.microsoft.com/office/drawing/2014/main" id="{00000000-0008-0000-0100-0000B7080000}"/>
            </a:ext>
          </a:extLst>
        </xdr:cNvPr>
        <xdr:cNvSpPr>
          <a:spLocks noChangeAspect="1" noChangeArrowheads="1"/>
        </xdr:cNvSpPr>
      </xdr:nvSpPr>
      <xdr:spPr bwMode="auto">
        <a:xfrm>
          <a:off x="43859451" y="281072167"/>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55</xdr:col>
      <xdr:colOff>44451</xdr:colOff>
      <xdr:row>42</xdr:row>
      <xdr:rowOff>0</xdr:rowOff>
    </xdr:from>
    <xdr:to>
      <xdr:col>55</xdr:col>
      <xdr:colOff>284861</xdr:colOff>
      <xdr:row>42</xdr:row>
      <xdr:rowOff>250329</xdr:rowOff>
    </xdr:to>
    <xdr:sp macro="" textlink="">
      <xdr:nvSpPr>
        <xdr:cNvPr id="2232" name="AutoShape 184" descr="Image result for cook islands flag">
          <a:extLst>
            <a:ext uri="{FF2B5EF4-FFF2-40B4-BE49-F238E27FC236}">
              <a16:creationId xmlns:a16="http://schemas.microsoft.com/office/drawing/2014/main" id="{00000000-0008-0000-0100-0000B8080000}"/>
            </a:ext>
          </a:extLst>
        </xdr:cNvPr>
        <xdr:cNvSpPr>
          <a:spLocks noChangeAspect="1" noChangeArrowheads="1"/>
        </xdr:cNvSpPr>
      </xdr:nvSpPr>
      <xdr:spPr bwMode="auto">
        <a:xfrm>
          <a:off x="43859451" y="281072167"/>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55</xdr:col>
      <xdr:colOff>44451</xdr:colOff>
      <xdr:row>142</xdr:row>
      <xdr:rowOff>0</xdr:rowOff>
    </xdr:from>
    <xdr:to>
      <xdr:col>55</xdr:col>
      <xdr:colOff>284861</xdr:colOff>
      <xdr:row>142</xdr:row>
      <xdr:rowOff>250329</xdr:rowOff>
    </xdr:to>
    <xdr:sp macro="" textlink="">
      <xdr:nvSpPr>
        <xdr:cNvPr id="2242" name="AutoShape 194" descr="Image result for niue flag">
          <a:extLst>
            <a:ext uri="{FF2B5EF4-FFF2-40B4-BE49-F238E27FC236}">
              <a16:creationId xmlns:a16="http://schemas.microsoft.com/office/drawing/2014/main" id="{00000000-0008-0000-0100-0000C2080000}"/>
            </a:ext>
          </a:extLst>
        </xdr:cNvPr>
        <xdr:cNvSpPr>
          <a:spLocks noChangeAspect="1" noChangeArrowheads="1"/>
        </xdr:cNvSpPr>
      </xdr:nvSpPr>
      <xdr:spPr bwMode="auto">
        <a:xfrm>
          <a:off x="43859451" y="29166608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55</xdr:col>
      <xdr:colOff>44451</xdr:colOff>
      <xdr:row>145</xdr:row>
      <xdr:rowOff>0</xdr:rowOff>
    </xdr:from>
    <xdr:to>
      <xdr:col>55</xdr:col>
      <xdr:colOff>284861</xdr:colOff>
      <xdr:row>145</xdr:row>
      <xdr:rowOff>250329</xdr:rowOff>
    </xdr:to>
    <xdr:sp macro="" textlink="">
      <xdr:nvSpPr>
        <xdr:cNvPr id="2243" name="AutoShape 195" descr="Image result for niue flag">
          <a:extLst>
            <a:ext uri="{FF2B5EF4-FFF2-40B4-BE49-F238E27FC236}">
              <a16:creationId xmlns:a16="http://schemas.microsoft.com/office/drawing/2014/main" id="{00000000-0008-0000-0100-0000C3080000}"/>
            </a:ext>
          </a:extLst>
        </xdr:cNvPr>
        <xdr:cNvSpPr>
          <a:spLocks noChangeAspect="1" noChangeArrowheads="1"/>
        </xdr:cNvSpPr>
      </xdr:nvSpPr>
      <xdr:spPr bwMode="auto">
        <a:xfrm>
          <a:off x="43859451" y="2929572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55</xdr:col>
      <xdr:colOff>44451</xdr:colOff>
      <xdr:row>148</xdr:row>
      <xdr:rowOff>0</xdr:rowOff>
    </xdr:from>
    <xdr:to>
      <xdr:col>55</xdr:col>
      <xdr:colOff>284861</xdr:colOff>
      <xdr:row>148</xdr:row>
      <xdr:rowOff>250329</xdr:rowOff>
    </xdr:to>
    <xdr:sp macro="" textlink="">
      <xdr:nvSpPr>
        <xdr:cNvPr id="2246" name="AutoShape 198" descr="https://upload.wikimedia.org/wikipedia/commons/0/01/Flag_of_Niue.svg">
          <a:extLst>
            <a:ext uri="{FF2B5EF4-FFF2-40B4-BE49-F238E27FC236}">
              <a16:creationId xmlns:a16="http://schemas.microsoft.com/office/drawing/2014/main" id="{00000000-0008-0000-0100-0000C6080000}"/>
            </a:ext>
          </a:extLst>
        </xdr:cNvPr>
        <xdr:cNvSpPr>
          <a:spLocks noChangeAspect="1" noChangeArrowheads="1"/>
        </xdr:cNvSpPr>
      </xdr:nvSpPr>
      <xdr:spPr bwMode="auto">
        <a:xfrm>
          <a:off x="43859451" y="294470667"/>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55</xdr:col>
      <xdr:colOff>44451</xdr:colOff>
      <xdr:row>148</xdr:row>
      <xdr:rowOff>0</xdr:rowOff>
    </xdr:from>
    <xdr:to>
      <xdr:col>55</xdr:col>
      <xdr:colOff>284861</xdr:colOff>
      <xdr:row>148</xdr:row>
      <xdr:rowOff>250329</xdr:rowOff>
    </xdr:to>
    <xdr:sp macro="" textlink="">
      <xdr:nvSpPr>
        <xdr:cNvPr id="2247" name="AutoShape 199" descr="https://upload.wikimedia.org/wikipedia/commons/0/01/Flag_of_Niue.svg">
          <a:extLst>
            <a:ext uri="{FF2B5EF4-FFF2-40B4-BE49-F238E27FC236}">
              <a16:creationId xmlns:a16="http://schemas.microsoft.com/office/drawing/2014/main" id="{00000000-0008-0000-0100-0000C7080000}"/>
            </a:ext>
          </a:extLst>
        </xdr:cNvPr>
        <xdr:cNvSpPr>
          <a:spLocks noChangeAspect="1" noChangeArrowheads="1"/>
        </xdr:cNvSpPr>
      </xdr:nvSpPr>
      <xdr:spPr bwMode="auto">
        <a:xfrm>
          <a:off x="43859451" y="294470667"/>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56</xdr:col>
      <xdr:colOff>0</xdr:colOff>
      <xdr:row>184</xdr:row>
      <xdr:rowOff>0</xdr:rowOff>
    </xdr:from>
    <xdr:to>
      <xdr:col>56</xdr:col>
      <xdr:colOff>244220</xdr:colOff>
      <xdr:row>184</xdr:row>
      <xdr:rowOff>250329</xdr:rowOff>
    </xdr:to>
    <xdr:sp macro="" textlink="">
      <xdr:nvSpPr>
        <xdr:cNvPr id="263" name="AutoShape 183" descr="Image result for cook islands flag">
          <a:extLst>
            <a:ext uri="{FF2B5EF4-FFF2-40B4-BE49-F238E27FC236}">
              <a16:creationId xmlns:a16="http://schemas.microsoft.com/office/drawing/2014/main" id="{00000000-0008-0000-0100-000007010000}"/>
            </a:ext>
          </a:extLst>
        </xdr:cNvPr>
        <xdr:cNvSpPr>
          <a:spLocks noChangeAspect="1" noChangeArrowheads="1"/>
        </xdr:cNvSpPr>
      </xdr:nvSpPr>
      <xdr:spPr bwMode="auto">
        <a:xfrm>
          <a:off x="56041926" y="28511182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56</xdr:col>
      <xdr:colOff>0</xdr:colOff>
      <xdr:row>184</xdr:row>
      <xdr:rowOff>0</xdr:rowOff>
    </xdr:from>
    <xdr:to>
      <xdr:col>56</xdr:col>
      <xdr:colOff>244220</xdr:colOff>
      <xdr:row>184</xdr:row>
      <xdr:rowOff>250329</xdr:rowOff>
    </xdr:to>
    <xdr:sp macro="" textlink="">
      <xdr:nvSpPr>
        <xdr:cNvPr id="265" name="AutoShape 184" descr="Image result for cook islands flag">
          <a:extLst>
            <a:ext uri="{FF2B5EF4-FFF2-40B4-BE49-F238E27FC236}">
              <a16:creationId xmlns:a16="http://schemas.microsoft.com/office/drawing/2014/main" id="{00000000-0008-0000-0100-000009010000}"/>
            </a:ext>
          </a:extLst>
        </xdr:cNvPr>
        <xdr:cNvSpPr>
          <a:spLocks noChangeAspect="1" noChangeArrowheads="1"/>
        </xdr:cNvSpPr>
      </xdr:nvSpPr>
      <xdr:spPr bwMode="auto">
        <a:xfrm>
          <a:off x="56041926" y="28511182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56</xdr:col>
      <xdr:colOff>0</xdr:colOff>
      <xdr:row>193</xdr:row>
      <xdr:rowOff>0</xdr:rowOff>
    </xdr:from>
    <xdr:to>
      <xdr:col>56</xdr:col>
      <xdr:colOff>244220</xdr:colOff>
      <xdr:row>193</xdr:row>
      <xdr:rowOff>250329</xdr:rowOff>
    </xdr:to>
    <xdr:sp macro="" textlink="">
      <xdr:nvSpPr>
        <xdr:cNvPr id="266" name="AutoShape 194" descr="Image result for niue flag">
          <a:extLst>
            <a:ext uri="{FF2B5EF4-FFF2-40B4-BE49-F238E27FC236}">
              <a16:creationId xmlns:a16="http://schemas.microsoft.com/office/drawing/2014/main" id="{00000000-0008-0000-0100-00000A010000}"/>
            </a:ext>
          </a:extLst>
        </xdr:cNvPr>
        <xdr:cNvSpPr>
          <a:spLocks noChangeAspect="1" noChangeArrowheads="1"/>
        </xdr:cNvSpPr>
      </xdr:nvSpPr>
      <xdr:spPr bwMode="auto">
        <a:xfrm>
          <a:off x="56041926" y="295827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56</xdr:col>
      <xdr:colOff>0</xdr:colOff>
      <xdr:row>194</xdr:row>
      <xdr:rowOff>0</xdr:rowOff>
    </xdr:from>
    <xdr:to>
      <xdr:col>56</xdr:col>
      <xdr:colOff>244220</xdr:colOff>
      <xdr:row>194</xdr:row>
      <xdr:rowOff>250329</xdr:rowOff>
    </xdr:to>
    <xdr:sp macro="" textlink="">
      <xdr:nvSpPr>
        <xdr:cNvPr id="267" name="AutoShape 195" descr="Image result for niue flag">
          <a:extLst>
            <a:ext uri="{FF2B5EF4-FFF2-40B4-BE49-F238E27FC236}">
              <a16:creationId xmlns:a16="http://schemas.microsoft.com/office/drawing/2014/main" id="{00000000-0008-0000-0100-00000B010000}"/>
            </a:ext>
          </a:extLst>
        </xdr:cNvPr>
        <xdr:cNvSpPr>
          <a:spLocks noChangeAspect="1" noChangeArrowheads="1"/>
        </xdr:cNvSpPr>
      </xdr:nvSpPr>
      <xdr:spPr bwMode="auto">
        <a:xfrm>
          <a:off x="56041926" y="29726572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56</xdr:col>
      <xdr:colOff>0</xdr:colOff>
      <xdr:row>195</xdr:row>
      <xdr:rowOff>0</xdr:rowOff>
    </xdr:from>
    <xdr:to>
      <xdr:col>56</xdr:col>
      <xdr:colOff>244220</xdr:colOff>
      <xdr:row>195</xdr:row>
      <xdr:rowOff>250329</xdr:rowOff>
    </xdr:to>
    <xdr:sp macro="" textlink="">
      <xdr:nvSpPr>
        <xdr:cNvPr id="268" name="AutoShape 198" descr="https://upload.wikimedia.org/wikipedia/commons/0/01/Flag_of_Niue.svg">
          <a:extLst>
            <a:ext uri="{FF2B5EF4-FFF2-40B4-BE49-F238E27FC236}">
              <a16:creationId xmlns:a16="http://schemas.microsoft.com/office/drawing/2014/main" id="{00000000-0008-0000-0100-00000C010000}"/>
            </a:ext>
          </a:extLst>
        </xdr:cNvPr>
        <xdr:cNvSpPr>
          <a:spLocks noChangeAspect="1" noChangeArrowheads="1"/>
        </xdr:cNvSpPr>
      </xdr:nvSpPr>
      <xdr:spPr bwMode="auto">
        <a:xfrm>
          <a:off x="56041926" y="29878020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56</xdr:col>
      <xdr:colOff>0</xdr:colOff>
      <xdr:row>195</xdr:row>
      <xdr:rowOff>0</xdr:rowOff>
    </xdr:from>
    <xdr:to>
      <xdr:col>56</xdr:col>
      <xdr:colOff>244220</xdr:colOff>
      <xdr:row>195</xdr:row>
      <xdr:rowOff>250329</xdr:rowOff>
    </xdr:to>
    <xdr:sp macro="" textlink="">
      <xdr:nvSpPr>
        <xdr:cNvPr id="269" name="AutoShape 199" descr="https://upload.wikimedia.org/wikipedia/commons/0/01/Flag_of_Niue.svg">
          <a:extLst>
            <a:ext uri="{FF2B5EF4-FFF2-40B4-BE49-F238E27FC236}">
              <a16:creationId xmlns:a16="http://schemas.microsoft.com/office/drawing/2014/main" id="{00000000-0008-0000-0100-00000D010000}"/>
            </a:ext>
          </a:extLst>
        </xdr:cNvPr>
        <xdr:cNvSpPr>
          <a:spLocks noChangeAspect="1" noChangeArrowheads="1"/>
        </xdr:cNvSpPr>
      </xdr:nvSpPr>
      <xdr:spPr bwMode="auto">
        <a:xfrm>
          <a:off x="56041926" y="29878020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56</xdr:col>
      <xdr:colOff>0</xdr:colOff>
      <xdr:row>174</xdr:row>
      <xdr:rowOff>0</xdr:rowOff>
    </xdr:from>
    <xdr:ext cx="249935" cy="254139"/>
    <xdr:sp macro="" textlink="">
      <xdr:nvSpPr>
        <xdr:cNvPr id="270" name="AutoShape 183" descr="Image result for cook islands flag">
          <a:extLst>
            <a:ext uri="{FF2B5EF4-FFF2-40B4-BE49-F238E27FC236}">
              <a16:creationId xmlns:a16="http://schemas.microsoft.com/office/drawing/2014/main" id="{00000000-0008-0000-0100-00000E010000}"/>
            </a:ext>
          </a:extLst>
        </xdr:cNvPr>
        <xdr:cNvSpPr>
          <a:spLocks noChangeAspect="1" noChangeArrowheads="1"/>
        </xdr:cNvSpPr>
      </xdr:nvSpPr>
      <xdr:spPr bwMode="auto">
        <a:xfrm>
          <a:off x="61156851" y="22877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174</xdr:row>
      <xdr:rowOff>0</xdr:rowOff>
    </xdr:from>
    <xdr:ext cx="249935" cy="254139"/>
    <xdr:sp macro="" textlink="">
      <xdr:nvSpPr>
        <xdr:cNvPr id="271" name="AutoShape 184" descr="Image result for cook islands flag">
          <a:extLst>
            <a:ext uri="{FF2B5EF4-FFF2-40B4-BE49-F238E27FC236}">
              <a16:creationId xmlns:a16="http://schemas.microsoft.com/office/drawing/2014/main" id="{00000000-0008-0000-0100-00000F010000}"/>
            </a:ext>
          </a:extLst>
        </xdr:cNvPr>
        <xdr:cNvSpPr>
          <a:spLocks noChangeAspect="1" noChangeArrowheads="1"/>
        </xdr:cNvSpPr>
      </xdr:nvSpPr>
      <xdr:spPr bwMode="auto">
        <a:xfrm>
          <a:off x="61156851" y="22877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179</xdr:row>
      <xdr:rowOff>0</xdr:rowOff>
    </xdr:from>
    <xdr:ext cx="249935" cy="254139"/>
    <xdr:sp macro="" textlink="">
      <xdr:nvSpPr>
        <xdr:cNvPr id="272" name="AutoShape 194" descr="Image result for niue flag">
          <a:extLst>
            <a:ext uri="{FF2B5EF4-FFF2-40B4-BE49-F238E27FC236}">
              <a16:creationId xmlns:a16="http://schemas.microsoft.com/office/drawing/2014/main" id="{00000000-0008-0000-0100-000010010000}"/>
            </a:ext>
          </a:extLst>
        </xdr:cNvPr>
        <xdr:cNvSpPr>
          <a:spLocks noChangeAspect="1" noChangeArrowheads="1"/>
        </xdr:cNvSpPr>
      </xdr:nvSpPr>
      <xdr:spPr bwMode="auto">
        <a:xfrm>
          <a:off x="61156851" y="23744872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784411</xdr:colOff>
      <xdr:row>179</xdr:row>
      <xdr:rowOff>1456765</xdr:rowOff>
    </xdr:from>
    <xdr:ext cx="249935" cy="254139"/>
    <xdr:sp macro="" textlink="">
      <xdr:nvSpPr>
        <xdr:cNvPr id="273" name="AutoShape 195" descr="Image result for niue flag">
          <a:extLst>
            <a:ext uri="{FF2B5EF4-FFF2-40B4-BE49-F238E27FC236}">
              <a16:creationId xmlns:a16="http://schemas.microsoft.com/office/drawing/2014/main" id="{00000000-0008-0000-0100-000011010000}"/>
            </a:ext>
          </a:extLst>
        </xdr:cNvPr>
        <xdr:cNvSpPr>
          <a:spLocks noChangeAspect="1" noChangeArrowheads="1"/>
        </xdr:cNvSpPr>
      </xdr:nvSpPr>
      <xdr:spPr bwMode="auto">
        <a:xfrm>
          <a:off x="55020882" y="275575059"/>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181</xdr:row>
      <xdr:rowOff>0</xdr:rowOff>
    </xdr:from>
    <xdr:ext cx="249935" cy="254139"/>
    <xdr:sp macro="" textlink="">
      <xdr:nvSpPr>
        <xdr:cNvPr id="274" name="AutoShape 198" descr="https://upload.wikimedia.org/wikipedia/commons/0/01/Flag_of_Niue.svg">
          <a:extLst>
            <a:ext uri="{FF2B5EF4-FFF2-40B4-BE49-F238E27FC236}">
              <a16:creationId xmlns:a16="http://schemas.microsoft.com/office/drawing/2014/main" id="{00000000-0008-0000-0100-000012010000}"/>
            </a:ext>
          </a:extLst>
        </xdr:cNvPr>
        <xdr:cNvSpPr>
          <a:spLocks noChangeAspect="1" noChangeArrowheads="1"/>
        </xdr:cNvSpPr>
      </xdr:nvSpPr>
      <xdr:spPr bwMode="auto">
        <a:xfrm>
          <a:off x="61156851" y="24034432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181</xdr:row>
      <xdr:rowOff>0</xdr:rowOff>
    </xdr:from>
    <xdr:ext cx="249935" cy="254139"/>
    <xdr:sp macro="" textlink="">
      <xdr:nvSpPr>
        <xdr:cNvPr id="275" name="AutoShape 199" descr="https://upload.wikimedia.org/wikipedia/commons/0/01/Flag_of_Niue.svg">
          <a:extLst>
            <a:ext uri="{FF2B5EF4-FFF2-40B4-BE49-F238E27FC236}">
              <a16:creationId xmlns:a16="http://schemas.microsoft.com/office/drawing/2014/main" id="{00000000-0008-0000-0100-000013010000}"/>
            </a:ext>
          </a:extLst>
        </xdr:cNvPr>
        <xdr:cNvSpPr>
          <a:spLocks noChangeAspect="1" noChangeArrowheads="1"/>
        </xdr:cNvSpPr>
      </xdr:nvSpPr>
      <xdr:spPr bwMode="auto">
        <a:xfrm>
          <a:off x="61156851" y="24034432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192</xdr:row>
      <xdr:rowOff>0</xdr:rowOff>
    </xdr:from>
    <xdr:ext cx="249935" cy="254139"/>
    <xdr:sp macro="" textlink="">
      <xdr:nvSpPr>
        <xdr:cNvPr id="38" name="AutoShape 183" descr="Image result for cook islands flag">
          <a:extLst>
            <a:ext uri="{FF2B5EF4-FFF2-40B4-BE49-F238E27FC236}">
              <a16:creationId xmlns:a16="http://schemas.microsoft.com/office/drawing/2014/main" id="{00000000-0008-0000-0100-000026000000}"/>
            </a:ext>
          </a:extLst>
        </xdr:cNvPr>
        <xdr:cNvSpPr>
          <a:spLocks noChangeAspect="1" noChangeArrowheads="1"/>
        </xdr:cNvSpPr>
      </xdr:nvSpPr>
      <xdr:spPr bwMode="auto">
        <a:xfrm>
          <a:off x="55014725" y="5328975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192</xdr:row>
      <xdr:rowOff>0</xdr:rowOff>
    </xdr:from>
    <xdr:ext cx="249935" cy="254139"/>
    <xdr:sp macro="" textlink="">
      <xdr:nvSpPr>
        <xdr:cNvPr id="39" name="AutoShape 184" descr="Image result for cook islands flag">
          <a:extLst>
            <a:ext uri="{FF2B5EF4-FFF2-40B4-BE49-F238E27FC236}">
              <a16:creationId xmlns:a16="http://schemas.microsoft.com/office/drawing/2014/main" id="{00000000-0008-0000-0100-000027000000}"/>
            </a:ext>
          </a:extLst>
        </xdr:cNvPr>
        <xdr:cNvSpPr>
          <a:spLocks noChangeAspect="1" noChangeArrowheads="1"/>
        </xdr:cNvSpPr>
      </xdr:nvSpPr>
      <xdr:spPr bwMode="auto">
        <a:xfrm>
          <a:off x="55014725" y="5328975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185</xdr:row>
      <xdr:rowOff>0</xdr:rowOff>
    </xdr:from>
    <xdr:ext cx="249935" cy="254139"/>
    <xdr:sp macro="" textlink="">
      <xdr:nvSpPr>
        <xdr:cNvPr id="40" name="AutoShape 194" descr="Image result for niue flag">
          <a:extLst>
            <a:ext uri="{FF2B5EF4-FFF2-40B4-BE49-F238E27FC236}">
              <a16:creationId xmlns:a16="http://schemas.microsoft.com/office/drawing/2014/main" id="{00000000-0008-0000-0100-000028000000}"/>
            </a:ext>
          </a:extLst>
        </xdr:cNvPr>
        <xdr:cNvSpPr>
          <a:spLocks noChangeAspect="1" noChangeArrowheads="1"/>
        </xdr:cNvSpPr>
      </xdr:nvSpPr>
      <xdr:spPr bwMode="auto">
        <a:xfrm>
          <a:off x="55014725" y="5328975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186</xdr:row>
      <xdr:rowOff>0</xdr:rowOff>
    </xdr:from>
    <xdr:ext cx="249935" cy="254139"/>
    <xdr:sp macro="" textlink="">
      <xdr:nvSpPr>
        <xdr:cNvPr id="41" name="AutoShape 195" descr="Image result for niue flag">
          <a:extLst>
            <a:ext uri="{FF2B5EF4-FFF2-40B4-BE49-F238E27FC236}">
              <a16:creationId xmlns:a16="http://schemas.microsoft.com/office/drawing/2014/main" id="{00000000-0008-0000-0100-000029000000}"/>
            </a:ext>
          </a:extLst>
        </xdr:cNvPr>
        <xdr:cNvSpPr>
          <a:spLocks noChangeAspect="1" noChangeArrowheads="1"/>
        </xdr:cNvSpPr>
      </xdr:nvSpPr>
      <xdr:spPr bwMode="auto">
        <a:xfrm>
          <a:off x="55014725" y="5328975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187</xdr:row>
      <xdr:rowOff>0</xdr:rowOff>
    </xdr:from>
    <xdr:ext cx="249935" cy="254139"/>
    <xdr:sp macro="" textlink="">
      <xdr:nvSpPr>
        <xdr:cNvPr id="42" name="AutoShape 198" descr="https://upload.wikimedia.org/wikipedia/commons/0/01/Flag_of_Niue.svg">
          <a:extLst>
            <a:ext uri="{FF2B5EF4-FFF2-40B4-BE49-F238E27FC236}">
              <a16:creationId xmlns:a16="http://schemas.microsoft.com/office/drawing/2014/main" id="{00000000-0008-0000-0100-00002A000000}"/>
            </a:ext>
          </a:extLst>
        </xdr:cNvPr>
        <xdr:cNvSpPr>
          <a:spLocks noChangeAspect="1" noChangeArrowheads="1"/>
        </xdr:cNvSpPr>
      </xdr:nvSpPr>
      <xdr:spPr bwMode="auto">
        <a:xfrm>
          <a:off x="55014725" y="5328975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187</xdr:row>
      <xdr:rowOff>0</xdr:rowOff>
    </xdr:from>
    <xdr:ext cx="249935" cy="254139"/>
    <xdr:sp macro="" textlink="">
      <xdr:nvSpPr>
        <xdr:cNvPr id="43" name="AutoShape 199" descr="https://upload.wikimedia.org/wikipedia/commons/0/01/Flag_of_Niue.svg">
          <a:extLst>
            <a:ext uri="{FF2B5EF4-FFF2-40B4-BE49-F238E27FC236}">
              <a16:creationId xmlns:a16="http://schemas.microsoft.com/office/drawing/2014/main" id="{00000000-0008-0000-0100-00002B000000}"/>
            </a:ext>
          </a:extLst>
        </xdr:cNvPr>
        <xdr:cNvSpPr>
          <a:spLocks noChangeAspect="1" noChangeArrowheads="1"/>
        </xdr:cNvSpPr>
      </xdr:nvSpPr>
      <xdr:spPr bwMode="auto">
        <a:xfrm>
          <a:off x="55014725" y="5328975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188</xdr:row>
      <xdr:rowOff>0</xdr:rowOff>
    </xdr:from>
    <xdr:ext cx="249935" cy="254139"/>
    <xdr:sp macro="" textlink="">
      <xdr:nvSpPr>
        <xdr:cNvPr id="44" name="AutoShape 183" descr="Image result for cook islands flag">
          <a:extLst>
            <a:ext uri="{FF2B5EF4-FFF2-40B4-BE49-F238E27FC236}">
              <a16:creationId xmlns:a16="http://schemas.microsoft.com/office/drawing/2014/main" id="{00000000-0008-0000-0100-00002C000000}"/>
            </a:ext>
          </a:extLst>
        </xdr:cNvPr>
        <xdr:cNvSpPr>
          <a:spLocks noChangeAspect="1" noChangeArrowheads="1"/>
        </xdr:cNvSpPr>
      </xdr:nvSpPr>
      <xdr:spPr bwMode="auto">
        <a:xfrm>
          <a:off x="55014725" y="55458527"/>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188</xdr:row>
      <xdr:rowOff>0</xdr:rowOff>
    </xdr:from>
    <xdr:ext cx="249935" cy="254139"/>
    <xdr:sp macro="" textlink="">
      <xdr:nvSpPr>
        <xdr:cNvPr id="45" name="AutoShape 184" descr="Image result for cook islands flag">
          <a:extLst>
            <a:ext uri="{FF2B5EF4-FFF2-40B4-BE49-F238E27FC236}">
              <a16:creationId xmlns:a16="http://schemas.microsoft.com/office/drawing/2014/main" id="{00000000-0008-0000-0100-00002D000000}"/>
            </a:ext>
          </a:extLst>
        </xdr:cNvPr>
        <xdr:cNvSpPr>
          <a:spLocks noChangeAspect="1" noChangeArrowheads="1"/>
        </xdr:cNvSpPr>
      </xdr:nvSpPr>
      <xdr:spPr bwMode="auto">
        <a:xfrm>
          <a:off x="55014725" y="55458527"/>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181</xdr:row>
      <xdr:rowOff>0</xdr:rowOff>
    </xdr:from>
    <xdr:ext cx="249935" cy="254139"/>
    <xdr:sp macro="" textlink="">
      <xdr:nvSpPr>
        <xdr:cNvPr id="46" name="AutoShape 194" descr="Image result for niue flag">
          <a:extLst>
            <a:ext uri="{FF2B5EF4-FFF2-40B4-BE49-F238E27FC236}">
              <a16:creationId xmlns:a16="http://schemas.microsoft.com/office/drawing/2014/main" id="{00000000-0008-0000-0100-00002E000000}"/>
            </a:ext>
          </a:extLst>
        </xdr:cNvPr>
        <xdr:cNvSpPr>
          <a:spLocks noChangeAspect="1" noChangeArrowheads="1"/>
        </xdr:cNvSpPr>
      </xdr:nvSpPr>
      <xdr:spPr bwMode="auto">
        <a:xfrm>
          <a:off x="54966742" y="25830943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182</xdr:row>
      <xdr:rowOff>0</xdr:rowOff>
    </xdr:from>
    <xdr:ext cx="249935" cy="254139"/>
    <xdr:sp macro="" textlink="">
      <xdr:nvSpPr>
        <xdr:cNvPr id="47" name="AutoShape 194" descr="Image result for niue flag">
          <a:extLst>
            <a:ext uri="{FF2B5EF4-FFF2-40B4-BE49-F238E27FC236}">
              <a16:creationId xmlns:a16="http://schemas.microsoft.com/office/drawing/2014/main" id="{00000000-0008-0000-0100-00002F000000}"/>
            </a:ext>
          </a:extLst>
        </xdr:cNvPr>
        <xdr:cNvSpPr>
          <a:spLocks noChangeAspect="1" noChangeArrowheads="1"/>
        </xdr:cNvSpPr>
      </xdr:nvSpPr>
      <xdr:spPr bwMode="auto">
        <a:xfrm>
          <a:off x="54966742" y="25830943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186</xdr:row>
      <xdr:rowOff>0</xdr:rowOff>
    </xdr:from>
    <xdr:ext cx="249935" cy="254139"/>
    <xdr:sp macro="" textlink="">
      <xdr:nvSpPr>
        <xdr:cNvPr id="48" name="AutoShape 194" descr="Image result for niue flag">
          <a:extLst>
            <a:ext uri="{FF2B5EF4-FFF2-40B4-BE49-F238E27FC236}">
              <a16:creationId xmlns:a16="http://schemas.microsoft.com/office/drawing/2014/main" id="{00000000-0008-0000-0100-000030000000}"/>
            </a:ext>
          </a:extLst>
        </xdr:cNvPr>
        <xdr:cNvSpPr>
          <a:spLocks noChangeAspect="1" noChangeArrowheads="1"/>
        </xdr:cNvSpPr>
      </xdr:nvSpPr>
      <xdr:spPr bwMode="auto">
        <a:xfrm>
          <a:off x="54966742" y="26722227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189</xdr:row>
      <xdr:rowOff>0</xdr:rowOff>
    </xdr:from>
    <xdr:ext cx="249935" cy="254139"/>
    <xdr:sp macro="" textlink="">
      <xdr:nvSpPr>
        <xdr:cNvPr id="51" name="AutoShape 194" descr="Image result for niue flag">
          <a:extLst>
            <a:ext uri="{FF2B5EF4-FFF2-40B4-BE49-F238E27FC236}">
              <a16:creationId xmlns:a16="http://schemas.microsoft.com/office/drawing/2014/main" id="{00000000-0008-0000-0100-000033000000}"/>
            </a:ext>
          </a:extLst>
        </xdr:cNvPr>
        <xdr:cNvSpPr>
          <a:spLocks noChangeAspect="1" noChangeArrowheads="1"/>
        </xdr:cNvSpPr>
      </xdr:nvSpPr>
      <xdr:spPr bwMode="auto">
        <a:xfrm>
          <a:off x="54966742" y="26722227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192</xdr:row>
      <xdr:rowOff>0</xdr:rowOff>
    </xdr:from>
    <xdr:ext cx="249935" cy="254139"/>
    <xdr:sp macro="" textlink="">
      <xdr:nvSpPr>
        <xdr:cNvPr id="52" name="AutoShape 194" descr="Image result for niue flag">
          <a:extLst>
            <a:ext uri="{FF2B5EF4-FFF2-40B4-BE49-F238E27FC236}">
              <a16:creationId xmlns:a16="http://schemas.microsoft.com/office/drawing/2014/main" id="{00000000-0008-0000-0100-000034000000}"/>
            </a:ext>
          </a:extLst>
        </xdr:cNvPr>
        <xdr:cNvSpPr>
          <a:spLocks noChangeAspect="1" noChangeArrowheads="1"/>
        </xdr:cNvSpPr>
      </xdr:nvSpPr>
      <xdr:spPr bwMode="auto">
        <a:xfrm>
          <a:off x="54966742" y="26722227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194</xdr:row>
      <xdr:rowOff>0</xdr:rowOff>
    </xdr:from>
    <xdr:ext cx="249935" cy="254139"/>
    <xdr:sp macro="" textlink="">
      <xdr:nvSpPr>
        <xdr:cNvPr id="53" name="AutoShape 183" descr="Image result for cook islands flag">
          <a:extLst>
            <a:ext uri="{FF2B5EF4-FFF2-40B4-BE49-F238E27FC236}">
              <a16:creationId xmlns:a16="http://schemas.microsoft.com/office/drawing/2014/main" id="{00000000-0008-0000-0100-000035000000}"/>
            </a:ext>
          </a:extLst>
        </xdr:cNvPr>
        <xdr:cNvSpPr>
          <a:spLocks noChangeAspect="1" noChangeArrowheads="1"/>
        </xdr:cNvSpPr>
      </xdr:nvSpPr>
      <xdr:spPr bwMode="auto">
        <a:xfrm>
          <a:off x="54966742" y="274551169"/>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194</xdr:row>
      <xdr:rowOff>0</xdr:rowOff>
    </xdr:from>
    <xdr:ext cx="249935" cy="254139"/>
    <xdr:sp macro="" textlink="">
      <xdr:nvSpPr>
        <xdr:cNvPr id="54" name="AutoShape 184" descr="Image result for cook islands flag">
          <a:extLst>
            <a:ext uri="{FF2B5EF4-FFF2-40B4-BE49-F238E27FC236}">
              <a16:creationId xmlns:a16="http://schemas.microsoft.com/office/drawing/2014/main" id="{00000000-0008-0000-0100-000036000000}"/>
            </a:ext>
          </a:extLst>
        </xdr:cNvPr>
        <xdr:cNvSpPr>
          <a:spLocks noChangeAspect="1" noChangeArrowheads="1"/>
        </xdr:cNvSpPr>
      </xdr:nvSpPr>
      <xdr:spPr bwMode="auto">
        <a:xfrm>
          <a:off x="54966742" y="274551169"/>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194</xdr:row>
      <xdr:rowOff>0</xdr:rowOff>
    </xdr:from>
    <xdr:ext cx="249935" cy="254139"/>
    <xdr:sp macro="" textlink="">
      <xdr:nvSpPr>
        <xdr:cNvPr id="55" name="AutoShape 194" descr="Image result for niue flag">
          <a:extLst>
            <a:ext uri="{FF2B5EF4-FFF2-40B4-BE49-F238E27FC236}">
              <a16:creationId xmlns:a16="http://schemas.microsoft.com/office/drawing/2014/main" id="{00000000-0008-0000-0100-000037000000}"/>
            </a:ext>
          </a:extLst>
        </xdr:cNvPr>
        <xdr:cNvSpPr>
          <a:spLocks noChangeAspect="1" noChangeArrowheads="1"/>
        </xdr:cNvSpPr>
      </xdr:nvSpPr>
      <xdr:spPr bwMode="auto">
        <a:xfrm>
          <a:off x="54966742" y="274551169"/>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195</xdr:row>
      <xdr:rowOff>0</xdr:rowOff>
    </xdr:from>
    <xdr:ext cx="249935" cy="254139"/>
    <xdr:sp macro="" textlink="">
      <xdr:nvSpPr>
        <xdr:cNvPr id="56" name="AutoShape 183" descr="Image result for cook islands flag">
          <a:extLst>
            <a:ext uri="{FF2B5EF4-FFF2-40B4-BE49-F238E27FC236}">
              <a16:creationId xmlns:a16="http://schemas.microsoft.com/office/drawing/2014/main" id="{00000000-0008-0000-0100-000038000000}"/>
            </a:ext>
          </a:extLst>
        </xdr:cNvPr>
        <xdr:cNvSpPr>
          <a:spLocks noChangeAspect="1" noChangeArrowheads="1"/>
        </xdr:cNvSpPr>
      </xdr:nvSpPr>
      <xdr:spPr bwMode="auto">
        <a:xfrm>
          <a:off x="54966742" y="274551169"/>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195</xdr:row>
      <xdr:rowOff>0</xdr:rowOff>
    </xdr:from>
    <xdr:ext cx="249935" cy="254139"/>
    <xdr:sp macro="" textlink="">
      <xdr:nvSpPr>
        <xdr:cNvPr id="57" name="AutoShape 184" descr="Image result for cook islands flag">
          <a:extLst>
            <a:ext uri="{FF2B5EF4-FFF2-40B4-BE49-F238E27FC236}">
              <a16:creationId xmlns:a16="http://schemas.microsoft.com/office/drawing/2014/main" id="{00000000-0008-0000-0100-000039000000}"/>
            </a:ext>
          </a:extLst>
        </xdr:cNvPr>
        <xdr:cNvSpPr>
          <a:spLocks noChangeAspect="1" noChangeArrowheads="1"/>
        </xdr:cNvSpPr>
      </xdr:nvSpPr>
      <xdr:spPr bwMode="auto">
        <a:xfrm>
          <a:off x="54966742" y="274551169"/>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195</xdr:row>
      <xdr:rowOff>0</xdr:rowOff>
    </xdr:from>
    <xdr:ext cx="249935" cy="254139"/>
    <xdr:sp macro="" textlink="">
      <xdr:nvSpPr>
        <xdr:cNvPr id="58" name="AutoShape 194" descr="Image result for niue flag">
          <a:extLst>
            <a:ext uri="{FF2B5EF4-FFF2-40B4-BE49-F238E27FC236}">
              <a16:creationId xmlns:a16="http://schemas.microsoft.com/office/drawing/2014/main" id="{00000000-0008-0000-0100-00003A000000}"/>
            </a:ext>
          </a:extLst>
        </xdr:cNvPr>
        <xdr:cNvSpPr>
          <a:spLocks noChangeAspect="1" noChangeArrowheads="1"/>
        </xdr:cNvSpPr>
      </xdr:nvSpPr>
      <xdr:spPr bwMode="auto">
        <a:xfrm>
          <a:off x="54966742" y="274551169"/>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198</xdr:row>
      <xdr:rowOff>0</xdr:rowOff>
    </xdr:from>
    <xdr:ext cx="249935" cy="254139"/>
    <xdr:sp macro="" textlink="">
      <xdr:nvSpPr>
        <xdr:cNvPr id="59" name="AutoShape 183" descr="Image result for cook islands flag">
          <a:extLst>
            <a:ext uri="{FF2B5EF4-FFF2-40B4-BE49-F238E27FC236}">
              <a16:creationId xmlns:a16="http://schemas.microsoft.com/office/drawing/2014/main" id="{00000000-0008-0000-0100-00003B000000}"/>
            </a:ext>
          </a:extLst>
        </xdr:cNvPr>
        <xdr:cNvSpPr>
          <a:spLocks noChangeAspect="1" noChangeArrowheads="1"/>
        </xdr:cNvSpPr>
      </xdr:nvSpPr>
      <xdr:spPr bwMode="auto">
        <a:xfrm>
          <a:off x="54966742" y="15822202"/>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198</xdr:row>
      <xdr:rowOff>0</xdr:rowOff>
    </xdr:from>
    <xdr:ext cx="249935" cy="254139"/>
    <xdr:sp macro="" textlink="">
      <xdr:nvSpPr>
        <xdr:cNvPr id="60" name="AutoShape 184" descr="Image result for cook islands flag">
          <a:extLst>
            <a:ext uri="{FF2B5EF4-FFF2-40B4-BE49-F238E27FC236}">
              <a16:creationId xmlns:a16="http://schemas.microsoft.com/office/drawing/2014/main" id="{00000000-0008-0000-0100-00003C000000}"/>
            </a:ext>
          </a:extLst>
        </xdr:cNvPr>
        <xdr:cNvSpPr>
          <a:spLocks noChangeAspect="1" noChangeArrowheads="1"/>
        </xdr:cNvSpPr>
      </xdr:nvSpPr>
      <xdr:spPr bwMode="auto">
        <a:xfrm>
          <a:off x="54966742" y="15822202"/>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193</xdr:row>
      <xdr:rowOff>0</xdr:rowOff>
    </xdr:from>
    <xdr:ext cx="249935" cy="254139"/>
    <xdr:sp macro="" textlink="">
      <xdr:nvSpPr>
        <xdr:cNvPr id="61" name="AutoShape 194" descr="Image result for niue flag">
          <a:extLst>
            <a:ext uri="{FF2B5EF4-FFF2-40B4-BE49-F238E27FC236}">
              <a16:creationId xmlns:a16="http://schemas.microsoft.com/office/drawing/2014/main" id="{00000000-0008-0000-0100-00003D000000}"/>
            </a:ext>
          </a:extLst>
        </xdr:cNvPr>
        <xdr:cNvSpPr>
          <a:spLocks noChangeAspect="1" noChangeArrowheads="1"/>
        </xdr:cNvSpPr>
      </xdr:nvSpPr>
      <xdr:spPr bwMode="auto">
        <a:xfrm>
          <a:off x="54966742" y="15822202"/>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194</xdr:row>
      <xdr:rowOff>0</xdr:rowOff>
    </xdr:from>
    <xdr:ext cx="249935" cy="254139"/>
    <xdr:sp macro="" textlink="">
      <xdr:nvSpPr>
        <xdr:cNvPr id="62" name="AutoShape 195" descr="Image result for niue flag">
          <a:extLst>
            <a:ext uri="{FF2B5EF4-FFF2-40B4-BE49-F238E27FC236}">
              <a16:creationId xmlns:a16="http://schemas.microsoft.com/office/drawing/2014/main" id="{00000000-0008-0000-0100-00003E000000}"/>
            </a:ext>
          </a:extLst>
        </xdr:cNvPr>
        <xdr:cNvSpPr>
          <a:spLocks noChangeAspect="1" noChangeArrowheads="1"/>
        </xdr:cNvSpPr>
      </xdr:nvSpPr>
      <xdr:spPr bwMode="auto">
        <a:xfrm>
          <a:off x="54966742" y="15822202"/>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195</xdr:row>
      <xdr:rowOff>0</xdr:rowOff>
    </xdr:from>
    <xdr:ext cx="249935" cy="254139"/>
    <xdr:sp macro="" textlink="">
      <xdr:nvSpPr>
        <xdr:cNvPr id="63" name="AutoShape 198" descr="https://upload.wikimedia.org/wikipedia/commons/0/01/Flag_of_Niue.svg">
          <a:extLst>
            <a:ext uri="{FF2B5EF4-FFF2-40B4-BE49-F238E27FC236}">
              <a16:creationId xmlns:a16="http://schemas.microsoft.com/office/drawing/2014/main" id="{00000000-0008-0000-0100-00003F000000}"/>
            </a:ext>
          </a:extLst>
        </xdr:cNvPr>
        <xdr:cNvSpPr>
          <a:spLocks noChangeAspect="1" noChangeArrowheads="1"/>
        </xdr:cNvSpPr>
      </xdr:nvSpPr>
      <xdr:spPr bwMode="auto">
        <a:xfrm>
          <a:off x="54966742" y="15822202"/>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195</xdr:row>
      <xdr:rowOff>0</xdr:rowOff>
    </xdr:from>
    <xdr:ext cx="249935" cy="254139"/>
    <xdr:sp macro="" textlink="">
      <xdr:nvSpPr>
        <xdr:cNvPr id="64" name="AutoShape 199" descr="https://upload.wikimedia.org/wikipedia/commons/0/01/Flag_of_Niue.svg">
          <a:extLst>
            <a:ext uri="{FF2B5EF4-FFF2-40B4-BE49-F238E27FC236}">
              <a16:creationId xmlns:a16="http://schemas.microsoft.com/office/drawing/2014/main" id="{00000000-0008-0000-0100-000040000000}"/>
            </a:ext>
          </a:extLst>
        </xdr:cNvPr>
        <xdr:cNvSpPr>
          <a:spLocks noChangeAspect="1" noChangeArrowheads="1"/>
        </xdr:cNvSpPr>
      </xdr:nvSpPr>
      <xdr:spPr bwMode="auto">
        <a:xfrm>
          <a:off x="54966742" y="15822202"/>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56</xdr:col>
      <xdr:colOff>0</xdr:colOff>
      <xdr:row>195</xdr:row>
      <xdr:rowOff>0</xdr:rowOff>
    </xdr:from>
    <xdr:ext cx="249935" cy="254139"/>
    <xdr:sp macro="" textlink="">
      <xdr:nvSpPr>
        <xdr:cNvPr id="65" name="AutoShape 194" descr="Image result for niue flag">
          <a:extLst>
            <a:ext uri="{FF2B5EF4-FFF2-40B4-BE49-F238E27FC236}">
              <a16:creationId xmlns:a16="http://schemas.microsoft.com/office/drawing/2014/main" id="{00000000-0008-0000-0100-000041000000}"/>
            </a:ext>
          </a:extLst>
        </xdr:cNvPr>
        <xdr:cNvSpPr>
          <a:spLocks noChangeAspect="1" noChangeArrowheads="1"/>
        </xdr:cNvSpPr>
      </xdr:nvSpPr>
      <xdr:spPr bwMode="auto">
        <a:xfrm>
          <a:off x="54966742" y="15822202"/>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869043</xdr:colOff>
      <xdr:row>201</xdr:row>
      <xdr:rowOff>53521</xdr:rowOff>
    </xdr:from>
    <xdr:ext cx="249935" cy="254139"/>
    <xdr:sp macro="" textlink="">
      <xdr:nvSpPr>
        <xdr:cNvPr id="66" name="AutoShape 194" descr="Image result for niue flag">
          <a:extLst>
            <a:ext uri="{FF2B5EF4-FFF2-40B4-BE49-F238E27FC236}">
              <a16:creationId xmlns:a16="http://schemas.microsoft.com/office/drawing/2014/main" id="{00000000-0008-0000-0100-000042000000}"/>
            </a:ext>
          </a:extLst>
        </xdr:cNvPr>
        <xdr:cNvSpPr>
          <a:spLocks noChangeAspect="1" noChangeArrowheads="1"/>
        </xdr:cNvSpPr>
      </xdr:nvSpPr>
      <xdr:spPr bwMode="auto">
        <a:xfrm>
          <a:off x="56150329" y="2992664"/>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46</xdr:row>
      <xdr:rowOff>0</xdr:rowOff>
    </xdr:from>
    <xdr:ext cx="249935" cy="254139"/>
    <xdr:sp macro="" textlink="">
      <xdr:nvSpPr>
        <xdr:cNvPr id="67" name="AutoShape 183" descr="Image result for cook islands flag">
          <a:extLst>
            <a:ext uri="{FF2B5EF4-FFF2-40B4-BE49-F238E27FC236}">
              <a16:creationId xmlns:a16="http://schemas.microsoft.com/office/drawing/2014/main" id="{00000000-0008-0000-0100-000043000000}"/>
            </a:ext>
          </a:extLst>
        </xdr:cNvPr>
        <xdr:cNvSpPr>
          <a:spLocks noChangeAspect="1" noChangeArrowheads="1"/>
        </xdr:cNvSpPr>
      </xdr:nvSpPr>
      <xdr:spPr bwMode="auto">
        <a:xfrm>
          <a:off x="553021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46</xdr:row>
      <xdr:rowOff>0</xdr:rowOff>
    </xdr:from>
    <xdr:ext cx="249935" cy="254139"/>
    <xdr:sp macro="" textlink="">
      <xdr:nvSpPr>
        <xdr:cNvPr id="68" name="AutoShape 184" descr="Image result for cook islands flag">
          <a:extLst>
            <a:ext uri="{FF2B5EF4-FFF2-40B4-BE49-F238E27FC236}">
              <a16:creationId xmlns:a16="http://schemas.microsoft.com/office/drawing/2014/main" id="{00000000-0008-0000-0100-000044000000}"/>
            </a:ext>
          </a:extLst>
        </xdr:cNvPr>
        <xdr:cNvSpPr>
          <a:spLocks noChangeAspect="1" noChangeArrowheads="1"/>
        </xdr:cNvSpPr>
      </xdr:nvSpPr>
      <xdr:spPr bwMode="auto">
        <a:xfrm>
          <a:off x="553021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144</xdr:row>
      <xdr:rowOff>0</xdr:rowOff>
    </xdr:from>
    <xdr:ext cx="249935" cy="254139"/>
    <xdr:sp macro="" textlink="">
      <xdr:nvSpPr>
        <xdr:cNvPr id="69" name="AutoShape 194" descr="Image result for niue flag">
          <a:extLst>
            <a:ext uri="{FF2B5EF4-FFF2-40B4-BE49-F238E27FC236}">
              <a16:creationId xmlns:a16="http://schemas.microsoft.com/office/drawing/2014/main" id="{00000000-0008-0000-0100-000045000000}"/>
            </a:ext>
          </a:extLst>
        </xdr:cNvPr>
        <xdr:cNvSpPr>
          <a:spLocks noChangeAspect="1" noChangeArrowheads="1"/>
        </xdr:cNvSpPr>
      </xdr:nvSpPr>
      <xdr:spPr bwMode="auto">
        <a:xfrm>
          <a:off x="553021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147</xdr:row>
      <xdr:rowOff>0</xdr:rowOff>
    </xdr:from>
    <xdr:ext cx="249935" cy="254139"/>
    <xdr:sp macro="" textlink="">
      <xdr:nvSpPr>
        <xdr:cNvPr id="70" name="AutoShape 195" descr="Image result for niue flag">
          <a:extLst>
            <a:ext uri="{FF2B5EF4-FFF2-40B4-BE49-F238E27FC236}">
              <a16:creationId xmlns:a16="http://schemas.microsoft.com/office/drawing/2014/main" id="{00000000-0008-0000-0100-000046000000}"/>
            </a:ext>
          </a:extLst>
        </xdr:cNvPr>
        <xdr:cNvSpPr>
          <a:spLocks noChangeAspect="1" noChangeArrowheads="1"/>
        </xdr:cNvSpPr>
      </xdr:nvSpPr>
      <xdr:spPr bwMode="auto">
        <a:xfrm>
          <a:off x="553021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150</xdr:row>
      <xdr:rowOff>0</xdr:rowOff>
    </xdr:from>
    <xdr:ext cx="249935" cy="254139"/>
    <xdr:sp macro="" textlink="">
      <xdr:nvSpPr>
        <xdr:cNvPr id="71" name="AutoShape 198" descr="https://upload.wikimedia.org/wikipedia/commons/0/01/Flag_of_Niue.svg">
          <a:extLst>
            <a:ext uri="{FF2B5EF4-FFF2-40B4-BE49-F238E27FC236}">
              <a16:creationId xmlns:a16="http://schemas.microsoft.com/office/drawing/2014/main" id="{00000000-0008-0000-0100-000047000000}"/>
            </a:ext>
          </a:extLst>
        </xdr:cNvPr>
        <xdr:cNvSpPr>
          <a:spLocks noChangeAspect="1" noChangeArrowheads="1"/>
        </xdr:cNvSpPr>
      </xdr:nvSpPr>
      <xdr:spPr bwMode="auto">
        <a:xfrm>
          <a:off x="553021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43</xdr:row>
      <xdr:rowOff>0</xdr:rowOff>
    </xdr:from>
    <xdr:ext cx="238505" cy="250329"/>
    <xdr:sp macro="" textlink="">
      <xdr:nvSpPr>
        <xdr:cNvPr id="72" name="AutoShape 183" descr="Image result for cook islands flag">
          <a:extLst>
            <a:ext uri="{FF2B5EF4-FFF2-40B4-BE49-F238E27FC236}">
              <a16:creationId xmlns:a16="http://schemas.microsoft.com/office/drawing/2014/main" id="{0923F6B6-8179-4107-9AB2-F4FC4215868E}"/>
            </a:ext>
          </a:extLst>
        </xdr:cNvPr>
        <xdr:cNvSpPr>
          <a:spLocks noChangeAspect="1" noChangeArrowheads="1"/>
        </xdr:cNvSpPr>
      </xdr:nvSpPr>
      <xdr:spPr bwMode="auto">
        <a:xfrm>
          <a:off x="54282827" y="62506412"/>
          <a:ext cx="238505" cy="2503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43</xdr:row>
      <xdr:rowOff>0</xdr:rowOff>
    </xdr:from>
    <xdr:ext cx="238505" cy="250329"/>
    <xdr:sp macro="" textlink="">
      <xdr:nvSpPr>
        <xdr:cNvPr id="73" name="AutoShape 184" descr="Image result for cook islands flag">
          <a:extLst>
            <a:ext uri="{FF2B5EF4-FFF2-40B4-BE49-F238E27FC236}">
              <a16:creationId xmlns:a16="http://schemas.microsoft.com/office/drawing/2014/main" id="{B0B8C5C9-FB55-4257-877C-ECF5FFF07BC1}"/>
            </a:ext>
          </a:extLst>
        </xdr:cNvPr>
        <xdr:cNvSpPr>
          <a:spLocks noChangeAspect="1" noChangeArrowheads="1"/>
        </xdr:cNvSpPr>
      </xdr:nvSpPr>
      <xdr:spPr bwMode="auto">
        <a:xfrm>
          <a:off x="54282827" y="62506412"/>
          <a:ext cx="238505" cy="2503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47</xdr:row>
      <xdr:rowOff>0</xdr:rowOff>
    </xdr:from>
    <xdr:ext cx="249935" cy="254139"/>
    <xdr:sp macro="" textlink="">
      <xdr:nvSpPr>
        <xdr:cNvPr id="74" name="AutoShape 183" descr="Image result for cook islands flag">
          <a:extLst>
            <a:ext uri="{FF2B5EF4-FFF2-40B4-BE49-F238E27FC236}">
              <a16:creationId xmlns:a16="http://schemas.microsoft.com/office/drawing/2014/main" id="{3B6F6498-7B95-47FA-AD4C-5522D7261B39}"/>
            </a:ext>
          </a:extLst>
        </xdr:cNvPr>
        <xdr:cNvSpPr>
          <a:spLocks noChangeAspect="1" noChangeArrowheads="1"/>
        </xdr:cNvSpPr>
      </xdr:nvSpPr>
      <xdr:spPr bwMode="auto">
        <a:xfrm>
          <a:off x="54282827" y="6559923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47</xdr:row>
      <xdr:rowOff>0</xdr:rowOff>
    </xdr:from>
    <xdr:ext cx="249935" cy="254139"/>
    <xdr:sp macro="" textlink="">
      <xdr:nvSpPr>
        <xdr:cNvPr id="75" name="AutoShape 184" descr="Image result for cook islands flag">
          <a:extLst>
            <a:ext uri="{FF2B5EF4-FFF2-40B4-BE49-F238E27FC236}">
              <a16:creationId xmlns:a16="http://schemas.microsoft.com/office/drawing/2014/main" id="{0E2F770D-9D98-4734-91DA-2336F34C85B5}"/>
            </a:ext>
          </a:extLst>
        </xdr:cNvPr>
        <xdr:cNvSpPr>
          <a:spLocks noChangeAspect="1" noChangeArrowheads="1"/>
        </xdr:cNvSpPr>
      </xdr:nvSpPr>
      <xdr:spPr bwMode="auto">
        <a:xfrm>
          <a:off x="54282827" y="6559923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48</xdr:row>
      <xdr:rowOff>0</xdr:rowOff>
    </xdr:from>
    <xdr:ext cx="249935" cy="254139"/>
    <xdr:sp macro="" textlink="">
      <xdr:nvSpPr>
        <xdr:cNvPr id="76" name="AutoShape 183" descr="Image result for cook islands flag">
          <a:extLst>
            <a:ext uri="{FF2B5EF4-FFF2-40B4-BE49-F238E27FC236}">
              <a16:creationId xmlns:a16="http://schemas.microsoft.com/office/drawing/2014/main" id="{57C89EEE-4605-4289-9258-84D2B7BF8809}"/>
            </a:ext>
          </a:extLst>
        </xdr:cNvPr>
        <xdr:cNvSpPr>
          <a:spLocks noChangeAspect="1" noChangeArrowheads="1"/>
        </xdr:cNvSpPr>
      </xdr:nvSpPr>
      <xdr:spPr bwMode="auto">
        <a:xfrm>
          <a:off x="54282827" y="6689911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48</xdr:row>
      <xdr:rowOff>0</xdr:rowOff>
    </xdr:from>
    <xdr:ext cx="249935" cy="254139"/>
    <xdr:sp macro="" textlink="">
      <xdr:nvSpPr>
        <xdr:cNvPr id="77" name="AutoShape 184" descr="Image result for cook islands flag">
          <a:extLst>
            <a:ext uri="{FF2B5EF4-FFF2-40B4-BE49-F238E27FC236}">
              <a16:creationId xmlns:a16="http://schemas.microsoft.com/office/drawing/2014/main" id="{81F24C50-F968-422B-AC5F-C373087E7899}"/>
            </a:ext>
          </a:extLst>
        </xdr:cNvPr>
        <xdr:cNvSpPr>
          <a:spLocks noChangeAspect="1" noChangeArrowheads="1"/>
        </xdr:cNvSpPr>
      </xdr:nvSpPr>
      <xdr:spPr bwMode="auto">
        <a:xfrm>
          <a:off x="54282827" y="6689911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145</xdr:row>
      <xdr:rowOff>0</xdr:rowOff>
    </xdr:from>
    <xdr:ext cx="249935" cy="254139"/>
    <xdr:sp macro="" textlink="">
      <xdr:nvSpPr>
        <xdr:cNvPr id="78" name="AutoShape 194" descr="Image result for niue flag">
          <a:extLst>
            <a:ext uri="{FF2B5EF4-FFF2-40B4-BE49-F238E27FC236}">
              <a16:creationId xmlns:a16="http://schemas.microsoft.com/office/drawing/2014/main" id="{0D2492CC-1364-4642-BC4F-EF43FD22D886}"/>
            </a:ext>
          </a:extLst>
        </xdr:cNvPr>
        <xdr:cNvSpPr>
          <a:spLocks noChangeAspect="1" noChangeArrowheads="1"/>
        </xdr:cNvSpPr>
      </xdr:nvSpPr>
      <xdr:spPr bwMode="auto">
        <a:xfrm>
          <a:off x="54282827" y="218268176"/>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53</xdr:col>
      <xdr:colOff>44451</xdr:colOff>
      <xdr:row>146</xdr:row>
      <xdr:rowOff>0</xdr:rowOff>
    </xdr:from>
    <xdr:ext cx="238505" cy="250329"/>
    <xdr:sp macro="" textlink="">
      <xdr:nvSpPr>
        <xdr:cNvPr id="79" name="AutoShape 195" descr="Image result for niue flag">
          <a:extLst>
            <a:ext uri="{FF2B5EF4-FFF2-40B4-BE49-F238E27FC236}">
              <a16:creationId xmlns:a16="http://schemas.microsoft.com/office/drawing/2014/main" id="{4AEBA2C5-99DB-4AE1-B816-A4FC9335CFEA}"/>
            </a:ext>
          </a:extLst>
        </xdr:cNvPr>
        <xdr:cNvSpPr>
          <a:spLocks noChangeAspect="1" noChangeArrowheads="1"/>
        </xdr:cNvSpPr>
      </xdr:nvSpPr>
      <xdr:spPr bwMode="auto">
        <a:xfrm>
          <a:off x="54282827" y="220800706"/>
          <a:ext cx="238505" cy="2503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53</xdr:col>
      <xdr:colOff>44451</xdr:colOff>
      <xdr:row>146</xdr:row>
      <xdr:rowOff>0</xdr:rowOff>
    </xdr:from>
    <xdr:ext cx="249935" cy="254139"/>
    <xdr:sp macro="" textlink="">
      <xdr:nvSpPr>
        <xdr:cNvPr id="80" name="AutoShape 194" descr="Image result for niue flag">
          <a:extLst>
            <a:ext uri="{FF2B5EF4-FFF2-40B4-BE49-F238E27FC236}">
              <a16:creationId xmlns:a16="http://schemas.microsoft.com/office/drawing/2014/main" id="{73094524-74ED-4B0B-B78A-F6658927D786}"/>
            </a:ext>
          </a:extLst>
        </xdr:cNvPr>
        <xdr:cNvSpPr>
          <a:spLocks noChangeAspect="1" noChangeArrowheads="1"/>
        </xdr:cNvSpPr>
      </xdr:nvSpPr>
      <xdr:spPr bwMode="auto">
        <a:xfrm>
          <a:off x="54282827" y="220800706"/>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44451</xdr:colOff>
      <xdr:row>148</xdr:row>
      <xdr:rowOff>0</xdr:rowOff>
    </xdr:from>
    <xdr:ext cx="249935" cy="254139"/>
    <xdr:sp macro="" textlink="">
      <xdr:nvSpPr>
        <xdr:cNvPr id="81" name="AutoShape 195" descr="Image result for niue flag">
          <a:extLst>
            <a:ext uri="{FF2B5EF4-FFF2-40B4-BE49-F238E27FC236}">
              <a16:creationId xmlns:a16="http://schemas.microsoft.com/office/drawing/2014/main" id="{3892E615-B714-447D-81CA-357F3DBDADB3}"/>
            </a:ext>
          </a:extLst>
        </xdr:cNvPr>
        <xdr:cNvSpPr>
          <a:spLocks noChangeAspect="1" noChangeArrowheads="1"/>
        </xdr:cNvSpPr>
      </xdr:nvSpPr>
      <xdr:spPr bwMode="auto">
        <a:xfrm>
          <a:off x="54282827" y="225686471"/>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55</xdr:col>
      <xdr:colOff>784411</xdr:colOff>
      <xdr:row>180</xdr:row>
      <xdr:rowOff>1456765</xdr:rowOff>
    </xdr:from>
    <xdr:ext cx="249935" cy="254139"/>
    <xdr:sp macro="" textlink="">
      <xdr:nvSpPr>
        <xdr:cNvPr id="82" name="AutoShape 195" descr="Image result for niue flag">
          <a:extLst>
            <a:ext uri="{FF2B5EF4-FFF2-40B4-BE49-F238E27FC236}">
              <a16:creationId xmlns:a16="http://schemas.microsoft.com/office/drawing/2014/main" id="{44831098-F31D-4735-ABF1-D7FBF7180B56}"/>
            </a:ext>
          </a:extLst>
        </xdr:cNvPr>
        <xdr:cNvSpPr>
          <a:spLocks noChangeAspect="1" noChangeArrowheads="1"/>
        </xdr:cNvSpPr>
      </xdr:nvSpPr>
      <xdr:spPr bwMode="auto">
        <a:xfrm>
          <a:off x="55017072" y="275576964"/>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44451</xdr:colOff>
      <xdr:row>7</xdr:row>
      <xdr:rowOff>0</xdr:rowOff>
    </xdr:from>
    <xdr:to>
      <xdr:col>11</xdr:col>
      <xdr:colOff>288671</xdr:colOff>
      <xdr:row>7</xdr:row>
      <xdr:rowOff>246519</xdr:rowOff>
    </xdr:to>
    <xdr:sp macro="" textlink="">
      <xdr:nvSpPr>
        <xdr:cNvPr id="145" name="AutoShape 183" descr="Image result for cook islands flag">
          <a:extLst>
            <a:ext uri="{FF2B5EF4-FFF2-40B4-BE49-F238E27FC236}">
              <a16:creationId xmlns:a16="http://schemas.microsoft.com/office/drawing/2014/main" id="{00000000-0008-0000-0200-000091000000}"/>
            </a:ext>
          </a:extLst>
        </xdr:cNvPr>
        <xdr:cNvSpPr>
          <a:spLocks noChangeAspect="1" noChangeArrowheads="1"/>
        </xdr:cNvSpPr>
      </xdr:nvSpPr>
      <xdr:spPr bwMode="auto">
        <a:xfrm>
          <a:off x="43526076" y="2932366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7</xdr:row>
      <xdr:rowOff>0</xdr:rowOff>
    </xdr:from>
    <xdr:to>
      <xdr:col>11</xdr:col>
      <xdr:colOff>288671</xdr:colOff>
      <xdr:row>7</xdr:row>
      <xdr:rowOff>246519</xdr:rowOff>
    </xdr:to>
    <xdr:sp macro="" textlink="">
      <xdr:nvSpPr>
        <xdr:cNvPr id="146" name="AutoShape 184" descr="Image result for cook islands flag">
          <a:extLst>
            <a:ext uri="{FF2B5EF4-FFF2-40B4-BE49-F238E27FC236}">
              <a16:creationId xmlns:a16="http://schemas.microsoft.com/office/drawing/2014/main" id="{00000000-0008-0000-0200-000092000000}"/>
            </a:ext>
          </a:extLst>
        </xdr:cNvPr>
        <xdr:cNvSpPr>
          <a:spLocks noChangeAspect="1" noChangeArrowheads="1"/>
        </xdr:cNvSpPr>
      </xdr:nvSpPr>
      <xdr:spPr bwMode="auto">
        <a:xfrm>
          <a:off x="43526076" y="2932366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7</xdr:row>
      <xdr:rowOff>0</xdr:rowOff>
    </xdr:from>
    <xdr:to>
      <xdr:col>11</xdr:col>
      <xdr:colOff>288671</xdr:colOff>
      <xdr:row>7</xdr:row>
      <xdr:rowOff>246519</xdr:rowOff>
    </xdr:to>
    <xdr:sp macro="" textlink="">
      <xdr:nvSpPr>
        <xdr:cNvPr id="155" name="AutoShape 194" descr="Image result for niue flag">
          <a:extLst>
            <a:ext uri="{FF2B5EF4-FFF2-40B4-BE49-F238E27FC236}">
              <a16:creationId xmlns:a16="http://schemas.microsoft.com/office/drawing/2014/main" id="{00000000-0008-0000-0200-00009B000000}"/>
            </a:ext>
          </a:extLst>
        </xdr:cNvPr>
        <xdr:cNvSpPr>
          <a:spLocks noChangeAspect="1" noChangeArrowheads="1"/>
        </xdr:cNvSpPr>
      </xdr:nvSpPr>
      <xdr:spPr bwMode="auto">
        <a:xfrm>
          <a:off x="43526076" y="30395227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7</xdr:row>
      <xdr:rowOff>0</xdr:rowOff>
    </xdr:from>
    <xdr:to>
      <xdr:col>11</xdr:col>
      <xdr:colOff>288671</xdr:colOff>
      <xdr:row>7</xdr:row>
      <xdr:rowOff>246519</xdr:rowOff>
    </xdr:to>
    <xdr:sp macro="" textlink="">
      <xdr:nvSpPr>
        <xdr:cNvPr id="156" name="AutoShape 195" descr="Image result for niue flag">
          <a:extLst>
            <a:ext uri="{FF2B5EF4-FFF2-40B4-BE49-F238E27FC236}">
              <a16:creationId xmlns:a16="http://schemas.microsoft.com/office/drawing/2014/main" id="{00000000-0008-0000-0200-00009C000000}"/>
            </a:ext>
          </a:extLst>
        </xdr:cNvPr>
        <xdr:cNvSpPr>
          <a:spLocks noChangeAspect="1" noChangeArrowheads="1"/>
        </xdr:cNvSpPr>
      </xdr:nvSpPr>
      <xdr:spPr bwMode="auto">
        <a:xfrm>
          <a:off x="43526076" y="3053905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7</xdr:row>
      <xdr:rowOff>0</xdr:rowOff>
    </xdr:from>
    <xdr:to>
      <xdr:col>11</xdr:col>
      <xdr:colOff>288671</xdr:colOff>
      <xdr:row>7</xdr:row>
      <xdr:rowOff>246519</xdr:rowOff>
    </xdr:to>
    <xdr:sp macro="" textlink="">
      <xdr:nvSpPr>
        <xdr:cNvPr id="157" name="AutoShape 198" descr="https://upload.wikimedia.org/wikipedia/commons/0/01/Flag_of_Niue.svg">
          <a:extLst>
            <a:ext uri="{FF2B5EF4-FFF2-40B4-BE49-F238E27FC236}">
              <a16:creationId xmlns:a16="http://schemas.microsoft.com/office/drawing/2014/main" id="{00000000-0008-0000-0200-00009D000000}"/>
            </a:ext>
          </a:extLst>
        </xdr:cNvPr>
        <xdr:cNvSpPr>
          <a:spLocks noChangeAspect="1" noChangeArrowheads="1"/>
        </xdr:cNvSpPr>
      </xdr:nvSpPr>
      <xdr:spPr bwMode="auto">
        <a:xfrm>
          <a:off x="43526076" y="30690502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7</xdr:row>
      <xdr:rowOff>0</xdr:rowOff>
    </xdr:from>
    <xdr:to>
      <xdr:col>11</xdr:col>
      <xdr:colOff>288671</xdr:colOff>
      <xdr:row>7</xdr:row>
      <xdr:rowOff>246519</xdr:rowOff>
    </xdr:to>
    <xdr:sp macro="" textlink="">
      <xdr:nvSpPr>
        <xdr:cNvPr id="158" name="AutoShape 199" descr="https://upload.wikimedia.org/wikipedia/commons/0/01/Flag_of_Niue.svg">
          <a:extLst>
            <a:ext uri="{FF2B5EF4-FFF2-40B4-BE49-F238E27FC236}">
              <a16:creationId xmlns:a16="http://schemas.microsoft.com/office/drawing/2014/main" id="{00000000-0008-0000-0200-00009E000000}"/>
            </a:ext>
          </a:extLst>
        </xdr:cNvPr>
        <xdr:cNvSpPr>
          <a:spLocks noChangeAspect="1" noChangeArrowheads="1"/>
        </xdr:cNvSpPr>
      </xdr:nvSpPr>
      <xdr:spPr bwMode="auto">
        <a:xfrm>
          <a:off x="43526076" y="306905025"/>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44451</xdr:colOff>
      <xdr:row>0</xdr:row>
      <xdr:rowOff>0</xdr:rowOff>
    </xdr:from>
    <xdr:to>
      <xdr:col>3</xdr:col>
      <xdr:colOff>288671</xdr:colOff>
      <xdr:row>1</xdr:row>
      <xdr:rowOff>40779</xdr:rowOff>
    </xdr:to>
    <xdr:sp macro="" textlink="">
      <xdr:nvSpPr>
        <xdr:cNvPr id="18" name="AutoShape 183" descr="Image result for cook islands flag">
          <a:extLst>
            <a:ext uri="{FF2B5EF4-FFF2-40B4-BE49-F238E27FC236}">
              <a16:creationId xmlns:a16="http://schemas.microsoft.com/office/drawing/2014/main" id="{00000000-0008-0000-0200-000012000000}"/>
            </a:ext>
          </a:extLst>
        </xdr:cNvPr>
        <xdr:cNvSpPr>
          <a:spLocks noChangeAspect="1" noChangeArrowheads="1"/>
        </xdr:cNvSpPr>
      </xdr:nvSpPr>
      <xdr:spPr bwMode="auto">
        <a:xfrm>
          <a:off x="1690371" y="429768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44451</xdr:colOff>
      <xdr:row>0</xdr:row>
      <xdr:rowOff>0</xdr:rowOff>
    </xdr:from>
    <xdr:to>
      <xdr:col>3</xdr:col>
      <xdr:colOff>288671</xdr:colOff>
      <xdr:row>1</xdr:row>
      <xdr:rowOff>40779</xdr:rowOff>
    </xdr:to>
    <xdr:sp macro="" textlink="">
      <xdr:nvSpPr>
        <xdr:cNvPr id="19" name="AutoShape 184" descr="Image result for cook islands flag">
          <a:extLst>
            <a:ext uri="{FF2B5EF4-FFF2-40B4-BE49-F238E27FC236}">
              <a16:creationId xmlns:a16="http://schemas.microsoft.com/office/drawing/2014/main" id="{00000000-0008-0000-0200-000013000000}"/>
            </a:ext>
          </a:extLst>
        </xdr:cNvPr>
        <xdr:cNvSpPr>
          <a:spLocks noChangeAspect="1" noChangeArrowheads="1"/>
        </xdr:cNvSpPr>
      </xdr:nvSpPr>
      <xdr:spPr bwMode="auto">
        <a:xfrm>
          <a:off x="1690371" y="429768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40779</xdr:rowOff>
    </xdr:to>
    <xdr:sp macro="" textlink="">
      <xdr:nvSpPr>
        <xdr:cNvPr id="20" name="AutoShape 183" descr="Image result for cook islands flag">
          <a:extLst>
            <a:ext uri="{FF2B5EF4-FFF2-40B4-BE49-F238E27FC236}">
              <a16:creationId xmlns:a16="http://schemas.microsoft.com/office/drawing/2014/main" id="{00000000-0008-0000-0200-000014000000}"/>
            </a:ext>
          </a:extLst>
        </xdr:cNvPr>
        <xdr:cNvSpPr>
          <a:spLocks noChangeAspect="1" noChangeArrowheads="1"/>
        </xdr:cNvSpPr>
      </xdr:nvSpPr>
      <xdr:spPr bwMode="auto">
        <a:xfrm>
          <a:off x="1690371" y="429768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40779</xdr:rowOff>
    </xdr:to>
    <xdr:sp macro="" textlink="">
      <xdr:nvSpPr>
        <xdr:cNvPr id="21" name="AutoShape 184" descr="Image result for cook islands flag">
          <a:extLst>
            <a:ext uri="{FF2B5EF4-FFF2-40B4-BE49-F238E27FC236}">
              <a16:creationId xmlns:a16="http://schemas.microsoft.com/office/drawing/2014/main" id="{00000000-0008-0000-0200-000015000000}"/>
            </a:ext>
          </a:extLst>
        </xdr:cNvPr>
        <xdr:cNvSpPr>
          <a:spLocks noChangeAspect="1" noChangeArrowheads="1"/>
        </xdr:cNvSpPr>
      </xdr:nvSpPr>
      <xdr:spPr bwMode="auto">
        <a:xfrm>
          <a:off x="1690371" y="429768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6" name="AutoShape 183" descr="Image result for cook islands flag">
          <a:extLst>
            <a:ext uri="{FF2B5EF4-FFF2-40B4-BE49-F238E27FC236}">
              <a16:creationId xmlns:a16="http://schemas.microsoft.com/office/drawing/2014/main" id="{00000000-0008-0000-0200-00001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7" name="AutoShape 184" descr="Image result for cook islands flag">
          <a:extLst>
            <a:ext uri="{FF2B5EF4-FFF2-40B4-BE49-F238E27FC236}">
              <a16:creationId xmlns:a16="http://schemas.microsoft.com/office/drawing/2014/main" id="{00000000-0008-0000-0200-00001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2" name="AutoShape 183" descr="Image result for cook islands flag">
          <a:extLst>
            <a:ext uri="{FF2B5EF4-FFF2-40B4-BE49-F238E27FC236}">
              <a16:creationId xmlns:a16="http://schemas.microsoft.com/office/drawing/2014/main" id="{00000000-0008-0000-0200-00001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3" name="AutoShape 184" descr="Image result for cook islands flag">
          <a:extLst>
            <a:ext uri="{FF2B5EF4-FFF2-40B4-BE49-F238E27FC236}">
              <a16:creationId xmlns:a16="http://schemas.microsoft.com/office/drawing/2014/main" id="{00000000-0008-0000-0200-00001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8" name="AutoShape 183" descr="Image result for cook islands flag">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9" name="AutoShape 184" descr="Image result for cook islands flag">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30" name="AutoShape 183" descr="Image result for cook islands flag">
          <a:extLst>
            <a:ext uri="{FF2B5EF4-FFF2-40B4-BE49-F238E27FC236}">
              <a16:creationId xmlns:a16="http://schemas.microsoft.com/office/drawing/2014/main" id="{00000000-0008-0000-0200-00001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31" name="AutoShape 184" descr="Image result for cook islands flag">
          <a:extLst>
            <a:ext uri="{FF2B5EF4-FFF2-40B4-BE49-F238E27FC236}">
              <a16:creationId xmlns:a16="http://schemas.microsoft.com/office/drawing/2014/main" id="{00000000-0008-0000-0200-00001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2" name="AutoShape 183" descr="Image result for cook islands flag">
          <a:extLst>
            <a:ext uri="{FF2B5EF4-FFF2-40B4-BE49-F238E27FC236}">
              <a16:creationId xmlns:a16="http://schemas.microsoft.com/office/drawing/2014/main" id="{00000000-0008-0000-0200-00002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3" name="AutoShape 184" descr="Image result for cook islands flag">
          <a:extLst>
            <a:ext uri="{FF2B5EF4-FFF2-40B4-BE49-F238E27FC236}">
              <a16:creationId xmlns:a16="http://schemas.microsoft.com/office/drawing/2014/main" id="{00000000-0008-0000-0200-00002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4" name="AutoShape 183" descr="Image result for cook islands flag">
          <a:extLst>
            <a:ext uri="{FF2B5EF4-FFF2-40B4-BE49-F238E27FC236}">
              <a16:creationId xmlns:a16="http://schemas.microsoft.com/office/drawing/2014/main" id="{00000000-0008-0000-0200-00002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5" name="AutoShape 184" descr="Image result for cook islands flag">
          <a:extLst>
            <a:ext uri="{FF2B5EF4-FFF2-40B4-BE49-F238E27FC236}">
              <a16:creationId xmlns:a16="http://schemas.microsoft.com/office/drawing/2014/main" id="{00000000-0008-0000-0200-00002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4" name="AutoShape 183" descr="Image result for cook islands flag">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5" name="AutoShape 184" descr="Image result for cook islands flag">
          <a:extLst>
            <a:ext uri="{FF2B5EF4-FFF2-40B4-BE49-F238E27FC236}">
              <a16:creationId xmlns:a16="http://schemas.microsoft.com/office/drawing/2014/main" id="{00000000-0008-0000-0200-00001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6" name="AutoShape 183" descr="Image result for cook islands flag">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7" name="AutoShape 184" descr="Image result for cook islands flag">
          <a:extLst>
            <a:ext uri="{FF2B5EF4-FFF2-40B4-BE49-F238E27FC236}">
              <a16:creationId xmlns:a16="http://schemas.microsoft.com/office/drawing/2014/main" id="{00000000-0008-0000-0200-00001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44451</xdr:colOff>
      <xdr:row>4</xdr:row>
      <xdr:rowOff>0</xdr:rowOff>
    </xdr:from>
    <xdr:ext cx="249935" cy="254139"/>
    <xdr:sp macro="" textlink="">
      <xdr:nvSpPr>
        <xdr:cNvPr id="36" name="AutoShape 183" descr="Image result for cook islands flag">
          <a:extLst>
            <a:ext uri="{FF2B5EF4-FFF2-40B4-BE49-F238E27FC236}">
              <a16:creationId xmlns:a16="http://schemas.microsoft.com/office/drawing/2014/main" id="{00000000-0008-0000-0200-000024000000}"/>
            </a:ext>
          </a:extLst>
        </xdr:cNvPr>
        <xdr:cNvSpPr>
          <a:spLocks noChangeAspect="1" noChangeArrowheads="1"/>
        </xdr:cNvSpPr>
      </xdr:nvSpPr>
      <xdr:spPr bwMode="auto">
        <a:xfrm>
          <a:off x="12580098" y="1225176"/>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4</xdr:row>
      <xdr:rowOff>0</xdr:rowOff>
    </xdr:from>
    <xdr:ext cx="249935" cy="254139"/>
    <xdr:sp macro="" textlink="">
      <xdr:nvSpPr>
        <xdr:cNvPr id="37" name="AutoShape 184" descr="Image result for cook islands flag">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12580098" y="1225176"/>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4</xdr:row>
      <xdr:rowOff>0</xdr:rowOff>
    </xdr:from>
    <xdr:ext cx="249935" cy="254139"/>
    <xdr:sp macro="" textlink="">
      <xdr:nvSpPr>
        <xdr:cNvPr id="38" name="AutoShape 194" descr="Image result for niue flag">
          <a:extLst>
            <a:ext uri="{FF2B5EF4-FFF2-40B4-BE49-F238E27FC236}">
              <a16:creationId xmlns:a16="http://schemas.microsoft.com/office/drawing/2014/main" id="{00000000-0008-0000-0200-000026000000}"/>
            </a:ext>
          </a:extLst>
        </xdr:cNvPr>
        <xdr:cNvSpPr>
          <a:spLocks noChangeAspect="1" noChangeArrowheads="1"/>
        </xdr:cNvSpPr>
      </xdr:nvSpPr>
      <xdr:spPr bwMode="auto">
        <a:xfrm>
          <a:off x="12580098" y="1225176"/>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4</xdr:row>
      <xdr:rowOff>0</xdr:rowOff>
    </xdr:from>
    <xdr:ext cx="249935" cy="254139"/>
    <xdr:sp macro="" textlink="">
      <xdr:nvSpPr>
        <xdr:cNvPr id="39" name="AutoShape 195" descr="Image result for niue flag">
          <a:extLst>
            <a:ext uri="{FF2B5EF4-FFF2-40B4-BE49-F238E27FC236}">
              <a16:creationId xmlns:a16="http://schemas.microsoft.com/office/drawing/2014/main" id="{00000000-0008-0000-0200-000027000000}"/>
            </a:ext>
          </a:extLst>
        </xdr:cNvPr>
        <xdr:cNvSpPr>
          <a:spLocks noChangeAspect="1" noChangeArrowheads="1"/>
        </xdr:cNvSpPr>
      </xdr:nvSpPr>
      <xdr:spPr bwMode="auto">
        <a:xfrm>
          <a:off x="12580098" y="1225176"/>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4</xdr:row>
      <xdr:rowOff>0</xdr:rowOff>
    </xdr:from>
    <xdr:ext cx="249935" cy="254139"/>
    <xdr:sp macro="" textlink="">
      <xdr:nvSpPr>
        <xdr:cNvPr id="40" name="AutoShape 198" descr="https://upload.wikimedia.org/wikipedia/commons/0/01/Flag_of_Niue.svg">
          <a:extLst>
            <a:ext uri="{FF2B5EF4-FFF2-40B4-BE49-F238E27FC236}">
              <a16:creationId xmlns:a16="http://schemas.microsoft.com/office/drawing/2014/main" id="{00000000-0008-0000-0200-000028000000}"/>
            </a:ext>
          </a:extLst>
        </xdr:cNvPr>
        <xdr:cNvSpPr>
          <a:spLocks noChangeAspect="1" noChangeArrowheads="1"/>
        </xdr:cNvSpPr>
      </xdr:nvSpPr>
      <xdr:spPr bwMode="auto">
        <a:xfrm>
          <a:off x="12580098" y="1225176"/>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4</xdr:row>
      <xdr:rowOff>0</xdr:rowOff>
    </xdr:from>
    <xdr:ext cx="249935" cy="254139"/>
    <xdr:sp macro="" textlink="">
      <xdr:nvSpPr>
        <xdr:cNvPr id="41" name="AutoShape 199" descr="https://upload.wikimedia.org/wikipedia/commons/0/01/Flag_of_Niue.svg">
          <a:extLst>
            <a:ext uri="{FF2B5EF4-FFF2-40B4-BE49-F238E27FC236}">
              <a16:creationId xmlns:a16="http://schemas.microsoft.com/office/drawing/2014/main" id="{00000000-0008-0000-0200-000029000000}"/>
            </a:ext>
          </a:extLst>
        </xdr:cNvPr>
        <xdr:cNvSpPr>
          <a:spLocks noChangeAspect="1" noChangeArrowheads="1"/>
        </xdr:cNvSpPr>
      </xdr:nvSpPr>
      <xdr:spPr bwMode="auto">
        <a:xfrm>
          <a:off x="12580098" y="1225176"/>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44451</xdr:colOff>
      <xdr:row>0</xdr:row>
      <xdr:rowOff>0</xdr:rowOff>
    </xdr:from>
    <xdr:to>
      <xdr:col>4</xdr:col>
      <xdr:colOff>288671</xdr:colOff>
      <xdr:row>1</xdr:row>
      <xdr:rowOff>38239</xdr:rowOff>
    </xdr:to>
    <xdr:sp macro="" textlink="">
      <xdr:nvSpPr>
        <xdr:cNvPr id="42" name="AutoShape 183" descr="Image result for cook islands flag">
          <a:extLst>
            <a:ext uri="{FF2B5EF4-FFF2-40B4-BE49-F238E27FC236}">
              <a16:creationId xmlns:a16="http://schemas.microsoft.com/office/drawing/2014/main" id="{00000000-0008-0000-0200-00002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43" name="AutoShape 184" descr="Image result for cook islands flag">
          <a:extLst>
            <a:ext uri="{FF2B5EF4-FFF2-40B4-BE49-F238E27FC236}">
              <a16:creationId xmlns:a16="http://schemas.microsoft.com/office/drawing/2014/main" id="{00000000-0008-0000-0200-00002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44" name="AutoShape 183" descr="Image result for cook islands flag">
          <a:extLst>
            <a:ext uri="{FF2B5EF4-FFF2-40B4-BE49-F238E27FC236}">
              <a16:creationId xmlns:a16="http://schemas.microsoft.com/office/drawing/2014/main" id="{00000000-0008-0000-0200-00002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45" name="AutoShape 184" descr="Image result for cook islands flag">
          <a:extLst>
            <a:ext uri="{FF2B5EF4-FFF2-40B4-BE49-F238E27FC236}">
              <a16:creationId xmlns:a16="http://schemas.microsoft.com/office/drawing/2014/main" id="{00000000-0008-0000-0200-00002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46" name="AutoShape 183" descr="Image result for cook islands flag">
          <a:extLst>
            <a:ext uri="{FF2B5EF4-FFF2-40B4-BE49-F238E27FC236}">
              <a16:creationId xmlns:a16="http://schemas.microsoft.com/office/drawing/2014/main" id="{00000000-0008-0000-0200-00002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47" name="AutoShape 184" descr="Image result for cook islands flag">
          <a:extLst>
            <a:ext uri="{FF2B5EF4-FFF2-40B4-BE49-F238E27FC236}">
              <a16:creationId xmlns:a16="http://schemas.microsoft.com/office/drawing/2014/main" id="{00000000-0008-0000-0200-00002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48" name="AutoShape 183" descr="Image result for cook islands flag">
          <a:extLst>
            <a:ext uri="{FF2B5EF4-FFF2-40B4-BE49-F238E27FC236}">
              <a16:creationId xmlns:a16="http://schemas.microsoft.com/office/drawing/2014/main" id="{00000000-0008-0000-0200-00003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49" name="AutoShape 184" descr="Image result for cook islands flag">
          <a:extLst>
            <a:ext uri="{FF2B5EF4-FFF2-40B4-BE49-F238E27FC236}">
              <a16:creationId xmlns:a16="http://schemas.microsoft.com/office/drawing/2014/main" id="{00000000-0008-0000-0200-00003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52" name="AutoShape 183" descr="Image result for cook islands flag">
          <a:extLst>
            <a:ext uri="{FF2B5EF4-FFF2-40B4-BE49-F238E27FC236}">
              <a16:creationId xmlns:a16="http://schemas.microsoft.com/office/drawing/2014/main" id="{00000000-0008-0000-0200-00003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53" name="AutoShape 184" descr="Image result for cook islands flag">
          <a:extLst>
            <a:ext uri="{FF2B5EF4-FFF2-40B4-BE49-F238E27FC236}">
              <a16:creationId xmlns:a16="http://schemas.microsoft.com/office/drawing/2014/main" id="{00000000-0008-0000-0200-00003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50" name="AutoShape 183" descr="Image result for cook islands flag">
          <a:extLst>
            <a:ext uri="{FF2B5EF4-FFF2-40B4-BE49-F238E27FC236}">
              <a16:creationId xmlns:a16="http://schemas.microsoft.com/office/drawing/2014/main" id="{00000000-0008-0000-0200-00003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51" name="AutoShape 184" descr="Image result for cook islands flag">
          <a:extLst>
            <a:ext uri="{FF2B5EF4-FFF2-40B4-BE49-F238E27FC236}">
              <a16:creationId xmlns:a16="http://schemas.microsoft.com/office/drawing/2014/main" id="{00000000-0008-0000-0200-00003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58" name="AutoShape 183" descr="Image result for cook islands flag">
          <a:extLst>
            <a:ext uri="{FF2B5EF4-FFF2-40B4-BE49-F238E27FC236}">
              <a16:creationId xmlns:a16="http://schemas.microsoft.com/office/drawing/2014/main" id="{00000000-0008-0000-0200-00003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59" name="AutoShape 184" descr="Image result for cook islands flag">
          <a:extLst>
            <a:ext uri="{FF2B5EF4-FFF2-40B4-BE49-F238E27FC236}">
              <a16:creationId xmlns:a16="http://schemas.microsoft.com/office/drawing/2014/main" id="{00000000-0008-0000-0200-00003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54" name="AutoShape 183" descr="Image result for cook islands flag">
          <a:extLst>
            <a:ext uri="{FF2B5EF4-FFF2-40B4-BE49-F238E27FC236}">
              <a16:creationId xmlns:a16="http://schemas.microsoft.com/office/drawing/2014/main" id="{00000000-0008-0000-0200-00003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55" name="AutoShape 184" descr="Image result for cook islands flag">
          <a:extLst>
            <a:ext uri="{FF2B5EF4-FFF2-40B4-BE49-F238E27FC236}">
              <a16:creationId xmlns:a16="http://schemas.microsoft.com/office/drawing/2014/main" id="{00000000-0008-0000-0200-00003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56" name="AutoShape 183" descr="Image result for cook islands flag">
          <a:extLst>
            <a:ext uri="{FF2B5EF4-FFF2-40B4-BE49-F238E27FC236}">
              <a16:creationId xmlns:a16="http://schemas.microsoft.com/office/drawing/2014/main" id="{00000000-0008-0000-0200-00003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57" name="AutoShape 184" descr="Image result for cook islands flag">
          <a:extLst>
            <a:ext uri="{FF2B5EF4-FFF2-40B4-BE49-F238E27FC236}">
              <a16:creationId xmlns:a16="http://schemas.microsoft.com/office/drawing/2014/main" id="{00000000-0008-0000-0200-00003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62" name="AutoShape 183" descr="Image result for cook islands flag">
          <a:extLst>
            <a:ext uri="{FF2B5EF4-FFF2-40B4-BE49-F238E27FC236}">
              <a16:creationId xmlns:a16="http://schemas.microsoft.com/office/drawing/2014/main" id="{00000000-0008-0000-0200-00003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63" name="AutoShape 184" descr="Image result for cook islands flag">
          <a:extLst>
            <a:ext uri="{FF2B5EF4-FFF2-40B4-BE49-F238E27FC236}">
              <a16:creationId xmlns:a16="http://schemas.microsoft.com/office/drawing/2014/main" id="{00000000-0008-0000-0200-00003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60" name="AutoShape 183" descr="Image result for cook islands flag">
          <a:extLst>
            <a:ext uri="{FF2B5EF4-FFF2-40B4-BE49-F238E27FC236}">
              <a16:creationId xmlns:a16="http://schemas.microsoft.com/office/drawing/2014/main" id="{00000000-0008-0000-0200-00003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61" name="AutoShape 184" descr="Image result for cook islands flag">
          <a:extLst>
            <a:ext uri="{FF2B5EF4-FFF2-40B4-BE49-F238E27FC236}">
              <a16:creationId xmlns:a16="http://schemas.microsoft.com/office/drawing/2014/main" id="{00000000-0008-0000-0200-00003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66" name="AutoShape 183" descr="Image result for cook islands flag">
          <a:extLst>
            <a:ext uri="{FF2B5EF4-FFF2-40B4-BE49-F238E27FC236}">
              <a16:creationId xmlns:a16="http://schemas.microsoft.com/office/drawing/2014/main" id="{00000000-0008-0000-0200-00004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67" name="AutoShape 184" descr="Image result for cook islands flag">
          <a:extLst>
            <a:ext uri="{FF2B5EF4-FFF2-40B4-BE49-F238E27FC236}">
              <a16:creationId xmlns:a16="http://schemas.microsoft.com/office/drawing/2014/main" id="{00000000-0008-0000-0200-00004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68" name="AutoShape 183" descr="Image result for cook islands flag">
          <a:extLst>
            <a:ext uri="{FF2B5EF4-FFF2-40B4-BE49-F238E27FC236}">
              <a16:creationId xmlns:a16="http://schemas.microsoft.com/office/drawing/2014/main" id="{00000000-0008-0000-0200-00004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69" name="AutoShape 184" descr="Image result for cook islands flag">
          <a:extLst>
            <a:ext uri="{FF2B5EF4-FFF2-40B4-BE49-F238E27FC236}">
              <a16:creationId xmlns:a16="http://schemas.microsoft.com/office/drawing/2014/main" id="{00000000-0008-0000-0200-00004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70" name="AutoShape 183" descr="Image result for cook islands flag">
          <a:extLst>
            <a:ext uri="{FF2B5EF4-FFF2-40B4-BE49-F238E27FC236}">
              <a16:creationId xmlns:a16="http://schemas.microsoft.com/office/drawing/2014/main" id="{00000000-0008-0000-0200-00004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71" name="AutoShape 184" descr="Image result for cook islands flag">
          <a:extLst>
            <a:ext uri="{FF2B5EF4-FFF2-40B4-BE49-F238E27FC236}">
              <a16:creationId xmlns:a16="http://schemas.microsoft.com/office/drawing/2014/main" id="{00000000-0008-0000-0200-00004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72" name="AutoShape 183" descr="Image result for cook islands flag">
          <a:extLst>
            <a:ext uri="{FF2B5EF4-FFF2-40B4-BE49-F238E27FC236}">
              <a16:creationId xmlns:a16="http://schemas.microsoft.com/office/drawing/2014/main" id="{00000000-0008-0000-0200-00004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73" name="AutoShape 184" descr="Image result for cook islands flag">
          <a:extLst>
            <a:ext uri="{FF2B5EF4-FFF2-40B4-BE49-F238E27FC236}">
              <a16:creationId xmlns:a16="http://schemas.microsoft.com/office/drawing/2014/main" id="{00000000-0008-0000-0200-00004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74" name="AutoShape 183" descr="Image result for cook islands flag">
          <a:extLst>
            <a:ext uri="{FF2B5EF4-FFF2-40B4-BE49-F238E27FC236}">
              <a16:creationId xmlns:a16="http://schemas.microsoft.com/office/drawing/2014/main" id="{00000000-0008-0000-0200-00004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75" name="AutoShape 184" descr="Image result for cook islands flag">
          <a:extLst>
            <a:ext uri="{FF2B5EF4-FFF2-40B4-BE49-F238E27FC236}">
              <a16:creationId xmlns:a16="http://schemas.microsoft.com/office/drawing/2014/main" id="{00000000-0008-0000-0200-00004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76" name="AutoShape 183" descr="Image result for cook islands flag">
          <a:extLst>
            <a:ext uri="{FF2B5EF4-FFF2-40B4-BE49-F238E27FC236}">
              <a16:creationId xmlns:a16="http://schemas.microsoft.com/office/drawing/2014/main" id="{00000000-0008-0000-0200-00004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77" name="AutoShape 184" descr="Image result for cook islands flag">
          <a:extLst>
            <a:ext uri="{FF2B5EF4-FFF2-40B4-BE49-F238E27FC236}">
              <a16:creationId xmlns:a16="http://schemas.microsoft.com/office/drawing/2014/main" id="{00000000-0008-0000-0200-00004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78" name="AutoShape 183" descr="Image result for cook islands flag">
          <a:extLst>
            <a:ext uri="{FF2B5EF4-FFF2-40B4-BE49-F238E27FC236}">
              <a16:creationId xmlns:a16="http://schemas.microsoft.com/office/drawing/2014/main" id="{00000000-0008-0000-0200-00004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79" name="AutoShape 184" descr="Image result for cook islands flag">
          <a:extLst>
            <a:ext uri="{FF2B5EF4-FFF2-40B4-BE49-F238E27FC236}">
              <a16:creationId xmlns:a16="http://schemas.microsoft.com/office/drawing/2014/main" id="{00000000-0008-0000-0200-00004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80" name="AutoShape 183" descr="Image result for cook islands flag">
          <a:extLst>
            <a:ext uri="{FF2B5EF4-FFF2-40B4-BE49-F238E27FC236}">
              <a16:creationId xmlns:a16="http://schemas.microsoft.com/office/drawing/2014/main" id="{00000000-0008-0000-0200-00005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81" name="AutoShape 184" descr="Image result for cook islands flag">
          <a:extLst>
            <a:ext uri="{FF2B5EF4-FFF2-40B4-BE49-F238E27FC236}">
              <a16:creationId xmlns:a16="http://schemas.microsoft.com/office/drawing/2014/main" id="{00000000-0008-0000-0200-00005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82" name="AutoShape 183" descr="Image result for cook islands flag">
          <a:extLst>
            <a:ext uri="{FF2B5EF4-FFF2-40B4-BE49-F238E27FC236}">
              <a16:creationId xmlns:a16="http://schemas.microsoft.com/office/drawing/2014/main" id="{00000000-0008-0000-0200-00005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83" name="AutoShape 184" descr="Image result for cook islands flag">
          <a:extLst>
            <a:ext uri="{FF2B5EF4-FFF2-40B4-BE49-F238E27FC236}">
              <a16:creationId xmlns:a16="http://schemas.microsoft.com/office/drawing/2014/main" id="{00000000-0008-0000-0200-00005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84" name="AutoShape 183" descr="Image result for cook islands flag">
          <a:extLst>
            <a:ext uri="{FF2B5EF4-FFF2-40B4-BE49-F238E27FC236}">
              <a16:creationId xmlns:a16="http://schemas.microsoft.com/office/drawing/2014/main" id="{00000000-0008-0000-0200-00005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85" name="AutoShape 184" descr="Image result for cook islands flag">
          <a:extLst>
            <a:ext uri="{FF2B5EF4-FFF2-40B4-BE49-F238E27FC236}">
              <a16:creationId xmlns:a16="http://schemas.microsoft.com/office/drawing/2014/main" id="{00000000-0008-0000-0200-00005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88" name="AutoShape 183" descr="Image result for cook islands flag">
          <a:extLst>
            <a:ext uri="{FF2B5EF4-FFF2-40B4-BE49-F238E27FC236}">
              <a16:creationId xmlns:a16="http://schemas.microsoft.com/office/drawing/2014/main" id="{00000000-0008-0000-0200-00005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89" name="AutoShape 184" descr="Image result for cook islands flag">
          <a:extLst>
            <a:ext uri="{FF2B5EF4-FFF2-40B4-BE49-F238E27FC236}">
              <a16:creationId xmlns:a16="http://schemas.microsoft.com/office/drawing/2014/main" id="{00000000-0008-0000-0200-00005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90" name="AutoShape 183" descr="Image result for cook islands flag">
          <a:extLst>
            <a:ext uri="{FF2B5EF4-FFF2-40B4-BE49-F238E27FC236}">
              <a16:creationId xmlns:a16="http://schemas.microsoft.com/office/drawing/2014/main" id="{00000000-0008-0000-0200-00005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91" name="AutoShape 184" descr="Image result for cook islands flag">
          <a:extLst>
            <a:ext uri="{FF2B5EF4-FFF2-40B4-BE49-F238E27FC236}">
              <a16:creationId xmlns:a16="http://schemas.microsoft.com/office/drawing/2014/main" id="{00000000-0008-0000-0200-00005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92" name="AutoShape 183" descr="Image result for cook islands flag">
          <a:extLst>
            <a:ext uri="{FF2B5EF4-FFF2-40B4-BE49-F238E27FC236}">
              <a16:creationId xmlns:a16="http://schemas.microsoft.com/office/drawing/2014/main" id="{00000000-0008-0000-0200-00005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93" name="AutoShape 184" descr="Image result for cook islands flag">
          <a:extLst>
            <a:ext uri="{FF2B5EF4-FFF2-40B4-BE49-F238E27FC236}">
              <a16:creationId xmlns:a16="http://schemas.microsoft.com/office/drawing/2014/main" id="{00000000-0008-0000-0200-00005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94" name="AutoShape 183" descr="Image result for cook islands flag">
          <a:extLst>
            <a:ext uri="{FF2B5EF4-FFF2-40B4-BE49-F238E27FC236}">
              <a16:creationId xmlns:a16="http://schemas.microsoft.com/office/drawing/2014/main" id="{00000000-0008-0000-0200-00005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95" name="AutoShape 184" descr="Image result for cook islands flag">
          <a:extLst>
            <a:ext uri="{FF2B5EF4-FFF2-40B4-BE49-F238E27FC236}">
              <a16:creationId xmlns:a16="http://schemas.microsoft.com/office/drawing/2014/main" id="{00000000-0008-0000-0200-00005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4</xdr:row>
      <xdr:rowOff>0</xdr:rowOff>
    </xdr:from>
    <xdr:to>
      <xdr:col>4</xdr:col>
      <xdr:colOff>288671</xdr:colOff>
      <xdr:row>4</xdr:row>
      <xdr:rowOff>246519</xdr:rowOff>
    </xdr:to>
    <xdr:sp macro="" textlink="">
      <xdr:nvSpPr>
        <xdr:cNvPr id="96" name="AutoShape 183" descr="Image result for cook islands flag">
          <a:extLst>
            <a:ext uri="{FF2B5EF4-FFF2-40B4-BE49-F238E27FC236}">
              <a16:creationId xmlns:a16="http://schemas.microsoft.com/office/drawing/2014/main" id="{00000000-0008-0000-0200-00006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4</xdr:row>
      <xdr:rowOff>0</xdr:rowOff>
    </xdr:from>
    <xdr:to>
      <xdr:col>4</xdr:col>
      <xdr:colOff>288671</xdr:colOff>
      <xdr:row>4</xdr:row>
      <xdr:rowOff>246519</xdr:rowOff>
    </xdr:to>
    <xdr:sp macro="" textlink="">
      <xdr:nvSpPr>
        <xdr:cNvPr id="97" name="AutoShape 184" descr="Image result for cook islands flag">
          <a:extLst>
            <a:ext uri="{FF2B5EF4-FFF2-40B4-BE49-F238E27FC236}">
              <a16:creationId xmlns:a16="http://schemas.microsoft.com/office/drawing/2014/main" id="{00000000-0008-0000-0200-00006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4</xdr:row>
      <xdr:rowOff>0</xdr:rowOff>
    </xdr:from>
    <xdr:to>
      <xdr:col>11</xdr:col>
      <xdr:colOff>288671</xdr:colOff>
      <xdr:row>4</xdr:row>
      <xdr:rowOff>246519</xdr:rowOff>
    </xdr:to>
    <xdr:sp macro="" textlink="">
      <xdr:nvSpPr>
        <xdr:cNvPr id="98" name="AutoShape 183" descr="Image result for cook islands flag">
          <a:extLst>
            <a:ext uri="{FF2B5EF4-FFF2-40B4-BE49-F238E27FC236}">
              <a16:creationId xmlns:a16="http://schemas.microsoft.com/office/drawing/2014/main" id="{00000000-0008-0000-0200-00006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4</xdr:row>
      <xdr:rowOff>0</xdr:rowOff>
    </xdr:from>
    <xdr:to>
      <xdr:col>11</xdr:col>
      <xdr:colOff>288671</xdr:colOff>
      <xdr:row>4</xdr:row>
      <xdr:rowOff>246519</xdr:rowOff>
    </xdr:to>
    <xdr:sp macro="" textlink="">
      <xdr:nvSpPr>
        <xdr:cNvPr id="99" name="AutoShape 184" descr="Image result for cook islands flag">
          <a:extLst>
            <a:ext uri="{FF2B5EF4-FFF2-40B4-BE49-F238E27FC236}">
              <a16:creationId xmlns:a16="http://schemas.microsoft.com/office/drawing/2014/main" id="{00000000-0008-0000-0200-00006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00" name="AutoShape 183" descr="Image result for cook islands flag">
          <a:extLst>
            <a:ext uri="{FF2B5EF4-FFF2-40B4-BE49-F238E27FC236}">
              <a16:creationId xmlns:a16="http://schemas.microsoft.com/office/drawing/2014/main" id="{00000000-0008-0000-0200-00006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01" name="AutoShape 184" descr="Image result for cook islands flag">
          <a:extLst>
            <a:ext uri="{FF2B5EF4-FFF2-40B4-BE49-F238E27FC236}">
              <a16:creationId xmlns:a16="http://schemas.microsoft.com/office/drawing/2014/main" id="{00000000-0008-0000-0200-00006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02" name="AutoShape 183" descr="Image result for cook islands flag">
          <a:extLst>
            <a:ext uri="{FF2B5EF4-FFF2-40B4-BE49-F238E27FC236}">
              <a16:creationId xmlns:a16="http://schemas.microsoft.com/office/drawing/2014/main" id="{00000000-0008-0000-0200-00006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03" name="AutoShape 184" descr="Image result for cook islands flag">
          <a:extLst>
            <a:ext uri="{FF2B5EF4-FFF2-40B4-BE49-F238E27FC236}">
              <a16:creationId xmlns:a16="http://schemas.microsoft.com/office/drawing/2014/main" id="{00000000-0008-0000-0200-00006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33</xdr:row>
      <xdr:rowOff>0</xdr:rowOff>
    </xdr:from>
    <xdr:to>
      <xdr:col>4</xdr:col>
      <xdr:colOff>288671</xdr:colOff>
      <xdr:row>33</xdr:row>
      <xdr:rowOff>244614</xdr:rowOff>
    </xdr:to>
    <xdr:sp macro="" textlink="">
      <xdr:nvSpPr>
        <xdr:cNvPr id="104" name="AutoShape 183" descr="Image result for cook islands flag">
          <a:extLst>
            <a:ext uri="{FF2B5EF4-FFF2-40B4-BE49-F238E27FC236}">
              <a16:creationId xmlns:a16="http://schemas.microsoft.com/office/drawing/2014/main" id="{00000000-0008-0000-0200-00006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33</xdr:row>
      <xdr:rowOff>0</xdr:rowOff>
    </xdr:from>
    <xdr:to>
      <xdr:col>4</xdr:col>
      <xdr:colOff>288671</xdr:colOff>
      <xdr:row>33</xdr:row>
      <xdr:rowOff>244614</xdr:rowOff>
    </xdr:to>
    <xdr:sp macro="" textlink="">
      <xdr:nvSpPr>
        <xdr:cNvPr id="105" name="AutoShape 184" descr="Image result for cook islands flag">
          <a:extLst>
            <a:ext uri="{FF2B5EF4-FFF2-40B4-BE49-F238E27FC236}">
              <a16:creationId xmlns:a16="http://schemas.microsoft.com/office/drawing/2014/main" id="{00000000-0008-0000-0200-00006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44451</xdr:colOff>
      <xdr:row>33</xdr:row>
      <xdr:rowOff>0</xdr:rowOff>
    </xdr:from>
    <xdr:ext cx="249935" cy="254139"/>
    <xdr:sp macro="" textlink="">
      <xdr:nvSpPr>
        <xdr:cNvPr id="106" name="AutoShape 183" descr="Image result for cook islands flag">
          <a:extLst>
            <a:ext uri="{FF2B5EF4-FFF2-40B4-BE49-F238E27FC236}">
              <a16:creationId xmlns:a16="http://schemas.microsoft.com/office/drawing/2014/main" id="{00000000-0008-0000-0200-00006A000000}"/>
            </a:ext>
          </a:extLst>
        </xdr:cNvPr>
        <xdr:cNvSpPr>
          <a:spLocks noChangeAspect="1" noChangeArrowheads="1"/>
        </xdr:cNvSpPr>
      </xdr:nvSpPr>
      <xdr:spPr bwMode="auto">
        <a:xfrm>
          <a:off x="3473451" y="1025711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33</xdr:row>
      <xdr:rowOff>0</xdr:rowOff>
    </xdr:from>
    <xdr:ext cx="249935" cy="254139"/>
    <xdr:sp macro="" textlink="">
      <xdr:nvSpPr>
        <xdr:cNvPr id="107" name="AutoShape 184" descr="Image result for cook islands flag">
          <a:extLst>
            <a:ext uri="{FF2B5EF4-FFF2-40B4-BE49-F238E27FC236}">
              <a16:creationId xmlns:a16="http://schemas.microsoft.com/office/drawing/2014/main" id="{00000000-0008-0000-0200-00006B000000}"/>
            </a:ext>
          </a:extLst>
        </xdr:cNvPr>
        <xdr:cNvSpPr>
          <a:spLocks noChangeAspect="1" noChangeArrowheads="1"/>
        </xdr:cNvSpPr>
      </xdr:nvSpPr>
      <xdr:spPr bwMode="auto">
        <a:xfrm>
          <a:off x="3473451" y="1025711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18</xdr:col>
      <xdr:colOff>44451</xdr:colOff>
      <xdr:row>33</xdr:row>
      <xdr:rowOff>0</xdr:rowOff>
    </xdr:from>
    <xdr:to>
      <xdr:col>18</xdr:col>
      <xdr:colOff>288671</xdr:colOff>
      <xdr:row>33</xdr:row>
      <xdr:rowOff>244614</xdr:rowOff>
    </xdr:to>
    <xdr:sp macro="" textlink="">
      <xdr:nvSpPr>
        <xdr:cNvPr id="108" name="AutoShape 183" descr="Image result for cook islands flag">
          <a:extLst>
            <a:ext uri="{FF2B5EF4-FFF2-40B4-BE49-F238E27FC236}">
              <a16:creationId xmlns:a16="http://schemas.microsoft.com/office/drawing/2014/main" id="{00000000-0008-0000-0200-00006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33</xdr:row>
      <xdr:rowOff>0</xdr:rowOff>
    </xdr:from>
    <xdr:to>
      <xdr:col>18</xdr:col>
      <xdr:colOff>288671</xdr:colOff>
      <xdr:row>33</xdr:row>
      <xdr:rowOff>244614</xdr:rowOff>
    </xdr:to>
    <xdr:sp macro="" textlink="">
      <xdr:nvSpPr>
        <xdr:cNvPr id="109" name="AutoShape 184" descr="Image result for cook islands flag">
          <a:extLst>
            <a:ext uri="{FF2B5EF4-FFF2-40B4-BE49-F238E27FC236}">
              <a16:creationId xmlns:a16="http://schemas.microsoft.com/office/drawing/2014/main" id="{00000000-0008-0000-0200-00006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44451</xdr:colOff>
      <xdr:row>0</xdr:row>
      <xdr:rowOff>0</xdr:rowOff>
    </xdr:from>
    <xdr:to>
      <xdr:col>3</xdr:col>
      <xdr:colOff>288671</xdr:colOff>
      <xdr:row>1</xdr:row>
      <xdr:rowOff>38239</xdr:rowOff>
    </xdr:to>
    <xdr:sp macro="" textlink="">
      <xdr:nvSpPr>
        <xdr:cNvPr id="110" name="AutoShape 183" descr="Image result for cook islands flag">
          <a:extLst>
            <a:ext uri="{FF2B5EF4-FFF2-40B4-BE49-F238E27FC236}">
              <a16:creationId xmlns:a16="http://schemas.microsoft.com/office/drawing/2014/main" id="{00000000-0008-0000-0200-00006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44451</xdr:colOff>
      <xdr:row>0</xdr:row>
      <xdr:rowOff>0</xdr:rowOff>
    </xdr:from>
    <xdr:to>
      <xdr:col>3</xdr:col>
      <xdr:colOff>288671</xdr:colOff>
      <xdr:row>1</xdr:row>
      <xdr:rowOff>38239</xdr:rowOff>
    </xdr:to>
    <xdr:sp macro="" textlink="">
      <xdr:nvSpPr>
        <xdr:cNvPr id="111" name="AutoShape 184" descr="Image result for cook islands flag">
          <a:extLst>
            <a:ext uri="{FF2B5EF4-FFF2-40B4-BE49-F238E27FC236}">
              <a16:creationId xmlns:a16="http://schemas.microsoft.com/office/drawing/2014/main" id="{00000000-0008-0000-0200-00006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12" name="AutoShape 183" descr="Image result for cook islands flag">
          <a:extLst>
            <a:ext uri="{FF2B5EF4-FFF2-40B4-BE49-F238E27FC236}">
              <a16:creationId xmlns:a16="http://schemas.microsoft.com/office/drawing/2014/main" id="{00000000-0008-0000-0200-00007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13" name="AutoShape 184" descr="Image result for cook islands flag">
          <a:extLst>
            <a:ext uri="{FF2B5EF4-FFF2-40B4-BE49-F238E27FC236}">
              <a16:creationId xmlns:a16="http://schemas.microsoft.com/office/drawing/2014/main" id="{00000000-0008-0000-0200-00007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14" name="AutoShape 183" descr="Image result for cook islands flag">
          <a:extLst>
            <a:ext uri="{FF2B5EF4-FFF2-40B4-BE49-F238E27FC236}">
              <a16:creationId xmlns:a16="http://schemas.microsoft.com/office/drawing/2014/main" id="{00000000-0008-0000-0200-00007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15" name="AutoShape 184" descr="Image result for cook islands flag">
          <a:extLst>
            <a:ext uri="{FF2B5EF4-FFF2-40B4-BE49-F238E27FC236}">
              <a16:creationId xmlns:a16="http://schemas.microsoft.com/office/drawing/2014/main" id="{00000000-0008-0000-0200-00007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16" name="AutoShape 183" descr="Image result for cook islands flag">
          <a:extLst>
            <a:ext uri="{FF2B5EF4-FFF2-40B4-BE49-F238E27FC236}">
              <a16:creationId xmlns:a16="http://schemas.microsoft.com/office/drawing/2014/main" id="{00000000-0008-0000-0200-00007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17" name="AutoShape 184" descr="Image result for cook islands flag">
          <a:extLst>
            <a:ext uri="{FF2B5EF4-FFF2-40B4-BE49-F238E27FC236}">
              <a16:creationId xmlns:a16="http://schemas.microsoft.com/office/drawing/2014/main" id="{00000000-0008-0000-0200-00007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18" name="AutoShape 183" descr="Image result for cook islands flag">
          <a:extLst>
            <a:ext uri="{FF2B5EF4-FFF2-40B4-BE49-F238E27FC236}">
              <a16:creationId xmlns:a16="http://schemas.microsoft.com/office/drawing/2014/main" id="{00000000-0008-0000-0200-00007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19" name="AutoShape 184" descr="Image result for cook islands flag">
          <a:extLst>
            <a:ext uri="{FF2B5EF4-FFF2-40B4-BE49-F238E27FC236}">
              <a16:creationId xmlns:a16="http://schemas.microsoft.com/office/drawing/2014/main" id="{00000000-0008-0000-0200-00007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2</xdr:row>
      <xdr:rowOff>0</xdr:rowOff>
    </xdr:from>
    <xdr:to>
      <xdr:col>4</xdr:col>
      <xdr:colOff>288671</xdr:colOff>
      <xdr:row>2</xdr:row>
      <xdr:rowOff>246519</xdr:rowOff>
    </xdr:to>
    <xdr:sp macro="" textlink="">
      <xdr:nvSpPr>
        <xdr:cNvPr id="120" name="AutoShape 183" descr="Image result for cook islands flag">
          <a:extLst>
            <a:ext uri="{FF2B5EF4-FFF2-40B4-BE49-F238E27FC236}">
              <a16:creationId xmlns:a16="http://schemas.microsoft.com/office/drawing/2014/main" id="{00000000-0008-0000-0200-00007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2</xdr:row>
      <xdr:rowOff>0</xdr:rowOff>
    </xdr:from>
    <xdr:to>
      <xdr:col>4</xdr:col>
      <xdr:colOff>288671</xdr:colOff>
      <xdr:row>2</xdr:row>
      <xdr:rowOff>246519</xdr:rowOff>
    </xdr:to>
    <xdr:sp macro="" textlink="">
      <xdr:nvSpPr>
        <xdr:cNvPr id="121" name="AutoShape 184" descr="Image result for cook islands flag">
          <a:extLst>
            <a:ext uri="{FF2B5EF4-FFF2-40B4-BE49-F238E27FC236}">
              <a16:creationId xmlns:a16="http://schemas.microsoft.com/office/drawing/2014/main" id="{00000000-0008-0000-0200-00007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2</xdr:row>
      <xdr:rowOff>0</xdr:rowOff>
    </xdr:from>
    <xdr:to>
      <xdr:col>18</xdr:col>
      <xdr:colOff>288671</xdr:colOff>
      <xdr:row>2</xdr:row>
      <xdr:rowOff>246519</xdr:rowOff>
    </xdr:to>
    <xdr:sp macro="" textlink="">
      <xdr:nvSpPr>
        <xdr:cNvPr id="122" name="AutoShape 183" descr="Image result for cook islands flag">
          <a:extLst>
            <a:ext uri="{FF2B5EF4-FFF2-40B4-BE49-F238E27FC236}">
              <a16:creationId xmlns:a16="http://schemas.microsoft.com/office/drawing/2014/main" id="{00000000-0008-0000-0200-00007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2</xdr:row>
      <xdr:rowOff>0</xdr:rowOff>
    </xdr:from>
    <xdr:to>
      <xdr:col>18</xdr:col>
      <xdr:colOff>288671</xdr:colOff>
      <xdr:row>2</xdr:row>
      <xdr:rowOff>246519</xdr:rowOff>
    </xdr:to>
    <xdr:sp macro="" textlink="">
      <xdr:nvSpPr>
        <xdr:cNvPr id="123" name="AutoShape 184" descr="Image result for cook islands flag">
          <a:extLst>
            <a:ext uri="{FF2B5EF4-FFF2-40B4-BE49-F238E27FC236}">
              <a16:creationId xmlns:a16="http://schemas.microsoft.com/office/drawing/2014/main" id="{00000000-0008-0000-0200-00007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25</xdr:col>
      <xdr:colOff>44451</xdr:colOff>
      <xdr:row>0</xdr:row>
      <xdr:rowOff>0</xdr:rowOff>
    </xdr:from>
    <xdr:ext cx="249935" cy="254139"/>
    <xdr:sp macro="" textlink="">
      <xdr:nvSpPr>
        <xdr:cNvPr id="124" name="AutoShape 183" descr="Image result for cook islands flag">
          <a:extLst>
            <a:ext uri="{FF2B5EF4-FFF2-40B4-BE49-F238E27FC236}">
              <a16:creationId xmlns:a16="http://schemas.microsoft.com/office/drawing/2014/main" id="{00000000-0008-0000-0200-00007C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25" name="AutoShape 184" descr="Image result for cook islands flag">
          <a:extLst>
            <a:ext uri="{FF2B5EF4-FFF2-40B4-BE49-F238E27FC236}">
              <a16:creationId xmlns:a16="http://schemas.microsoft.com/office/drawing/2014/main" id="{00000000-0008-0000-0200-00007D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26" name="AutoShape 183" descr="Image result for cook islands flag">
          <a:extLst>
            <a:ext uri="{FF2B5EF4-FFF2-40B4-BE49-F238E27FC236}">
              <a16:creationId xmlns:a16="http://schemas.microsoft.com/office/drawing/2014/main" id="{00000000-0008-0000-0200-00007E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27" name="AutoShape 184" descr="Image result for cook islands flag">
          <a:extLst>
            <a:ext uri="{FF2B5EF4-FFF2-40B4-BE49-F238E27FC236}">
              <a16:creationId xmlns:a16="http://schemas.microsoft.com/office/drawing/2014/main" id="{00000000-0008-0000-0200-00007F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28" name="AutoShape 183" descr="Image result for cook islands flag">
          <a:extLst>
            <a:ext uri="{FF2B5EF4-FFF2-40B4-BE49-F238E27FC236}">
              <a16:creationId xmlns:a16="http://schemas.microsoft.com/office/drawing/2014/main" id="{00000000-0008-0000-0200-000080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29" name="AutoShape 184" descr="Image result for cook islands flag">
          <a:extLst>
            <a:ext uri="{FF2B5EF4-FFF2-40B4-BE49-F238E27FC236}">
              <a16:creationId xmlns:a16="http://schemas.microsoft.com/office/drawing/2014/main" id="{00000000-0008-0000-0200-000081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0" name="AutoShape 183" descr="Image result for cook islands flag">
          <a:extLst>
            <a:ext uri="{FF2B5EF4-FFF2-40B4-BE49-F238E27FC236}">
              <a16:creationId xmlns:a16="http://schemas.microsoft.com/office/drawing/2014/main" id="{00000000-0008-0000-0200-000082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1" name="AutoShape 184" descr="Image result for cook islands flag">
          <a:extLst>
            <a:ext uri="{FF2B5EF4-FFF2-40B4-BE49-F238E27FC236}">
              <a16:creationId xmlns:a16="http://schemas.microsoft.com/office/drawing/2014/main" id="{00000000-0008-0000-0200-000083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2" name="AutoShape 183" descr="Image result for cook islands flag">
          <a:extLst>
            <a:ext uri="{FF2B5EF4-FFF2-40B4-BE49-F238E27FC236}">
              <a16:creationId xmlns:a16="http://schemas.microsoft.com/office/drawing/2014/main" id="{00000000-0008-0000-0200-000084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3" name="AutoShape 184" descr="Image result for cook islands flag">
          <a:extLst>
            <a:ext uri="{FF2B5EF4-FFF2-40B4-BE49-F238E27FC236}">
              <a16:creationId xmlns:a16="http://schemas.microsoft.com/office/drawing/2014/main" id="{00000000-0008-0000-0200-000085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4" name="AutoShape 183" descr="Image result for cook islands flag">
          <a:extLst>
            <a:ext uri="{FF2B5EF4-FFF2-40B4-BE49-F238E27FC236}">
              <a16:creationId xmlns:a16="http://schemas.microsoft.com/office/drawing/2014/main" id="{00000000-0008-0000-0200-000086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5" name="AutoShape 184" descr="Image result for cook islands flag">
          <a:extLst>
            <a:ext uri="{FF2B5EF4-FFF2-40B4-BE49-F238E27FC236}">
              <a16:creationId xmlns:a16="http://schemas.microsoft.com/office/drawing/2014/main" id="{00000000-0008-0000-0200-000087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6" name="AutoShape 183" descr="Image result for cook islands flag">
          <a:extLst>
            <a:ext uri="{FF2B5EF4-FFF2-40B4-BE49-F238E27FC236}">
              <a16:creationId xmlns:a16="http://schemas.microsoft.com/office/drawing/2014/main" id="{00000000-0008-0000-0200-000088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7" name="AutoShape 184" descr="Image result for cook islands flag">
          <a:extLst>
            <a:ext uri="{FF2B5EF4-FFF2-40B4-BE49-F238E27FC236}">
              <a16:creationId xmlns:a16="http://schemas.microsoft.com/office/drawing/2014/main" id="{00000000-0008-0000-0200-000089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8" name="AutoShape 183" descr="Image result for cook islands flag">
          <a:extLst>
            <a:ext uri="{FF2B5EF4-FFF2-40B4-BE49-F238E27FC236}">
              <a16:creationId xmlns:a16="http://schemas.microsoft.com/office/drawing/2014/main" id="{00000000-0008-0000-0200-00008A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39" name="AutoShape 184" descr="Image result for cook islands flag">
          <a:extLst>
            <a:ext uri="{FF2B5EF4-FFF2-40B4-BE49-F238E27FC236}">
              <a16:creationId xmlns:a16="http://schemas.microsoft.com/office/drawing/2014/main" id="{00000000-0008-0000-0200-00008B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40" name="AutoShape 183" descr="Image result for cook islands flag">
          <a:extLst>
            <a:ext uri="{FF2B5EF4-FFF2-40B4-BE49-F238E27FC236}">
              <a16:creationId xmlns:a16="http://schemas.microsoft.com/office/drawing/2014/main" id="{00000000-0008-0000-0200-00008C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41" name="AutoShape 184" descr="Image result for cook islands flag">
          <a:extLst>
            <a:ext uri="{FF2B5EF4-FFF2-40B4-BE49-F238E27FC236}">
              <a16:creationId xmlns:a16="http://schemas.microsoft.com/office/drawing/2014/main" id="{00000000-0008-0000-0200-00008D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42" name="AutoShape 183" descr="Image result for cook islands flag">
          <a:extLst>
            <a:ext uri="{FF2B5EF4-FFF2-40B4-BE49-F238E27FC236}">
              <a16:creationId xmlns:a16="http://schemas.microsoft.com/office/drawing/2014/main" id="{00000000-0008-0000-0200-00008E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43" name="AutoShape 184" descr="Image result for cook islands flag">
          <a:extLst>
            <a:ext uri="{FF2B5EF4-FFF2-40B4-BE49-F238E27FC236}">
              <a16:creationId xmlns:a16="http://schemas.microsoft.com/office/drawing/2014/main" id="{00000000-0008-0000-0200-00008F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44" name="AutoShape 183" descr="Image result for cook islands flag">
          <a:extLst>
            <a:ext uri="{FF2B5EF4-FFF2-40B4-BE49-F238E27FC236}">
              <a16:creationId xmlns:a16="http://schemas.microsoft.com/office/drawing/2014/main" id="{00000000-0008-0000-0200-000090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47" name="AutoShape 184" descr="Image result for cook islands flag">
          <a:extLst>
            <a:ext uri="{FF2B5EF4-FFF2-40B4-BE49-F238E27FC236}">
              <a16:creationId xmlns:a16="http://schemas.microsoft.com/office/drawing/2014/main" id="{00000000-0008-0000-0200-000093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48" name="AutoShape 183" descr="Image result for cook islands flag">
          <a:extLst>
            <a:ext uri="{FF2B5EF4-FFF2-40B4-BE49-F238E27FC236}">
              <a16:creationId xmlns:a16="http://schemas.microsoft.com/office/drawing/2014/main" id="{00000000-0008-0000-0200-000094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49" name="AutoShape 184" descr="Image result for cook islands flag">
          <a:extLst>
            <a:ext uri="{FF2B5EF4-FFF2-40B4-BE49-F238E27FC236}">
              <a16:creationId xmlns:a16="http://schemas.microsoft.com/office/drawing/2014/main" id="{00000000-0008-0000-0200-000095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50" name="AutoShape 183" descr="Image result for cook islands flag">
          <a:extLst>
            <a:ext uri="{FF2B5EF4-FFF2-40B4-BE49-F238E27FC236}">
              <a16:creationId xmlns:a16="http://schemas.microsoft.com/office/drawing/2014/main" id="{00000000-0008-0000-0200-000096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51" name="AutoShape 184" descr="Image result for cook islands flag">
          <a:extLst>
            <a:ext uri="{FF2B5EF4-FFF2-40B4-BE49-F238E27FC236}">
              <a16:creationId xmlns:a16="http://schemas.microsoft.com/office/drawing/2014/main" id="{00000000-0008-0000-0200-000097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52" name="AutoShape 183" descr="Image result for cook islands flag">
          <a:extLst>
            <a:ext uri="{FF2B5EF4-FFF2-40B4-BE49-F238E27FC236}">
              <a16:creationId xmlns:a16="http://schemas.microsoft.com/office/drawing/2014/main" id="{00000000-0008-0000-0200-000098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53" name="AutoShape 184" descr="Image result for cook islands flag">
          <a:extLst>
            <a:ext uri="{FF2B5EF4-FFF2-40B4-BE49-F238E27FC236}">
              <a16:creationId xmlns:a16="http://schemas.microsoft.com/office/drawing/2014/main" id="{00000000-0008-0000-0200-000099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54" name="AutoShape 183" descr="Image result for cook islands flag">
          <a:extLst>
            <a:ext uri="{FF2B5EF4-FFF2-40B4-BE49-F238E27FC236}">
              <a16:creationId xmlns:a16="http://schemas.microsoft.com/office/drawing/2014/main" id="{00000000-0008-0000-0200-00009A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59" name="AutoShape 184" descr="Image result for cook islands flag">
          <a:extLst>
            <a:ext uri="{FF2B5EF4-FFF2-40B4-BE49-F238E27FC236}">
              <a16:creationId xmlns:a16="http://schemas.microsoft.com/office/drawing/2014/main" id="{00000000-0008-0000-0200-00009F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60" name="AutoShape 183" descr="Image result for cook islands flag">
          <a:extLst>
            <a:ext uri="{FF2B5EF4-FFF2-40B4-BE49-F238E27FC236}">
              <a16:creationId xmlns:a16="http://schemas.microsoft.com/office/drawing/2014/main" id="{00000000-0008-0000-0200-0000A0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0</xdr:row>
      <xdr:rowOff>0</xdr:rowOff>
    </xdr:from>
    <xdr:ext cx="249935" cy="254139"/>
    <xdr:sp macro="" textlink="">
      <xdr:nvSpPr>
        <xdr:cNvPr id="161" name="AutoShape 184" descr="Image result for cook islands flag">
          <a:extLst>
            <a:ext uri="{FF2B5EF4-FFF2-40B4-BE49-F238E27FC236}">
              <a16:creationId xmlns:a16="http://schemas.microsoft.com/office/drawing/2014/main" id="{00000000-0008-0000-0200-0000A1000000}"/>
            </a:ext>
          </a:extLst>
        </xdr:cNvPr>
        <xdr:cNvSpPr>
          <a:spLocks noChangeAspect="1" noChangeArrowheads="1"/>
        </xdr:cNvSpPr>
      </xdr:nvSpPr>
      <xdr:spPr bwMode="auto">
        <a:xfrm>
          <a:off x="21672551"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2</xdr:row>
      <xdr:rowOff>0</xdr:rowOff>
    </xdr:from>
    <xdr:ext cx="249935" cy="254139"/>
    <xdr:sp macro="" textlink="">
      <xdr:nvSpPr>
        <xdr:cNvPr id="162" name="AutoShape 183" descr="Image result for cook islands flag">
          <a:extLst>
            <a:ext uri="{FF2B5EF4-FFF2-40B4-BE49-F238E27FC236}">
              <a16:creationId xmlns:a16="http://schemas.microsoft.com/office/drawing/2014/main" id="{00000000-0008-0000-0200-0000A2000000}"/>
            </a:ext>
          </a:extLst>
        </xdr:cNvPr>
        <xdr:cNvSpPr>
          <a:spLocks noChangeAspect="1" noChangeArrowheads="1"/>
        </xdr:cNvSpPr>
      </xdr:nvSpPr>
      <xdr:spPr bwMode="auto">
        <a:xfrm>
          <a:off x="21672551" y="3873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44451</xdr:colOff>
      <xdr:row>2</xdr:row>
      <xdr:rowOff>0</xdr:rowOff>
    </xdr:from>
    <xdr:ext cx="249935" cy="254139"/>
    <xdr:sp macro="" textlink="">
      <xdr:nvSpPr>
        <xdr:cNvPr id="163" name="AutoShape 184" descr="Image result for cook islands flag">
          <a:extLst>
            <a:ext uri="{FF2B5EF4-FFF2-40B4-BE49-F238E27FC236}">
              <a16:creationId xmlns:a16="http://schemas.microsoft.com/office/drawing/2014/main" id="{00000000-0008-0000-0200-0000A3000000}"/>
            </a:ext>
          </a:extLst>
        </xdr:cNvPr>
        <xdr:cNvSpPr>
          <a:spLocks noChangeAspect="1" noChangeArrowheads="1"/>
        </xdr:cNvSpPr>
      </xdr:nvSpPr>
      <xdr:spPr bwMode="auto">
        <a:xfrm>
          <a:off x="21672551" y="3873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25</xdr:col>
      <xdr:colOff>44451</xdr:colOff>
      <xdr:row>0</xdr:row>
      <xdr:rowOff>0</xdr:rowOff>
    </xdr:from>
    <xdr:to>
      <xdr:col>25</xdr:col>
      <xdr:colOff>288671</xdr:colOff>
      <xdr:row>1</xdr:row>
      <xdr:rowOff>38239</xdr:rowOff>
    </xdr:to>
    <xdr:sp macro="" textlink="">
      <xdr:nvSpPr>
        <xdr:cNvPr id="164" name="AutoShape 183" descr="Image result for cook islands flag">
          <a:extLst>
            <a:ext uri="{FF2B5EF4-FFF2-40B4-BE49-F238E27FC236}">
              <a16:creationId xmlns:a16="http://schemas.microsoft.com/office/drawing/2014/main" id="{00000000-0008-0000-0200-0000A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44451</xdr:colOff>
      <xdr:row>0</xdr:row>
      <xdr:rowOff>0</xdr:rowOff>
    </xdr:from>
    <xdr:to>
      <xdr:col>25</xdr:col>
      <xdr:colOff>288671</xdr:colOff>
      <xdr:row>1</xdr:row>
      <xdr:rowOff>38239</xdr:rowOff>
    </xdr:to>
    <xdr:sp macro="" textlink="">
      <xdr:nvSpPr>
        <xdr:cNvPr id="165" name="AutoShape 184" descr="Image result for cook islands flag">
          <a:extLst>
            <a:ext uri="{FF2B5EF4-FFF2-40B4-BE49-F238E27FC236}">
              <a16:creationId xmlns:a16="http://schemas.microsoft.com/office/drawing/2014/main" id="{00000000-0008-0000-0200-0000A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66" name="AutoShape 183" descr="Image result for cook islands flag">
          <a:extLst>
            <a:ext uri="{FF2B5EF4-FFF2-40B4-BE49-F238E27FC236}">
              <a16:creationId xmlns:a16="http://schemas.microsoft.com/office/drawing/2014/main" id="{00000000-0008-0000-0200-0000A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67" name="AutoShape 184" descr="Image result for cook islands flag">
          <a:extLst>
            <a:ext uri="{FF2B5EF4-FFF2-40B4-BE49-F238E27FC236}">
              <a16:creationId xmlns:a16="http://schemas.microsoft.com/office/drawing/2014/main" id="{00000000-0008-0000-0200-0000A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68" name="AutoShape 183" descr="Image result for cook islands flag">
          <a:extLst>
            <a:ext uri="{FF2B5EF4-FFF2-40B4-BE49-F238E27FC236}">
              <a16:creationId xmlns:a16="http://schemas.microsoft.com/office/drawing/2014/main" id="{00000000-0008-0000-0200-0000A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69" name="AutoShape 184" descr="Image result for cook islands flag">
          <a:extLst>
            <a:ext uri="{FF2B5EF4-FFF2-40B4-BE49-F238E27FC236}">
              <a16:creationId xmlns:a16="http://schemas.microsoft.com/office/drawing/2014/main" id="{00000000-0008-0000-0200-0000A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70" name="AutoShape 183" descr="Image result for cook islands flag">
          <a:extLst>
            <a:ext uri="{FF2B5EF4-FFF2-40B4-BE49-F238E27FC236}">
              <a16:creationId xmlns:a16="http://schemas.microsoft.com/office/drawing/2014/main" id="{00000000-0008-0000-0200-0000A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71" name="AutoShape 184" descr="Image result for cook islands flag">
          <a:extLst>
            <a:ext uri="{FF2B5EF4-FFF2-40B4-BE49-F238E27FC236}">
              <a16:creationId xmlns:a16="http://schemas.microsoft.com/office/drawing/2014/main" id="{00000000-0008-0000-0200-0000A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72" name="AutoShape 183" descr="Image result for cook islands flag">
          <a:extLst>
            <a:ext uri="{FF2B5EF4-FFF2-40B4-BE49-F238E27FC236}">
              <a16:creationId xmlns:a16="http://schemas.microsoft.com/office/drawing/2014/main" id="{00000000-0008-0000-0200-0000A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73" name="AutoShape 184" descr="Image result for cook islands flag">
          <a:extLst>
            <a:ext uri="{FF2B5EF4-FFF2-40B4-BE49-F238E27FC236}">
              <a16:creationId xmlns:a16="http://schemas.microsoft.com/office/drawing/2014/main" id="{00000000-0008-0000-0200-0000A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74" name="AutoShape 183" descr="Image result for cook islands flag">
          <a:extLst>
            <a:ext uri="{FF2B5EF4-FFF2-40B4-BE49-F238E27FC236}">
              <a16:creationId xmlns:a16="http://schemas.microsoft.com/office/drawing/2014/main" id="{00000000-0008-0000-0200-0000A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75" name="AutoShape 184" descr="Image result for cook islands flag">
          <a:extLst>
            <a:ext uri="{FF2B5EF4-FFF2-40B4-BE49-F238E27FC236}">
              <a16:creationId xmlns:a16="http://schemas.microsoft.com/office/drawing/2014/main" id="{00000000-0008-0000-0200-0000A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76" name="AutoShape 183" descr="Image result for cook islands flag">
          <a:extLst>
            <a:ext uri="{FF2B5EF4-FFF2-40B4-BE49-F238E27FC236}">
              <a16:creationId xmlns:a16="http://schemas.microsoft.com/office/drawing/2014/main" id="{00000000-0008-0000-0200-0000B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77" name="AutoShape 184" descr="Image result for cook islands flag">
          <a:extLst>
            <a:ext uri="{FF2B5EF4-FFF2-40B4-BE49-F238E27FC236}">
              <a16:creationId xmlns:a16="http://schemas.microsoft.com/office/drawing/2014/main" id="{00000000-0008-0000-0200-0000B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78" name="AutoShape 183" descr="Image result for cook islands flag">
          <a:extLst>
            <a:ext uri="{FF2B5EF4-FFF2-40B4-BE49-F238E27FC236}">
              <a16:creationId xmlns:a16="http://schemas.microsoft.com/office/drawing/2014/main" id="{00000000-0008-0000-0200-0000B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79" name="AutoShape 184" descr="Image result for cook islands flag">
          <a:extLst>
            <a:ext uri="{FF2B5EF4-FFF2-40B4-BE49-F238E27FC236}">
              <a16:creationId xmlns:a16="http://schemas.microsoft.com/office/drawing/2014/main" id="{00000000-0008-0000-0200-0000B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80" name="AutoShape 183" descr="Image result for cook islands flag">
          <a:extLst>
            <a:ext uri="{FF2B5EF4-FFF2-40B4-BE49-F238E27FC236}">
              <a16:creationId xmlns:a16="http://schemas.microsoft.com/office/drawing/2014/main" id="{00000000-0008-0000-0200-0000B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81" name="AutoShape 184" descr="Image result for cook islands flag">
          <a:extLst>
            <a:ext uri="{FF2B5EF4-FFF2-40B4-BE49-F238E27FC236}">
              <a16:creationId xmlns:a16="http://schemas.microsoft.com/office/drawing/2014/main" id="{00000000-0008-0000-0200-0000B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82" name="AutoShape 183" descr="Image result for cook islands flag">
          <a:extLst>
            <a:ext uri="{FF2B5EF4-FFF2-40B4-BE49-F238E27FC236}">
              <a16:creationId xmlns:a16="http://schemas.microsoft.com/office/drawing/2014/main" id="{00000000-0008-0000-0200-0000B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83" name="AutoShape 184" descr="Image result for cook islands flag">
          <a:extLst>
            <a:ext uri="{FF2B5EF4-FFF2-40B4-BE49-F238E27FC236}">
              <a16:creationId xmlns:a16="http://schemas.microsoft.com/office/drawing/2014/main" id="{00000000-0008-0000-0200-0000B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84" name="AutoShape 183" descr="Image result for cook islands flag">
          <a:extLst>
            <a:ext uri="{FF2B5EF4-FFF2-40B4-BE49-F238E27FC236}">
              <a16:creationId xmlns:a16="http://schemas.microsoft.com/office/drawing/2014/main" id="{00000000-0008-0000-0200-0000B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85" name="AutoShape 184" descr="Image result for cook islands flag">
          <a:extLst>
            <a:ext uri="{FF2B5EF4-FFF2-40B4-BE49-F238E27FC236}">
              <a16:creationId xmlns:a16="http://schemas.microsoft.com/office/drawing/2014/main" id="{00000000-0008-0000-0200-0000B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86" name="AutoShape 183" descr="Image result for cook islands flag">
          <a:extLst>
            <a:ext uri="{FF2B5EF4-FFF2-40B4-BE49-F238E27FC236}">
              <a16:creationId xmlns:a16="http://schemas.microsoft.com/office/drawing/2014/main" id="{00000000-0008-0000-0200-0000B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87" name="AutoShape 184" descr="Image result for cook islands flag">
          <a:extLst>
            <a:ext uri="{FF2B5EF4-FFF2-40B4-BE49-F238E27FC236}">
              <a16:creationId xmlns:a16="http://schemas.microsoft.com/office/drawing/2014/main" id="{00000000-0008-0000-0200-0000B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88" name="AutoShape 183" descr="Image result for cook islands flag">
          <a:extLst>
            <a:ext uri="{FF2B5EF4-FFF2-40B4-BE49-F238E27FC236}">
              <a16:creationId xmlns:a16="http://schemas.microsoft.com/office/drawing/2014/main" id="{00000000-0008-0000-0200-0000B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189" name="AutoShape 184" descr="Image result for cook islands flag">
          <a:extLst>
            <a:ext uri="{FF2B5EF4-FFF2-40B4-BE49-F238E27FC236}">
              <a16:creationId xmlns:a16="http://schemas.microsoft.com/office/drawing/2014/main" id="{00000000-0008-0000-0200-0000B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90" name="AutoShape 183" descr="Image result for cook islands flag">
          <a:extLst>
            <a:ext uri="{FF2B5EF4-FFF2-40B4-BE49-F238E27FC236}">
              <a16:creationId xmlns:a16="http://schemas.microsoft.com/office/drawing/2014/main" id="{00000000-0008-0000-0200-0000B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91" name="AutoShape 184" descr="Image result for cook islands flag">
          <a:extLst>
            <a:ext uri="{FF2B5EF4-FFF2-40B4-BE49-F238E27FC236}">
              <a16:creationId xmlns:a16="http://schemas.microsoft.com/office/drawing/2014/main" id="{00000000-0008-0000-0200-0000B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92" name="AutoShape 183" descr="Image result for cook islands flag">
          <a:extLst>
            <a:ext uri="{FF2B5EF4-FFF2-40B4-BE49-F238E27FC236}">
              <a16:creationId xmlns:a16="http://schemas.microsoft.com/office/drawing/2014/main" id="{00000000-0008-0000-0200-0000C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93" name="AutoShape 184" descr="Image result for cook islands flag">
          <a:extLst>
            <a:ext uri="{FF2B5EF4-FFF2-40B4-BE49-F238E27FC236}">
              <a16:creationId xmlns:a16="http://schemas.microsoft.com/office/drawing/2014/main" id="{00000000-0008-0000-0200-0000C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94" name="AutoShape 183" descr="Image result for cook islands flag">
          <a:extLst>
            <a:ext uri="{FF2B5EF4-FFF2-40B4-BE49-F238E27FC236}">
              <a16:creationId xmlns:a16="http://schemas.microsoft.com/office/drawing/2014/main" id="{00000000-0008-0000-0200-0000C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195" name="AutoShape 184" descr="Image result for cook islands flag">
          <a:extLst>
            <a:ext uri="{FF2B5EF4-FFF2-40B4-BE49-F238E27FC236}">
              <a16:creationId xmlns:a16="http://schemas.microsoft.com/office/drawing/2014/main" id="{00000000-0008-0000-0200-0000C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96" name="AutoShape 183" descr="Image result for cook islands flag">
          <a:extLst>
            <a:ext uri="{FF2B5EF4-FFF2-40B4-BE49-F238E27FC236}">
              <a16:creationId xmlns:a16="http://schemas.microsoft.com/office/drawing/2014/main" id="{00000000-0008-0000-0200-0000C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97" name="AutoShape 184" descr="Image result for cook islands flag">
          <a:extLst>
            <a:ext uri="{FF2B5EF4-FFF2-40B4-BE49-F238E27FC236}">
              <a16:creationId xmlns:a16="http://schemas.microsoft.com/office/drawing/2014/main" id="{00000000-0008-0000-0200-0000C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98" name="AutoShape 183" descr="Image result for cook islands flag">
          <a:extLst>
            <a:ext uri="{FF2B5EF4-FFF2-40B4-BE49-F238E27FC236}">
              <a16:creationId xmlns:a16="http://schemas.microsoft.com/office/drawing/2014/main" id="{00000000-0008-0000-0200-0000C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199" name="AutoShape 184" descr="Image result for cook islands flag">
          <a:extLst>
            <a:ext uri="{FF2B5EF4-FFF2-40B4-BE49-F238E27FC236}">
              <a16:creationId xmlns:a16="http://schemas.microsoft.com/office/drawing/2014/main" id="{00000000-0008-0000-0200-0000C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00" name="AutoShape 183" descr="Image result for cook islands flag">
          <a:extLst>
            <a:ext uri="{FF2B5EF4-FFF2-40B4-BE49-F238E27FC236}">
              <a16:creationId xmlns:a16="http://schemas.microsoft.com/office/drawing/2014/main" id="{00000000-0008-0000-0200-0000C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01" name="AutoShape 184" descr="Image result for cook islands flag">
          <a:extLst>
            <a:ext uri="{FF2B5EF4-FFF2-40B4-BE49-F238E27FC236}">
              <a16:creationId xmlns:a16="http://schemas.microsoft.com/office/drawing/2014/main" id="{00000000-0008-0000-0200-0000C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44451</xdr:colOff>
      <xdr:row>5</xdr:row>
      <xdr:rowOff>0</xdr:rowOff>
    </xdr:from>
    <xdr:ext cx="249935" cy="254139"/>
    <xdr:sp macro="" textlink="">
      <xdr:nvSpPr>
        <xdr:cNvPr id="204" name="AutoShape 183" descr="Image result for cook islands flag">
          <a:extLst>
            <a:ext uri="{FF2B5EF4-FFF2-40B4-BE49-F238E27FC236}">
              <a16:creationId xmlns:a16="http://schemas.microsoft.com/office/drawing/2014/main" id="{00000000-0008-0000-0200-0000CC000000}"/>
            </a:ext>
          </a:extLst>
        </xdr:cNvPr>
        <xdr:cNvSpPr>
          <a:spLocks noChangeAspect="1" noChangeArrowheads="1"/>
        </xdr:cNvSpPr>
      </xdr:nvSpPr>
      <xdr:spPr bwMode="auto">
        <a:xfrm>
          <a:off x="3473451" y="807357"/>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44451</xdr:colOff>
      <xdr:row>5</xdr:row>
      <xdr:rowOff>0</xdr:rowOff>
    </xdr:from>
    <xdr:ext cx="249935" cy="254139"/>
    <xdr:sp macro="" textlink="">
      <xdr:nvSpPr>
        <xdr:cNvPr id="205" name="AutoShape 184" descr="Image result for cook islands flag">
          <a:extLst>
            <a:ext uri="{FF2B5EF4-FFF2-40B4-BE49-F238E27FC236}">
              <a16:creationId xmlns:a16="http://schemas.microsoft.com/office/drawing/2014/main" id="{00000000-0008-0000-0200-0000CD000000}"/>
            </a:ext>
          </a:extLst>
        </xdr:cNvPr>
        <xdr:cNvSpPr>
          <a:spLocks noChangeAspect="1" noChangeArrowheads="1"/>
        </xdr:cNvSpPr>
      </xdr:nvSpPr>
      <xdr:spPr bwMode="auto">
        <a:xfrm>
          <a:off x="3473451" y="807357"/>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11</xdr:col>
      <xdr:colOff>44451</xdr:colOff>
      <xdr:row>0</xdr:row>
      <xdr:rowOff>0</xdr:rowOff>
    </xdr:from>
    <xdr:to>
      <xdr:col>11</xdr:col>
      <xdr:colOff>288671</xdr:colOff>
      <xdr:row>1</xdr:row>
      <xdr:rowOff>38239</xdr:rowOff>
    </xdr:to>
    <xdr:sp macro="" textlink="">
      <xdr:nvSpPr>
        <xdr:cNvPr id="202" name="AutoShape 183" descr="Image result for cook islands flag">
          <a:extLst>
            <a:ext uri="{FF2B5EF4-FFF2-40B4-BE49-F238E27FC236}">
              <a16:creationId xmlns:a16="http://schemas.microsoft.com/office/drawing/2014/main" id="{00000000-0008-0000-0200-0000C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03" name="AutoShape 184" descr="Image result for cook islands flag">
          <a:extLst>
            <a:ext uri="{FF2B5EF4-FFF2-40B4-BE49-F238E27FC236}">
              <a16:creationId xmlns:a16="http://schemas.microsoft.com/office/drawing/2014/main" id="{00000000-0008-0000-0200-0000C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06" name="AutoShape 183" descr="Image result for cook islands flag">
          <a:extLst>
            <a:ext uri="{FF2B5EF4-FFF2-40B4-BE49-F238E27FC236}">
              <a16:creationId xmlns:a16="http://schemas.microsoft.com/office/drawing/2014/main" id="{00000000-0008-0000-0200-0000C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07" name="AutoShape 184" descr="Image result for cook islands flag">
          <a:extLst>
            <a:ext uri="{FF2B5EF4-FFF2-40B4-BE49-F238E27FC236}">
              <a16:creationId xmlns:a16="http://schemas.microsoft.com/office/drawing/2014/main" id="{00000000-0008-0000-0200-0000C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08" name="AutoShape 183" descr="Image result for cook islands flag">
          <a:extLst>
            <a:ext uri="{FF2B5EF4-FFF2-40B4-BE49-F238E27FC236}">
              <a16:creationId xmlns:a16="http://schemas.microsoft.com/office/drawing/2014/main" id="{00000000-0008-0000-0200-0000D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09" name="AutoShape 184" descr="Image result for cook islands flag">
          <a:extLst>
            <a:ext uri="{FF2B5EF4-FFF2-40B4-BE49-F238E27FC236}">
              <a16:creationId xmlns:a16="http://schemas.microsoft.com/office/drawing/2014/main" id="{00000000-0008-0000-0200-0000D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10" name="AutoShape 183" descr="Image result for cook islands flag">
          <a:extLst>
            <a:ext uri="{FF2B5EF4-FFF2-40B4-BE49-F238E27FC236}">
              <a16:creationId xmlns:a16="http://schemas.microsoft.com/office/drawing/2014/main" id="{00000000-0008-0000-0200-0000D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11" name="AutoShape 184" descr="Image result for cook islands flag">
          <a:extLst>
            <a:ext uri="{FF2B5EF4-FFF2-40B4-BE49-F238E27FC236}">
              <a16:creationId xmlns:a16="http://schemas.microsoft.com/office/drawing/2014/main" id="{00000000-0008-0000-0200-0000D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12" name="AutoShape 183" descr="Image result for cook islands flag">
          <a:extLst>
            <a:ext uri="{FF2B5EF4-FFF2-40B4-BE49-F238E27FC236}">
              <a16:creationId xmlns:a16="http://schemas.microsoft.com/office/drawing/2014/main" id="{00000000-0008-0000-0200-0000D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13" name="AutoShape 184" descr="Image result for cook islands flag">
          <a:extLst>
            <a:ext uri="{FF2B5EF4-FFF2-40B4-BE49-F238E27FC236}">
              <a16:creationId xmlns:a16="http://schemas.microsoft.com/office/drawing/2014/main" id="{00000000-0008-0000-0200-0000D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14" name="AutoShape 183" descr="Image result for cook islands flag">
          <a:extLst>
            <a:ext uri="{FF2B5EF4-FFF2-40B4-BE49-F238E27FC236}">
              <a16:creationId xmlns:a16="http://schemas.microsoft.com/office/drawing/2014/main" id="{00000000-0008-0000-0200-0000D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15" name="AutoShape 184" descr="Image result for cook islands flag">
          <a:extLst>
            <a:ext uri="{FF2B5EF4-FFF2-40B4-BE49-F238E27FC236}">
              <a16:creationId xmlns:a16="http://schemas.microsoft.com/office/drawing/2014/main" id="{00000000-0008-0000-0200-0000D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16" name="AutoShape 183" descr="Image result for cook islands flag">
          <a:extLst>
            <a:ext uri="{FF2B5EF4-FFF2-40B4-BE49-F238E27FC236}">
              <a16:creationId xmlns:a16="http://schemas.microsoft.com/office/drawing/2014/main" id="{00000000-0008-0000-0200-0000D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17" name="AutoShape 184" descr="Image result for cook islands flag">
          <a:extLst>
            <a:ext uri="{FF2B5EF4-FFF2-40B4-BE49-F238E27FC236}">
              <a16:creationId xmlns:a16="http://schemas.microsoft.com/office/drawing/2014/main" id="{00000000-0008-0000-0200-0000D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18</xdr:col>
      <xdr:colOff>44451</xdr:colOff>
      <xdr:row>0</xdr:row>
      <xdr:rowOff>0</xdr:rowOff>
    </xdr:from>
    <xdr:ext cx="249935" cy="254139"/>
    <xdr:sp macro="" textlink="">
      <xdr:nvSpPr>
        <xdr:cNvPr id="218" name="AutoShape 183" descr="Image result for cook islands flag">
          <a:extLst>
            <a:ext uri="{FF2B5EF4-FFF2-40B4-BE49-F238E27FC236}">
              <a16:creationId xmlns:a16="http://schemas.microsoft.com/office/drawing/2014/main" id="{00000000-0008-0000-0200-0000D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44451</xdr:colOff>
      <xdr:row>0</xdr:row>
      <xdr:rowOff>0</xdr:rowOff>
    </xdr:from>
    <xdr:ext cx="249935" cy="254139"/>
    <xdr:sp macro="" textlink="">
      <xdr:nvSpPr>
        <xdr:cNvPr id="219" name="AutoShape 184" descr="Image result for cook islands flag">
          <a:extLst>
            <a:ext uri="{FF2B5EF4-FFF2-40B4-BE49-F238E27FC236}">
              <a16:creationId xmlns:a16="http://schemas.microsoft.com/office/drawing/2014/main" id="{00000000-0008-0000-0200-0000D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25</xdr:col>
      <xdr:colOff>44451</xdr:colOff>
      <xdr:row>0</xdr:row>
      <xdr:rowOff>0</xdr:rowOff>
    </xdr:from>
    <xdr:to>
      <xdr:col>25</xdr:col>
      <xdr:colOff>288671</xdr:colOff>
      <xdr:row>1</xdr:row>
      <xdr:rowOff>38239</xdr:rowOff>
    </xdr:to>
    <xdr:sp macro="" textlink="">
      <xdr:nvSpPr>
        <xdr:cNvPr id="220" name="AutoShape 183" descr="Image result for cook islands flag">
          <a:extLst>
            <a:ext uri="{FF2B5EF4-FFF2-40B4-BE49-F238E27FC236}">
              <a16:creationId xmlns:a16="http://schemas.microsoft.com/office/drawing/2014/main" id="{00000000-0008-0000-0200-0000D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44451</xdr:colOff>
      <xdr:row>0</xdr:row>
      <xdr:rowOff>0</xdr:rowOff>
    </xdr:from>
    <xdr:to>
      <xdr:col>25</xdr:col>
      <xdr:colOff>288671</xdr:colOff>
      <xdr:row>1</xdr:row>
      <xdr:rowOff>38239</xdr:rowOff>
    </xdr:to>
    <xdr:sp macro="" textlink="">
      <xdr:nvSpPr>
        <xdr:cNvPr id="221" name="AutoShape 184" descr="Image result for cook islands flag">
          <a:extLst>
            <a:ext uri="{FF2B5EF4-FFF2-40B4-BE49-F238E27FC236}">
              <a16:creationId xmlns:a16="http://schemas.microsoft.com/office/drawing/2014/main" id="{00000000-0008-0000-0200-0000D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9</xdr:row>
      <xdr:rowOff>0</xdr:rowOff>
    </xdr:from>
    <xdr:to>
      <xdr:col>11</xdr:col>
      <xdr:colOff>288671</xdr:colOff>
      <xdr:row>9</xdr:row>
      <xdr:rowOff>246519</xdr:rowOff>
    </xdr:to>
    <xdr:sp macro="" textlink="">
      <xdr:nvSpPr>
        <xdr:cNvPr id="222" name="AutoShape 183" descr="Image result for cook islands flag">
          <a:extLst>
            <a:ext uri="{FF2B5EF4-FFF2-40B4-BE49-F238E27FC236}">
              <a16:creationId xmlns:a16="http://schemas.microsoft.com/office/drawing/2014/main" id="{00000000-0008-0000-0200-0000D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9</xdr:row>
      <xdr:rowOff>0</xdr:rowOff>
    </xdr:from>
    <xdr:to>
      <xdr:col>11</xdr:col>
      <xdr:colOff>288671</xdr:colOff>
      <xdr:row>9</xdr:row>
      <xdr:rowOff>246519</xdr:rowOff>
    </xdr:to>
    <xdr:sp macro="" textlink="">
      <xdr:nvSpPr>
        <xdr:cNvPr id="223" name="AutoShape 184" descr="Image result for cook islands flag">
          <a:extLst>
            <a:ext uri="{FF2B5EF4-FFF2-40B4-BE49-F238E27FC236}">
              <a16:creationId xmlns:a16="http://schemas.microsoft.com/office/drawing/2014/main" id="{00000000-0008-0000-0200-0000D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24" name="AutoShape 183" descr="Image result for cook islands flag">
          <a:extLst>
            <a:ext uri="{FF2B5EF4-FFF2-40B4-BE49-F238E27FC236}">
              <a16:creationId xmlns:a16="http://schemas.microsoft.com/office/drawing/2014/main" id="{00000000-0008-0000-0200-0000E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25" name="AutoShape 184" descr="Image result for cook islands flag">
          <a:extLst>
            <a:ext uri="{FF2B5EF4-FFF2-40B4-BE49-F238E27FC236}">
              <a16:creationId xmlns:a16="http://schemas.microsoft.com/office/drawing/2014/main" id="{00000000-0008-0000-0200-0000E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26" name="AutoShape 183" descr="Image result for cook islands flag">
          <a:extLst>
            <a:ext uri="{FF2B5EF4-FFF2-40B4-BE49-F238E27FC236}">
              <a16:creationId xmlns:a16="http://schemas.microsoft.com/office/drawing/2014/main" id="{00000000-0008-0000-0200-0000E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27" name="AutoShape 184" descr="Image result for cook islands flag">
          <a:extLst>
            <a:ext uri="{FF2B5EF4-FFF2-40B4-BE49-F238E27FC236}">
              <a16:creationId xmlns:a16="http://schemas.microsoft.com/office/drawing/2014/main" id="{00000000-0008-0000-0200-0000E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28" name="AutoShape 183" descr="Image result for cook islands flag">
          <a:extLst>
            <a:ext uri="{FF2B5EF4-FFF2-40B4-BE49-F238E27FC236}">
              <a16:creationId xmlns:a16="http://schemas.microsoft.com/office/drawing/2014/main" id="{00000000-0008-0000-0200-0000E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29" name="AutoShape 184" descr="Image result for cook islands flag">
          <a:extLst>
            <a:ext uri="{FF2B5EF4-FFF2-40B4-BE49-F238E27FC236}">
              <a16:creationId xmlns:a16="http://schemas.microsoft.com/office/drawing/2014/main" id="{00000000-0008-0000-0200-0000E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30" name="AutoShape 183" descr="Image result for cook islands flag">
          <a:extLst>
            <a:ext uri="{FF2B5EF4-FFF2-40B4-BE49-F238E27FC236}">
              <a16:creationId xmlns:a16="http://schemas.microsoft.com/office/drawing/2014/main" id="{00000000-0008-0000-0200-0000E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31" name="AutoShape 184" descr="Image result for cook islands flag">
          <a:extLst>
            <a:ext uri="{FF2B5EF4-FFF2-40B4-BE49-F238E27FC236}">
              <a16:creationId xmlns:a16="http://schemas.microsoft.com/office/drawing/2014/main" id="{00000000-0008-0000-0200-0000E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32" name="AutoShape 183" descr="Image result for cook islands flag">
          <a:extLst>
            <a:ext uri="{FF2B5EF4-FFF2-40B4-BE49-F238E27FC236}">
              <a16:creationId xmlns:a16="http://schemas.microsoft.com/office/drawing/2014/main" id="{00000000-0008-0000-0200-0000E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33" name="AutoShape 184" descr="Image result for cook islands flag">
          <a:extLst>
            <a:ext uri="{FF2B5EF4-FFF2-40B4-BE49-F238E27FC236}">
              <a16:creationId xmlns:a16="http://schemas.microsoft.com/office/drawing/2014/main" id="{00000000-0008-0000-0200-0000E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34" name="AutoShape 183" descr="Image result for cook islands flag">
          <a:extLst>
            <a:ext uri="{FF2B5EF4-FFF2-40B4-BE49-F238E27FC236}">
              <a16:creationId xmlns:a16="http://schemas.microsoft.com/office/drawing/2014/main" id="{00000000-0008-0000-0200-0000E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35" name="AutoShape 184" descr="Image result for cook islands flag">
          <a:extLst>
            <a:ext uri="{FF2B5EF4-FFF2-40B4-BE49-F238E27FC236}">
              <a16:creationId xmlns:a16="http://schemas.microsoft.com/office/drawing/2014/main" id="{00000000-0008-0000-0200-0000E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36" name="AutoShape 183" descr="Image result for cook islands flag">
          <a:extLst>
            <a:ext uri="{FF2B5EF4-FFF2-40B4-BE49-F238E27FC236}">
              <a16:creationId xmlns:a16="http://schemas.microsoft.com/office/drawing/2014/main" id="{00000000-0008-0000-0200-0000E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37" name="AutoShape 184" descr="Image result for cook islands flag">
          <a:extLst>
            <a:ext uri="{FF2B5EF4-FFF2-40B4-BE49-F238E27FC236}">
              <a16:creationId xmlns:a16="http://schemas.microsoft.com/office/drawing/2014/main" id="{00000000-0008-0000-0200-0000E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38" name="AutoShape 183" descr="Image result for cook islands flag">
          <a:extLst>
            <a:ext uri="{FF2B5EF4-FFF2-40B4-BE49-F238E27FC236}">
              <a16:creationId xmlns:a16="http://schemas.microsoft.com/office/drawing/2014/main" id="{00000000-0008-0000-0200-0000E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39" name="AutoShape 184" descr="Image result for cook islands flag">
          <a:extLst>
            <a:ext uri="{FF2B5EF4-FFF2-40B4-BE49-F238E27FC236}">
              <a16:creationId xmlns:a16="http://schemas.microsoft.com/office/drawing/2014/main" id="{00000000-0008-0000-0200-0000E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40" name="AutoShape 183" descr="Image result for cook islands flag">
          <a:extLst>
            <a:ext uri="{FF2B5EF4-FFF2-40B4-BE49-F238E27FC236}">
              <a16:creationId xmlns:a16="http://schemas.microsoft.com/office/drawing/2014/main" id="{00000000-0008-0000-0200-0000F0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41" name="AutoShape 184" descr="Image result for cook islands flag">
          <a:extLst>
            <a:ext uri="{FF2B5EF4-FFF2-40B4-BE49-F238E27FC236}">
              <a16:creationId xmlns:a16="http://schemas.microsoft.com/office/drawing/2014/main" id="{00000000-0008-0000-0200-0000F1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42" name="AutoShape 183" descr="Image result for cook islands flag">
          <a:extLst>
            <a:ext uri="{FF2B5EF4-FFF2-40B4-BE49-F238E27FC236}">
              <a16:creationId xmlns:a16="http://schemas.microsoft.com/office/drawing/2014/main" id="{00000000-0008-0000-0200-0000F2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43" name="AutoShape 184" descr="Image result for cook islands flag">
          <a:extLst>
            <a:ext uri="{FF2B5EF4-FFF2-40B4-BE49-F238E27FC236}">
              <a16:creationId xmlns:a16="http://schemas.microsoft.com/office/drawing/2014/main" id="{00000000-0008-0000-0200-0000F3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44" name="AutoShape 183" descr="Image result for cook islands flag">
          <a:extLst>
            <a:ext uri="{FF2B5EF4-FFF2-40B4-BE49-F238E27FC236}">
              <a16:creationId xmlns:a16="http://schemas.microsoft.com/office/drawing/2014/main" id="{00000000-0008-0000-0200-0000F4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45" name="AutoShape 184" descr="Image result for cook islands flag">
          <a:extLst>
            <a:ext uri="{FF2B5EF4-FFF2-40B4-BE49-F238E27FC236}">
              <a16:creationId xmlns:a16="http://schemas.microsoft.com/office/drawing/2014/main" id="{00000000-0008-0000-0200-0000F5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46" name="AutoShape 183" descr="Image result for cook islands flag">
          <a:extLst>
            <a:ext uri="{FF2B5EF4-FFF2-40B4-BE49-F238E27FC236}">
              <a16:creationId xmlns:a16="http://schemas.microsoft.com/office/drawing/2014/main" id="{00000000-0008-0000-0200-0000F6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47" name="AutoShape 184" descr="Image result for cook islands flag">
          <a:extLst>
            <a:ext uri="{FF2B5EF4-FFF2-40B4-BE49-F238E27FC236}">
              <a16:creationId xmlns:a16="http://schemas.microsoft.com/office/drawing/2014/main" id="{00000000-0008-0000-0200-0000F7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48" name="AutoShape 183" descr="Image result for cook islands flag">
          <a:extLst>
            <a:ext uri="{FF2B5EF4-FFF2-40B4-BE49-F238E27FC236}">
              <a16:creationId xmlns:a16="http://schemas.microsoft.com/office/drawing/2014/main" id="{00000000-0008-0000-0200-0000F8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49" name="AutoShape 184" descr="Image result for cook islands flag">
          <a:extLst>
            <a:ext uri="{FF2B5EF4-FFF2-40B4-BE49-F238E27FC236}">
              <a16:creationId xmlns:a16="http://schemas.microsoft.com/office/drawing/2014/main" id="{00000000-0008-0000-0200-0000F9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50" name="AutoShape 183" descr="Image result for cook islands flag">
          <a:extLst>
            <a:ext uri="{FF2B5EF4-FFF2-40B4-BE49-F238E27FC236}">
              <a16:creationId xmlns:a16="http://schemas.microsoft.com/office/drawing/2014/main" id="{00000000-0008-0000-0200-0000FA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51" name="AutoShape 184" descr="Image result for cook islands flag">
          <a:extLst>
            <a:ext uri="{FF2B5EF4-FFF2-40B4-BE49-F238E27FC236}">
              <a16:creationId xmlns:a16="http://schemas.microsoft.com/office/drawing/2014/main" id="{00000000-0008-0000-0200-0000FB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52" name="AutoShape 183" descr="Image result for cook islands flag">
          <a:extLst>
            <a:ext uri="{FF2B5EF4-FFF2-40B4-BE49-F238E27FC236}">
              <a16:creationId xmlns:a16="http://schemas.microsoft.com/office/drawing/2014/main" id="{00000000-0008-0000-0200-0000FC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53" name="AutoShape 184" descr="Image result for cook islands flag">
          <a:extLst>
            <a:ext uri="{FF2B5EF4-FFF2-40B4-BE49-F238E27FC236}">
              <a16:creationId xmlns:a16="http://schemas.microsoft.com/office/drawing/2014/main" id="{00000000-0008-0000-0200-0000FD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54" name="AutoShape 183" descr="Image result for cook islands flag">
          <a:extLst>
            <a:ext uri="{FF2B5EF4-FFF2-40B4-BE49-F238E27FC236}">
              <a16:creationId xmlns:a16="http://schemas.microsoft.com/office/drawing/2014/main" id="{00000000-0008-0000-0200-0000FE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55" name="AutoShape 184" descr="Image result for cook islands flag">
          <a:extLst>
            <a:ext uri="{FF2B5EF4-FFF2-40B4-BE49-F238E27FC236}">
              <a16:creationId xmlns:a16="http://schemas.microsoft.com/office/drawing/2014/main" id="{00000000-0008-0000-0200-0000FF00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56" name="AutoShape 183" descr="Image result for cook islands flag">
          <a:extLst>
            <a:ext uri="{FF2B5EF4-FFF2-40B4-BE49-F238E27FC236}">
              <a16:creationId xmlns:a16="http://schemas.microsoft.com/office/drawing/2014/main" id="{00000000-0008-0000-0200-000000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57" name="AutoShape 184" descr="Image result for cook islands flag">
          <a:extLst>
            <a:ext uri="{FF2B5EF4-FFF2-40B4-BE49-F238E27FC236}">
              <a16:creationId xmlns:a16="http://schemas.microsoft.com/office/drawing/2014/main" id="{00000000-0008-0000-0200-000001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58" name="AutoShape 183" descr="Image result for cook islands flag">
          <a:extLst>
            <a:ext uri="{FF2B5EF4-FFF2-40B4-BE49-F238E27FC236}">
              <a16:creationId xmlns:a16="http://schemas.microsoft.com/office/drawing/2014/main" id="{00000000-0008-0000-0200-000002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59" name="AutoShape 184" descr="Image result for cook islands flag">
          <a:extLst>
            <a:ext uri="{FF2B5EF4-FFF2-40B4-BE49-F238E27FC236}">
              <a16:creationId xmlns:a16="http://schemas.microsoft.com/office/drawing/2014/main" id="{00000000-0008-0000-0200-000003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60" name="AutoShape 183" descr="Image result for cook islands flag">
          <a:extLst>
            <a:ext uri="{FF2B5EF4-FFF2-40B4-BE49-F238E27FC236}">
              <a16:creationId xmlns:a16="http://schemas.microsoft.com/office/drawing/2014/main" id="{00000000-0008-0000-0200-000004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61" name="AutoShape 184" descr="Image result for cook islands flag">
          <a:extLst>
            <a:ext uri="{FF2B5EF4-FFF2-40B4-BE49-F238E27FC236}">
              <a16:creationId xmlns:a16="http://schemas.microsoft.com/office/drawing/2014/main" id="{00000000-0008-0000-0200-000005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62" name="AutoShape 183" descr="Image result for cook islands flag">
          <a:extLst>
            <a:ext uri="{FF2B5EF4-FFF2-40B4-BE49-F238E27FC236}">
              <a16:creationId xmlns:a16="http://schemas.microsoft.com/office/drawing/2014/main" id="{00000000-0008-0000-0200-000006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63" name="AutoShape 184" descr="Image result for cook islands flag">
          <a:extLst>
            <a:ext uri="{FF2B5EF4-FFF2-40B4-BE49-F238E27FC236}">
              <a16:creationId xmlns:a16="http://schemas.microsoft.com/office/drawing/2014/main" id="{00000000-0008-0000-0200-000007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44451</xdr:colOff>
      <xdr:row>32</xdr:row>
      <xdr:rowOff>0</xdr:rowOff>
    </xdr:from>
    <xdr:ext cx="249935" cy="254139"/>
    <xdr:sp macro="" textlink="">
      <xdr:nvSpPr>
        <xdr:cNvPr id="264" name="AutoShape 183" descr="Image result for cook islands flag">
          <a:extLst>
            <a:ext uri="{FF2B5EF4-FFF2-40B4-BE49-F238E27FC236}">
              <a16:creationId xmlns:a16="http://schemas.microsoft.com/office/drawing/2014/main" id="{00000000-0008-0000-0200-000008010000}"/>
            </a:ext>
          </a:extLst>
        </xdr:cNvPr>
        <xdr:cNvSpPr>
          <a:spLocks noChangeAspect="1" noChangeArrowheads="1"/>
        </xdr:cNvSpPr>
      </xdr:nvSpPr>
      <xdr:spPr bwMode="auto">
        <a:xfrm>
          <a:off x="3473451" y="2359958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44451</xdr:colOff>
      <xdr:row>32</xdr:row>
      <xdr:rowOff>0</xdr:rowOff>
    </xdr:from>
    <xdr:ext cx="249935" cy="254139"/>
    <xdr:sp macro="" textlink="">
      <xdr:nvSpPr>
        <xdr:cNvPr id="265" name="AutoShape 184" descr="Image result for cook islands flag">
          <a:extLst>
            <a:ext uri="{FF2B5EF4-FFF2-40B4-BE49-F238E27FC236}">
              <a16:creationId xmlns:a16="http://schemas.microsoft.com/office/drawing/2014/main" id="{00000000-0008-0000-0200-000009010000}"/>
            </a:ext>
          </a:extLst>
        </xdr:cNvPr>
        <xdr:cNvSpPr>
          <a:spLocks noChangeAspect="1" noChangeArrowheads="1"/>
        </xdr:cNvSpPr>
      </xdr:nvSpPr>
      <xdr:spPr bwMode="auto">
        <a:xfrm>
          <a:off x="3473451" y="23599588"/>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11</xdr:col>
      <xdr:colOff>44451</xdr:colOff>
      <xdr:row>24</xdr:row>
      <xdr:rowOff>0</xdr:rowOff>
    </xdr:from>
    <xdr:to>
      <xdr:col>11</xdr:col>
      <xdr:colOff>288671</xdr:colOff>
      <xdr:row>24</xdr:row>
      <xdr:rowOff>244614</xdr:rowOff>
    </xdr:to>
    <xdr:sp macro="" textlink="">
      <xdr:nvSpPr>
        <xdr:cNvPr id="266" name="AutoShape 183" descr="Image result for cook islands flag">
          <a:extLst>
            <a:ext uri="{FF2B5EF4-FFF2-40B4-BE49-F238E27FC236}">
              <a16:creationId xmlns:a16="http://schemas.microsoft.com/office/drawing/2014/main" id="{00000000-0008-0000-0200-00000A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67" name="AutoShape 184" descr="Image result for cook islands flag">
          <a:extLst>
            <a:ext uri="{FF2B5EF4-FFF2-40B4-BE49-F238E27FC236}">
              <a16:creationId xmlns:a16="http://schemas.microsoft.com/office/drawing/2014/main" id="{00000000-0008-0000-0200-00000B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24</xdr:row>
      <xdr:rowOff>0</xdr:rowOff>
    </xdr:from>
    <xdr:to>
      <xdr:col>18</xdr:col>
      <xdr:colOff>288671</xdr:colOff>
      <xdr:row>24</xdr:row>
      <xdr:rowOff>244614</xdr:rowOff>
    </xdr:to>
    <xdr:sp macro="" textlink="">
      <xdr:nvSpPr>
        <xdr:cNvPr id="268" name="AutoShape 183" descr="Image result for cook islands flag">
          <a:extLst>
            <a:ext uri="{FF2B5EF4-FFF2-40B4-BE49-F238E27FC236}">
              <a16:creationId xmlns:a16="http://schemas.microsoft.com/office/drawing/2014/main" id="{00000000-0008-0000-0200-00000C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69" name="AutoShape 184" descr="Image result for cook islands flag">
          <a:extLst>
            <a:ext uri="{FF2B5EF4-FFF2-40B4-BE49-F238E27FC236}">
              <a16:creationId xmlns:a16="http://schemas.microsoft.com/office/drawing/2014/main" id="{00000000-0008-0000-0200-00000D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70" name="AutoShape 183" descr="Image result for cook islands flag">
          <a:extLst>
            <a:ext uri="{FF2B5EF4-FFF2-40B4-BE49-F238E27FC236}">
              <a16:creationId xmlns:a16="http://schemas.microsoft.com/office/drawing/2014/main" id="{00000000-0008-0000-0200-00000E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71" name="AutoShape 184" descr="Image result for cook islands flag">
          <a:extLst>
            <a:ext uri="{FF2B5EF4-FFF2-40B4-BE49-F238E27FC236}">
              <a16:creationId xmlns:a16="http://schemas.microsoft.com/office/drawing/2014/main" id="{00000000-0008-0000-0200-00000F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72" name="AutoShape 183" descr="Image result for cook islands flag">
          <a:extLst>
            <a:ext uri="{FF2B5EF4-FFF2-40B4-BE49-F238E27FC236}">
              <a16:creationId xmlns:a16="http://schemas.microsoft.com/office/drawing/2014/main" id="{00000000-0008-0000-0200-000010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73" name="AutoShape 184" descr="Image result for cook islands flag">
          <a:extLst>
            <a:ext uri="{FF2B5EF4-FFF2-40B4-BE49-F238E27FC236}">
              <a16:creationId xmlns:a16="http://schemas.microsoft.com/office/drawing/2014/main" id="{00000000-0008-0000-0200-000011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74" name="AutoShape 183" descr="Image result for cook islands flag">
          <a:extLst>
            <a:ext uri="{FF2B5EF4-FFF2-40B4-BE49-F238E27FC236}">
              <a16:creationId xmlns:a16="http://schemas.microsoft.com/office/drawing/2014/main" id="{00000000-0008-0000-0200-000012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75" name="AutoShape 184" descr="Image result for cook islands flag">
          <a:extLst>
            <a:ext uri="{FF2B5EF4-FFF2-40B4-BE49-F238E27FC236}">
              <a16:creationId xmlns:a16="http://schemas.microsoft.com/office/drawing/2014/main" id="{00000000-0008-0000-0200-000013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76" name="AutoShape 183" descr="Image result for cook islands flag">
          <a:extLst>
            <a:ext uri="{FF2B5EF4-FFF2-40B4-BE49-F238E27FC236}">
              <a16:creationId xmlns:a16="http://schemas.microsoft.com/office/drawing/2014/main" id="{00000000-0008-0000-0200-000014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77" name="AutoShape 184" descr="Image result for cook islands flag">
          <a:extLst>
            <a:ext uri="{FF2B5EF4-FFF2-40B4-BE49-F238E27FC236}">
              <a16:creationId xmlns:a16="http://schemas.microsoft.com/office/drawing/2014/main" id="{00000000-0008-0000-0200-000015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78" name="AutoShape 184" descr="Image result for cook islands flag">
          <a:extLst>
            <a:ext uri="{FF2B5EF4-FFF2-40B4-BE49-F238E27FC236}">
              <a16:creationId xmlns:a16="http://schemas.microsoft.com/office/drawing/2014/main" id="{00000000-0008-0000-0200-000016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79" name="AutoShape 184" descr="Image result for cook islands flag">
          <a:extLst>
            <a:ext uri="{FF2B5EF4-FFF2-40B4-BE49-F238E27FC236}">
              <a16:creationId xmlns:a16="http://schemas.microsoft.com/office/drawing/2014/main" id="{00000000-0008-0000-0200-000017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44451</xdr:colOff>
      <xdr:row>6</xdr:row>
      <xdr:rowOff>0</xdr:rowOff>
    </xdr:from>
    <xdr:ext cx="249935" cy="254139"/>
    <xdr:sp macro="" textlink="">
      <xdr:nvSpPr>
        <xdr:cNvPr id="280" name="AutoShape 183" descr="Image result for cook islands flag">
          <a:extLst>
            <a:ext uri="{FF2B5EF4-FFF2-40B4-BE49-F238E27FC236}">
              <a16:creationId xmlns:a16="http://schemas.microsoft.com/office/drawing/2014/main" id="{00000000-0008-0000-0200-000018010000}"/>
            </a:ext>
          </a:extLst>
        </xdr:cNvPr>
        <xdr:cNvSpPr>
          <a:spLocks noChangeAspect="1" noChangeArrowheads="1"/>
        </xdr:cNvSpPr>
      </xdr:nvSpPr>
      <xdr:spPr bwMode="auto">
        <a:xfrm>
          <a:off x="3473451" y="1568824"/>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44451</xdr:colOff>
      <xdr:row>6</xdr:row>
      <xdr:rowOff>0</xdr:rowOff>
    </xdr:from>
    <xdr:ext cx="249935" cy="254139"/>
    <xdr:sp macro="" textlink="">
      <xdr:nvSpPr>
        <xdr:cNvPr id="281" name="AutoShape 184" descr="Image result for cook islands flag">
          <a:extLst>
            <a:ext uri="{FF2B5EF4-FFF2-40B4-BE49-F238E27FC236}">
              <a16:creationId xmlns:a16="http://schemas.microsoft.com/office/drawing/2014/main" id="{00000000-0008-0000-0200-000019010000}"/>
            </a:ext>
          </a:extLst>
        </xdr:cNvPr>
        <xdr:cNvSpPr>
          <a:spLocks noChangeAspect="1" noChangeArrowheads="1"/>
        </xdr:cNvSpPr>
      </xdr:nvSpPr>
      <xdr:spPr bwMode="auto">
        <a:xfrm>
          <a:off x="3473451" y="1568824"/>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11</xdr:col>
      <xdr:colOff>44451</xdr:colOff>
      <xdr:row>0</xdr:row>
      <xdr:rowOff>0</xdr:rowOff>
    </xdr:from>
    <xdr:to>
      <xdr:col>11</xdr:col>
      <xdr:colOff>288671</xdr:colOff>
      <xdr:row>1</xdr:row>
      <xdr:rowOff>38239</xdr:rowOff>
    </xdr:to>
    <xdr:sp macro="" textlink="">
      <xdr:nvSpPr>
        <xdr:cNvPr id="282" name="AutoShape 184" descr="Image result for cook islands flag">
          <a:extLst>
            <a:ext uri="{FF2B5EF4-FFF2-40B4-BE49-F238E27FC236}">
              <a16:creationId xmlns:a16="http://schemas.microsoft.com/office/drawing/2014/main" id="{00000000-0008-0000-0200-00001A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83" name="AutoShape 184" descr="Image result for cook islands flag">
          <a:extLst>
            <a:ext uri="{FF2B5EF4-FFF2-40B4-BE49-F238E27FC236}">
              <a16:creationId xmlns:a16="http://schemas.microsoft.com/office/drawing/2014/main" id="{00000000-0008-0000-0200-00001B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84" name="AutoShape 183" descr="Image result for cook islands flag">
          <a:extLst>
            <a:ext uri="{FF2B5EF4-FFF2-40B4-BE49-F238E27FC236}">
              <a16:creationId xmlns:a16="http://schemas.microsoft.com/office/drawing/2014/main" id="{00000000-0008-0000-0200-00001C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85" name="AutoShape 184" descr="Image result for cook islands flag">
          <a:extLst>
            <a:ext uri="{FF2B5EF4-FFF2-40B4-BE49-F238E27FC236}">
              <a16:creationId xmlns:a16="http://schemas.microsoft.com/office/drawing/2014/main" id="{00000000-0008-0000-0200-00001D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86" name="AutoShape 183" descr="Image result for cook islands flag">
          <a:extLst>
            <a:ext uri="{FF2B5EF4-FFF2-40B4-BE49-F238E27FC236}">
              <a16:creationId xmlns:a16="http://schemas.microsoft.com/office/drawing/2014/main" id="{00000000-0008-0000-0200-00001E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87" name="AutoShape 184" descr="Image result for cook islands flag">
          <a:extLst>
            <a:ext uri="{FF2B5EF4-FFF2-40B4-BE49-F238E27FC236}">
              <a16:creationId xmlns:a16="http://schemas.microsoft.com/office/drawing/2014/main" id="{00000000-0008-0000-0200-00001F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88" name="AutoShape 183" descr="Image result for cook islands flag">
          <a:extLst>
            <a:ext uri="{FF2B5EF4-FFF2-40B4-BE49-F238E27FC236}">
              <a16:creationId xmlns:a16="http://schemas.microsoft.com/office/drawing/2014/main" id="{00000000-0008-0000-0200-000020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44451</xdr:colOff>
      <xdr:row>0</xdr:row>
      <xdr:rowOff>0</xdr:rowOff>
    </xdr:from>
    <xdr:to>
      <xdr:col>4</xdr:col>
      <xdr:colOff>288671</xdr:colOff>
      <xdr:row>1</xdr:row>
      <xdr:rowOff>38239</xdr:rowOff>
    </xdr:to>
    <xdr:sp macro="" textlink="">
      <xdr:nvSpPr>
        <xdr:cNvPr id="289" name="AutoShape 184" descr="Image result for cook islands flag">
          <a:extLst>
            <a:ext uri="{FF2B5EF4-FFF2-40B4-BE49-F238E27FC236}">
              <a16:creationId xmlns:a16="http://schemas.microsoft.com/office/drawing/2014/main" id="{00000000-0008-0000-0200-000021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90" name="AutoShape 183" descr="Image result for cook islands flag">
          <a:extLst>
            <a:ext uri="{FF2B5EF4-FFF2-40B4-BE49-F238E27FC236}">
              <a16:creationId xmlns:a16="http://schemas.microsoft.com/office/drawing/2014/main" id="{00000000-0008-0000-0200-000022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91" name="AutoShape 184" descr="Image result for cook islands flag">
          <a:extLst>
            <a:ext uri="{FF2B5EF4-FFF2-40B4-BE49-F238E27FC236}">
              <a16:creationId xmlns:a16="http://schemas.microsoft.com/office/drawing/2014/main" id="{00000000-0008-0000-0200-000023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92" name="AutoShape 183" descr="Image result for cook islands flag">
          <a:extLst>
            <a:ext uri="{FF2B5EF4-FFF2-40B4-BE49-F238E27FC236}">
              <a16:creationId xmlns:a16="http://schemas.microsoft.com/office/drawing/2014/main" id="{00000000-0008-0000-0200-000024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93" name="AutoShape 184" descr="Image result for cook islands flag">
          <a:extLst>
            <a:ext uri="{FF2B5EF4-FFF2-40B4-BE49-F238E27FC236}">
              <a16:creationId xmlns:a16="http://schemas.microsoft.com/office/drawing/2014/main" id="{00000000-0008-0000-0200-000025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18</xdr:col>
      <xdr:colOff>44451</xdr:colOff>
      <xdr:row>33</xdr:row>
      <xdr:rowOff>0</xdr:rowOff>
    </xdr:from>
    <xdr:ext cx="249935" cy="254139"/>
    <xdr:sp macro="" textlink="">
      <xdr:nvSpPr>
        <xdr:cNvPr id="294" name="AutoShape 183" descr="Image result for cook islands flag">
          <a:extLst>
            <a:ext uri="{FF2B5EF4-FFF2-40B4-BE49-F238E27FC236}">
              <a16:creationId xmlns:a16="http://schemas.microsoft.com/office/drawing/2014/main" id="{00000000-0008-0000-0200-000026010000}"/>
            </a:ext>
          </a:extLst>
        </xdr:cNvPr>
        <xdr:cNvSpPr>
          <a:spLocks noChangeAspect="1" noChangeArrowheads="1"/>
        </xdr:cNvSpPr>
      </xdr:nvSpPr>
      <xdr:spPr bwMode="auto">
        <a:xfrm>
          <a:off x="21709157" y="806824"/>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44451</xdr:colOff>
      <xdr:row>33</xdr:row>
      <xdr:rowOff>0</xdr:rowOff>
    </xdr:from>
    <xdr:ext cx="249935" cy="254139"/>
    <xdr:sp macro="" textlink="">
      <xdr:nvSpPr>
        <xdr:cNvPr id="295" name="AutoShape 184" descr="Image result for cook islands flag">
          <a:extLst>
            <a:ext uri="{FF2B5EF4-FFF2-40B4-BE49-F238E27FC236}">
              <a16:creationId xmlns:a16="http://schemas.microsoft.com/office/drawing/2014/main" id="{00000000-0008-0000-0200-000027010000}"/>
            </a:ext>
          </a:extLst>
        </xdr:cNvPr>
        <xdr:cNvSpPr>
          <a:spLocks noChangeAspect="1" noChangeArrowheads="1"/>
        </xdr:cNvSpPr>
      </xdr:nvSpPr>
      <xdr:spPr bwMode="auto">
        <a:xfrm>
          <a:off x="21709157" y="806824"/>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44451</xdr:colOff>
      <xdr:row>24</xdr:row>
      <xdr:rowOff>0</xdr:rowOff>
    </xdr:from>
    <xdr:ext cx="249935" cy="254139"/>
    <xdr:sp macro="" textlink="">
      <xdr:nvSpPr>
        <xdr:cNvPr id="296" name="AutoShape 183" descr="Image result for cook islands flag">
          <a:extLst>
            <a:ext uri="{FF2B5EF4-FFF2-40B4-BE49-F238E27FC236}">
              <a16:creationId xmlns:a16="http://schemas.microsoft.com/office/drawing/2014/main" id="{00000000-0008-0000-0200-000028010000}"/>
            </a:ext>
          </a:extLst>
        </xdr:cNvPr>
        <xdr:cNvSpPr>
          <a:spLocks noChangeAspect="1" noChangeArrowheads="1"/>
        </xdr:cNvSpPr>
      </xdr:nvSpPr>
      <xdr:spPr bwMode="auto">
        <a:xfrm>
          <a:off x="21709157" y="806824"/>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11</xdr:col>
      <xdr:colOff>44451</xdr:colOff>
      <xdr:row>0</xdr:row>
      <xdr:rowOff>0</xdr:rowOff>
    </xdr:from>
    <xdr:to>
      <xdr:col>11</xdr:col>
      <xdr:colOff>288671</xdr:colOff>
      <xdr:row>1</xdr:row>
      <xdr:rowOff>38239</xdr:rowOff>
    </xdr:to>
    <xdr:sp macro="" textlink="">
      <xdr:nvSpPr>
        <xdr:cNvPr id="297" name="AutoShape 183" descr="Image result for cook islands flag">
          <a:extLst>
            <a:ext uri="{FF2B5EF4-FFF2-40B4-BE49-F238E27FC236}">
              <a16:creationId xmlns:a16="http://schemas.microsoft.com/office/drawing/2014/main" id="{00000000-0008-0000-0200-000029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298" name="AutoShape 184" descr="Image result for cook islands flag">
          <a:extLst>
            <a:ext uri="{FF2B5EF4-FFF2-40B4-BE49-F238E27FC236}">
              <a16:creationId xmlns:a16="http://schemas.microsoft.com/office/drawing/2014/main" id="{00000000-0008-0000-0200-00002A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299" name="AutoShape 183" descr="Image result for cook islands flag">
          <a:extLst>
            <a:ext uri="{FF2B5EF4-FFF2-40B4-BE49-F238E27FC236}">
              <a16:creationId xmlns:a16="http://schemas.microsoft.com/office/drawing/2014/main" id="{00000000-0008-0000-0200-00002B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00" name="AutoShape 184" descr="Image result for cook islands flag">
          <a:extLst>
            <a:ext uri="{FF2B5EF4-FFF2-40B4-BE49-F238E27FC236}">
              <a16:creationId xmlns:a16="http://schemas.microsoft.com/office/drawing/2014/main" id="{00000000-0008-0000-0200-00002C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01" name="AutoShape 183" descr="Image result for cook islands flag">
          <a:extLst>
            <a:ext uri="{FF2B5EF4-FFF2-40B4-BE49-F238E27FC236}">
              <a16:creationId xmlns:a16="http://schemas.microsoft.com/office/drawing/2014/main" id="{00000000-0008-0000-0200-00002D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02" name="AutoShape 184" descr="Image result for cook islands flag">
          <a:extLst>
            <a:ext uri="{FF2B5EF4-FFF2-40B4-BE49-F238E27FC236}">
              <a16:creationId xmlns:a16="http://schemas.microsoft.com/office/drawing/2014/main" id="{00000000-0008-0000-0200-00002E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03" name="AutoShape 183" descr="Image result for cook islands flag">
          <a:extLst>
            <a:ext uri="{FF2B5EF4-FFF2-40B4-BE49-F238E27FC236}">
              <a16:creationId xmlns:a16="http://schemas.microsoft.com/office/drawing/2014/main" id="{00000000-0008-0000-0200-00002F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04" name="AutoShape 184" descr="Image result for cook islands flag">
          <a:extLst>
            <a:ext uri="{FF2B5EF4-FFF2-40B4-BE49-F238E27FC236}">
              <a16:creationId xmlns:a16="http://schemas.microsoft.com/office/drawing/2014/main" id="{00000000-0008-0000-0200-000030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05" name="AutoShape 183" descr="Image result for cook islands flag">
          <a:extLst>
            <a:ext uri="{FF2B5EF4-FFF2-40B4-BE49-F238E27FC236}">
              <a16:creationId xmlns:a16="http://schemas.microsoft.com/office/drawing/2014/main" id="{00000000-0008-0000-0200-000031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06" name="AutoShape 184" descr="Image result for cook islands flag">
          <a:extLst>
            <a:ext uri="{FF2B5EF4-FFF2-40B4-BE49-F238E27FC236}">
              <a16:creationId xmlns:a16="http://schemas.microsoft.com/office/drawing/2014/main" id="{00000000-0008-0000-0200-000032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07" name="AutoShape 183" descr="Image result for cook islands flag">
          <a:extLst>
            <a:ext uri="{FF2B5EF4-FFF2-40B4-BE49-F238E27FC236}">
              <a16:creationId xmlns:a16="http://schemas.microsoft.com/office/drawing/2014/main" id="{00000000-0008-0000-0200-000033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08" name="AutoShape 184" descr="Image result for cook islands flag">
          <a:extLst>
            <a:ext uri="{FF2B5EF4-FFF2-40B4-BE49-F238E27FC236}">
              <a16:creationId xmlns:a16="http://schemas.microsoft.com/office/drawing/2014/main" id="{00000000-0008-0000-0200-000034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09" name="AutoShape 184" descr="Image result for cook islands flag">
          <a:extLst>
            <a:ext uri="{FF2B5EF4-FFF2-40B4-BE49-F238E27FC236}">
              <a16:creationId xmlns:a16="http://schemas.microsoft.com/office/drawing/2014/main" id="{00000000-0008-0000-0200-000035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10" name="AutoShape 183" descr="Image result for cook islands flag">
          <a:extLst>
            <a:ext uri="{FF2B5EF4-FFF2-40B4-BE49-F238E27FC236}">
              <a16:creationId xmlns:a16="http://schemas.microsoft.com/office/drawing/2014/main" id="{00000000-0008-0000-0200-000036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11" name="AutoShape 184" descr="Image result for cook islands flag">
          <a:extLst>
            <a:ext uri="{FF2B5EF4-FFF2-40B4-BE49-F238E27FC236}">
              <a16:creationId xmlns:a16="http://schemas.microsoft.com/office/drawing/2014/main" id="{00000000-0008-0000-0200-000037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12" name="AutoShape 183" descr="Image result for cook islands flag">
          <a:extLst>
            <a:ext uri="{FF2B5EF4-FFF2-40B4-BE49-F238E27FC236}">
              <a16:creationId xmlns:a16="http://schemas.microsoft.com/office/drawing/2014/main" id="{00000000-0008-0000-0200-000038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13" name="AutoShape 184" descr="Image result for cook islands flag">
          <a:extLst>
            <a:ext uri="{FF2B5EF4-FFF2-40B4-BE49-F238E27FC236}">
              <a16:creationId xmlns:a16="http://schemas.microsoft.com/office/drawing/2014/main" id="{00000000-0008-0000-0200-000039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14" name="AutoShape 183" descr="Image result for cook islands flag">
          <a:extLst>
            <a:ext uri="{FF2B5EF4-FFF2-40B4-BE49-F238E27FC236}">
              <a16:creationId xmlns:a16="http://schemas.microsoft.com/office/drawing/2014/main" id="{00000000-0008-0000-0200-00003A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15" name="AutoShape 184" descr="Image result for cook islands flag">
          <a:extLst>
            <a:ext uri="{FF2B5EF4-FFF2-40B4-BE49-F238E27FC236}">
              <a16:creationId xmlns:a16="http://schemas.microsoft.com/office/drawing/2014/main" id="{00000000-0008-0000-0200-00003B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16" name="AutoShape 183" descr="Image result for cook islands flag">
          <a:extLst>
            <a:ext uri="{FF2B5EF4-FFF2-40B4-BE49-F238E27FC236}">
              <a16:creationId xmlns:a16="http://schemas.microsoft.com/office/drawing/2014/main" id="{00000000-0008-0000-0200-00003C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17" name="AutoShape 184" descr="Image result for cook islands flag">
          <a:extLst>
            <a:ext uri="{FF2B5EF4-FFF2-40B4-BE49-F238E27FC236}">
              <a16:creationId xmlns:a16="http://schemas.microsoft.com/office/drawing/2014/main" id="{00000000-0008-0000-0200-00003D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18" name="AutoShape 183" descr="Image result for cook islands flag">
          <a:extLst>
            <a:ext uri="{FF2B5EF4-FFF2-40B4-BE49-F238E27FC236}">
              <a16:creationId xmlns:a16="http://schemas.microsoft.com/office/drawing/2014/main" id="{00000000-0008-0000-0200-00003E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44451</xdr:colOff>
      <xdr:row>0</xdr:row>
      <xdr:rowOff>0</xdr:rowOff>
    </xdr:from>
    <xdr:to>
      <xdr:col>18</xdr:col>
      <xdr:colOff>288671</xdr:colOff>
      <xdr:row>1</xdr:row>
      <xdr:rowOff>38239</xdr:rowOff>
    </xdr:to>
    <xdr:sp macro="" textlink="">
      <xdr:nvSpPr>
        <xdr:cNvPr id="319" name="AutoShape 183" descr="Image result for cook islands flag">
          <a:extLst>
            <a:ext uri="{FF2B5EF4-FFF2-40B4-BE49-F238E27FC236}">
              <a16:creationId xmlns:a16="http://schemas.microsoft.com/office/drawing/2014/main" id="{00000000-0008-0000-0200-00003F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44451</xdr:colOff>
      <xdr:row>3</xdr:row>
      <xdr:rowOff>0</xdr:rowOff>
    </xdr:from>
    <xdr:ext cx="249935" cy="254139"/>
    <xdr:sp macro="" textlink="">
      <xdr:nvSpPr>
        <xdr:cNvPr id="320" name="AutoShape 183" descr="Image result for cook islands flag">
          <a:extLst>
            <a:ext uri="{FF2B5EF4-FFF2-40B4-BE49-F238E27FC236}">
              <a16:creationId xmlns:a16="http://schemas.microsoft.com/office/drawing/2014/main" id="{00000000-0008-0000-0200-000040010000}"/>
            </a:ext>
          </a:extLst>
        </xdr:cNvPr>
        <xdr:cNvSpPr>
          <a:spLocks noChangeAspect="1" noChangeArrowheads="1"/>
        </xdr:cNvSpPr>
      </xdr:nvSpPr>
      <xdr:spPr bwMode="auto">
        <a:xfrm>
          <a:off x="12572094"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3</xdr:row>
      <xdr:rowOff>0</xdr:rowOff>
    </xdr:from>
    <xdr:ext cx="249935" cy="254139"/>
    <xdr:sp macro="" textlink="">
      <xdr:nvSpPr>
        <xdr:cNvPr id="321" name="AutoShape 184" descr="Image result for cook islands flag">
          <a:extLst>
            <a:ext uri="{FF2B5EF4-FFF2-40B4-BE49-F238E27FC236}">
              <a16:creationId xmlns:a16="http://schemas.microsoft.com/office/drawing/2014/main" id="{00000000-0008-0000-0200-000041010000}"/>
            </a:ext>
          </a:extLst>
        </xdr:cNvPr>
        <xdr:cNvSpPr>
          <a:spLocks noChangeAspect="1" noChangeArrowheads="1"/>
        </xdr:cNvSpPr>
      </xdr:nvSpPr>
      <xdr:spPr bwMode="auto">
        <a:xfrm>
          <a:off x="12572094"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3</xdr:row>
      <xdr:rowOff>0</xdr:rowOff>
    </xdr:from>
    <xdr:ext cx="249935" cy="254139"/>
    <xdr:sp macro="" textlink="">
      <xdr:nvSpPr>
        <xdr:cNvPr id="322" name="AutoShape 194" descr="Image result for niue flag">
          <a:extLst>
            <a:ext uri="{FF2B5EF4-FFF2-40B4-BE49-F238E27FC236}">
              <a16:creationId xmlns:a16="http://schemas.microsoft.com/office/drawing/2014/main" id="{00000000-0008-0000-0200-000042010000}"/>
            </a:ext>
          </a:extLst>
        </xdr:cNvPr>
        <xdr:cNvSpPr>
          <a:spLocks noChangeAspect="1" noChangeArrowheads="1"/>
        </xdr:cNvSpPr>
      </xdr:nvSpPr>
      <xdr:spPr bwMode="auto">
        <a:xfrm>
          <a:off x="12572094"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3</xdr:row>
      <xdr:rowOff>0</xdr:rowOff>
    </xdr:from>
    <xdr:ext cx="249935" cy="254139"/>
    <xdr:sp macro="" textlink="">
      <xdr:nvSpPr>
        <xdr:cNvPr id="323" name="AutoShape 195" descr="Image result for niue flag">
          <a:extLst>
            <a:ext uri="{FF2B5EF4-FFF2-40B4-BE49-F238E27FC236}">
              <a16:creationId xmlns:a16="http://schemas.microsoft.com/office/drawing/2014/main" id="{00000000-0008-0000-0200-000043010000}"/>
            </a:ext>
          </a:extLst>
        </xdr:cNvPr>
        <xdr:cNvSpPr>
          <a:spLocks noChangeAspect="1" noChangeArrowheads="1"/>
        </xdr:cNvSpPr>
      </xdr:nvSpPr>
      <xdr:spPr bwMode="auto">
        <a:xfrm>
          <a:off x="12572094"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3</xdr:row>
      <xdr:rowOff>0</xdr:rowOff>
    </xdr:from>
    <xdr:ext cx="249935" cy="254139"/>
    <xdr:sp macro="" textlink="">
      <xdr:nvSpPr>
        <xdr:cNvPr id="324" name="AutoShape 198" descr="https://upload.wikimedia.org/wikipedia/commons/0/01/Flag_of_Niue.svg">
          <a:extLst>
            <a:ext uri="{FF2B5EF4-FFF2-40B4-BE49-F238E27FC236}">
              <a16:creationId xmlns:a16="http://schemas.microsoft.com/office/drawing/2014/main" id="{00000000-0008-0000-0200-000044010000}"/>
            </a:ext>
          </a:extLst>
        </xdr:cNvPr>
        <xdr:cNvSpPr>
          <a:spLocks noChangeAspect="1" noChangeArrowheads="1"/>
        </xdr:cNvSpPr>
      </xdr:nvSpPr>
      <xdr:spPr bwMode="auto">
        <a:xfrm>
          <a:off x="12572094"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3</xdr:row>
      <xdr:rowOff>0</xdr:rowOff>
    </xdr:from>
    <xdr:ext cx="249935" cy="254139"/>
    <xdr:sp macro="" textlink="">
      <xdr:nvSpPr>
        <xdr:cNvPr id="325" name="AutoShape 199" descr="https://upload.wikimedia.org/wikipedia/commons/0/01/Flag_of_Niue.svg">
          <a:extLst>
            <a:ext uri="{FF2B5EF4-FFF2-40B4-BE49-F238E27FC236}">
              <a16:creationId xmlns:a16="http://schemas.microsoft.com/office/drawing/2014/main" id="{00000000-0008-0000-0200-000045010000}"/>
            </a:ext>
          </a:extLst>
        </xdr:cNvPr>
        <xdr:cNvSpPr>
          <a:spLocks noChangeAspect="1" noChangeArrowheads="1"/>
        </xdr:cNvSpPr>
      </xdr:nvSpPr>
      <xdr:spPr bwMode="auto">
        <a:xfrm>
          <a:off x="12572094"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44451</xdr:colOff>
      <xdr:row>3</xdr:row>
      <xdr:rowOff>0</xdr:rowOff>
    </xdr:from>
    <xdr:ext cx="249935" cy="254139"/>
    <xdr:sp macro="" textlink="">
      <xdr:nvSpPr>
        <xdr:cNvPr id="326" name="AutoShape 183" descr="Image result for cook islands flag">
          <a:extLst>
            <a:ext uri="{FF2B5EF4-FFF2-40B4-BE49-F238E27FC236}">
              <a16:creationId xmlns:a16="http://schemas.microsoft.com/office/drawing/2014/main" id="{00000000-0008-0000-0200-000046010000}"/>
            </a:ext>
          </a:extLst>
        </xdr:cNvPr>
        <xdr:cNvSpPr>
          <a:spLocks noChangeAspect="1" noChangeArrowheads="1"/>
        </xdr:cNvSpPr>
      </xdr:nvSpPr>
      <xdr:spPr bwMode="auto">
        <a:xfrm>
          <a:off x="3473451"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44451</xdr:colOff>
      <xdr:row>3</xdr:row>
      <xdr:rowOff>0</xdr:rowOff>
    </xdr:from>
    <xdr:ext cx="249935" cy="254139"/>
    <xdr:sp macro="" textlink="">
      <xdr:nvSpPr>
        <xdr:cNvPr id="327" name="AutoShape 184" descr="Image result for cook islands flag">
          <a:extLst>
            <a:ext uri="{FF2B5EF4-FFF2-40B4-BE49-F238E27FC236}">
              <a16:creationId xmlns:a16="http://schemas.microsoft.com/office/drawing/2014/main" id="{00000000-0008-0000-0200-000047010000}"/>
            </a:ext>
          </a:extLst>
        </xdr:cNvPr>
        <xdr:cNvSpPr>
          <a:spLocks noChangeAspect="1" noChangeArrowheads="1"/>
        </xdr:cNvSpPr>
      </xdr:nvSpPr>
      <xdr:spPr bwMode="auto">
        <a:xfrm>
          <a:off x="3473451"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3</xdr:row>
      <xdr:rowOff>0</xdr:rowOff>
    </xdr:from>
    <xdr:ext cx="249935" cy="254139"/>
    <xdr:sp macro="" textlink="">
      <xdr:nvSpPr>
        <xdr:cNvPr id="328" name="AutoShape 183" descr="Image result for cook islands flag">
          <a:extLst>
            <a:ext uri="{FF2B5EF4-FFF2-40B4-BE49-F238E27FC236}">
              <a16:creationId xmlns:a16="http://schemas.microsoft.com/office/drawing/2014/main" id="{00000000-0008-0000-0200-000048010000}"/>
            </a:ext>
          </a:extLst>
        </xdr:cNvPr>
        <xdr:cNvSpPr>
          <a:spLocks noChangeAspect="1" noChangeArrowheads="1"/>
        </xdr:cNvSpPr>
      </xdr:nvSpPr>
      <xdr:spPr bwMode="auto">
        <a:xfrm>
          <a:off x="12572094"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44451</xdr:colOff>
      <xdr:row>3</xdr:row>
      <xdr:rowOff>0</xdr:rowOff>
    </xdr:from>
    <xdr:ext cx="249935" cy="254139"/>
    <xdr:sp macro="" textlink="">
      <xdr:nvSpPr>
        <xdr:cNvPr id="329" name="AutoShape 184" descr="Image result for cook islands flag">
          <a:extLst>
            <a:ext uri="{FF2B5EF4-FFF2-40B4-BE49-F238E27FC236}">
              <a16:creationId xmlns:a16="http://schemas.microsoft.com/office/drawing/2014/main" id="{00000000-0008-0000-0200-000049010000}"/>
            </a:ext>
          </a:extLst>
        </xdr:cNvPr>
        <xdr:cNvSpPr>
          <a:spLocks noChangeAspect="1" noChangeArrowheads="1"/>
        </xdr:cNvSpPr>
      </xdr:nvSpPr>
      <xdr:spPr bwMode="auto">
        <a:xfrm>
          <a:off x="12572094" y="1224643"/>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11</xdr:col>
      <xdr:colOff>44451</xdr:colOff>
      <xdr:row>0</xdr:row>
      <xdr:rowOff>0</xdr:rowOff>
    </xdr:from>
    <xdr:to>
      <xdr:col>11</xdr:col>
      <xdr:colOff>288671</xdr:colOff>
      <xdr:row>1</xdr:row>
      <xdr:rowOff>38239</xdr:rowOff>
    </xdr:to>
    <xdr:sp macro="" textlink="">
      <xdr:nvSpPr>
        <xdr:cNvPr id="330" name="AutoShape 183" descr="Image result for cook islands flag">
          <a:extLst>
            <a:ext uri="{FF2B5EF4-FFF2-40B4-BE49-F238E27FC236}">
              <a16:creationId xmlns:a16="http://schemas.microsoft.com/office/drawing/2014/main" id="{00000000-0008-0000-0200-00004A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331" name="AutoShape 184" descr="Image result for cook islands flag">
          <a:extLst>
            <a:ext uri="{FF2B5EF4-FFF2-40B4-BE49-F238E27FC236}">
              <a16:creationId xmlns:a16="http://schemas.microsoft.com/office/drawing/2014/main" id="{00000000-0008-0000-0200-00004B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24</xdr:col>
      <xdr:colOff>0</xdr:colOff>
      <xdr:row>0</xdr:row>
      <xdr:rowOff>0</xdr:rowOff>
    </xdr:from>
    <xdr:ext cx="249935" cy="255953"/>
    <xdr:sp macro="" textlink="">
      <xdr:nvSpPr>
        <xdr:cNvPr id="332" name="AutoShape 183" descr="Image result for cook islands flag">
          <a:extLst>
            <a:ext uri="{FF2B5EF4-FFF2-40B4-BE49-F238E27FC236}">
              <a16:creationId xmlns:a16="http://schemas.microsoft.com/office/drawing/2014/main" id="{00000000-0008-0000-0200-00004C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33" name="AutoShape 184" descr="Image result for cook islands flag">
          <a:extLst>
            <a:ext uri="{FF2B5EF4-FFF2-40B4-BE49-F238E27FC236}">
              <a16:creationId xmlns:a16="http://schemas.microsoft.com/office/drawing/2014/main" id="{00000000-0008-0000-0200-00004D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34" name="AutoShape 183" descr="Image result for cook islands flag">
          <a:extLst>
            <a:ext uri="{FF2B5EF4-FFF2-40B4-BE49-F238E27FC236}">
              <a16:creationId xmlns:a16="http://schemas.microsoft.com/office/drawing/2014/main" id="{00000000-0008-0000-0200-00004E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35" name="AutoShape 184" descr="Image result for cook islands flag">
          <a:extLst>
            <a:ext uri="{FF2B5EF4-FFF2-40B4-BE49-F238E27FC236}">
              <a16:creationId xmlns:a16="http://schemas.microsoft.com/office/drawing/2014/main" id="{00000000-0008-0000-0200-00004F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36" name="AutoShape 183" descr="Image result for cook islands flag">
          <a:extLst>
            <a:ext uri="{FF2B5EF4-FFF2-40B4-BE49-F238E27FC236}">
              <a16:creationId xmlns:a16="http://schemas.microsoft.com/office/drawing/2014/main" id="{00000000-0008-0000-0200-000050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37" name="AutoShape 184" descr="Image result for cook islands flag">
          <a:extLst>
            <a:ext uri="{FF2B5EF4-FFF2-40B4-BE49-F238E27FC236}">
              <a16:creationId xmlns:a16="http://schemas.microsoft.com/office/drawing/2014/main" id="{00000000-0008-0000-0200-000051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38" name="AutoShape 183" descr="Image result for cook islands flag">
          <a:extLst>
            <a:ext uri="{FF2B5EF4-FFF2-40B4-BE49-F238E27FC236}">
              <a16:creationId xmlns:a16="http://schemas.microsoft.com/office/drawing/2014/main" id="{00000000-0008-0000-0200-000052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39" name="AutoShape 184" descr="Image result for cook islands flag">
          <a:extLst>
            <a:ext uri="{FF2B5EF4-FFF2-40B4-BE49-F238E27FC236}">
              <a16:creationId xmlns:a16="http://schemas.microsoft.com/office/drawing/2014/main" id="{00000000-0008-0000-0200-000053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0" name="AutoShape 183" descr="Image result for cook islands flag">
          <a:extLst>
            <a:ext uri="{FF2B5EF4-FFF2-40B4-BE49-F238E27FC236}">
              <a16:creationId xmlns:a16="http://schemas.microsoft.com/office/drawing/2014/main" id="{00000000-0008-0000-0200-000054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1" name="AutoShape 184" descr="Image result for cook islands flag">
          <a:extLst>
            <a:ext uri="{FF2B5EF4-FFF2-40B4-BE49-F238E27FC236}">
              <a16:creationId xmlns:a16="http://schemas.microsoft.com/office/drawing/2014/main" id="{00000000-0008-0000-0200-000055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2" name="AutoShape 183" descr="Image result for cook islands flag">
          <a:extLst>
            <a:ext uri="{FF2B5EF4-FFF2-40B4-BE49-F238E27FC236}">
              <a16:creationId xmlns:a16="http://schemas.microsoft.com/office/drawing/2014/main" id="{00000000-0008-0000-0200-000056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3" name="AutoShape 184" descr="Image result for cook islands flag">
          <a:extLst>
            <a:ext uri="{FF2B5EF4-FFF2-40B4-BE49-F238E27FC236}">
              <a16:creationId xmlns:a16="http://schemas.microsoft.com/office/drawing/2014/main" id="{00000000-0008-0000-0200-000057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4" name="AutoShape 183" descr="Image result for cook islands flag">
          <a:extLst>
            <a:ext uri="{FF2B5EF4-FFF2-40B4-BE49-F238E27FC236}">
              <a16:creationId xmlns:a16="http://schemas.microsoft.com/office/drawing/2014/main" id="{00000000-0008-0000-0200-000058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5" name="AutoShape 184" descr="Image result for cook islands flag">
          <a:extLst>
            <a:ext uri="{FF2B5EF4-FFF2-40B4-BE49-F238E27FC236}">
              <a16:creationId xmlns:a16="http://schemas.microsoft.com/office/drawing/2014/main" id="{00000000-0008-0000-0200-000059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6" name="AutoShape 183" descr="Image result for cook islands flag">
          <a:extLst>
            <a:ext uri="{FF2B5EF4-FFF2-40B4-BE49-F238E27FC236}">
              <a16:creationId xmlns:a16="http://schemas.microsoft.com/office/drawing/2014/main" id="{00000000-0008-0000-0200-00005A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7" name="AutoShape 184" descr="Image result for cook islands flag">
          <a:extLst>
            <a:ext uri="{FF2B5EF4-FFF2-40B4-BE49-F238E27FC236}">
              <a16:creationId xmlns:a16="http://schemas.microsoft.com/office/drawing/2014/main" id="{00000000-0008-0000-0200-00005B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8" name="AutoShape 183" descr="Image result for cook islands flag">
          <a:extLst>
            <a:ext uri="{FF2B5EF4-FFF2-40B4-BE49-F238E27FC236}">
              <a16:creationId xmlns:a16="http://schemas.microsoft.com/office/drawing/2014/main" id="{00000000-0008-0000-0200-00005C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49" name="AutoShape 184" descr="Image result for cook islands flag">
          <a:extLst>
            <a:ext uri="{FF2B5EF4-FFF2-40B4-BE49-F238E27FC236}">
              <a16:creationId xmlns:a16="http://schemas.microsoft.com/office/drawing/2014/main" id="{00000000-0008-0000-0200-00005D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0" name="AutoShape 183" descr="Image result for cook islands flag">
          <a:extLst>
            <a:ext uri="{FF2B5EF4-FFF2-40B4-BE49-F238E27FC236}">
              <a16:creationId xmlns:a16="http://schemas.microsoft.com/office/drawing/2014/main" id="{00000000-0008-0000-0200-00005E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1" name="AutoShape 184" descr="Image result for cook islands flag">
          <a:extLst>
            <a:ext uri="{FF2B5EF4-FFF2-40B4-BE49-F238E27FC236}">
              <a16:creationId xmlns:a16="http://schemas.microsoft.com/office/drawing/2014/main" id="{00000000-0008-0000-0200-00005F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2" name="AutoShape 183" descr="Image result for cook islands flag">
          <a:extLst>
            <a:ext uri="{FF2B5EF4-FFF2-40B4-BE49-F238E27FC236}">
              <a16:creationId xmlns:a16="http://schemas.microsoft.com/office/drawing/2014/main" id="{00000000-0008-0000-0200-000060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3" name="AutoShape 184" descr="Image result for cook islands flag">
          <a:extLst>
            <a:ext uri="{FF2B5EF4-FFF2-40B4-BE49-F238E27FC236}">
              <a16:creationId xmlns:a16="http://schemas.microsoft.com/office/drawing/2014/main" id="{00000000-0008-0000-0200-000061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4" name="AutoShape 183" descr="Image result for cook islands flag">
          <a:extLst>
            <a:ext uri="{FF2B5EF4-FFF2-40B4-BE49-F238E27FC236}">
              <a16:creationId xmlns:a16="http://schemas.microsoft.com/office/drawing/2014/main" id="{00000000-0008-0000-0200-000062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5" name="AutoShape 184" descr="Image result for cook islands flag">
          <a:extLst>
            <a:ext uri="{FF2B5EF4-FFF2-40B4-BE49-F238E27FC236}">
              <a16:creationId xmlns:a16="http://schemas.microsoft.com/office/drawing/2014/main" id="{00000000-0008-0000-0200-000063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6" name="AutoShape 183" descr="Image result for cook islands flag">
          <a:extLst>
            <a:ext uri="{FF2B5EF4-FFF2-40B4-BE49-F238E27FC236}">
              <a16:creationId xmlns:a16="http://schemas.microsoft.com/office/drawing/2014/main" id="{00000000-0008-0000-0200-000064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7" name="AutoShape 184" descr="Image result for cook islands flag">
          <a:extLst>
            <a:ext uri="{FF2B5EF4-FFF2-40B4-BE49-F238E27FC236}">
              <a16:creationId xmlns:a16="http://schemas.microsoft.com/office/drawing/2014/main" id="{00000000-0008-0000-0200-000065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8" name="AutoShape 183" descr="Image result for cook islands flag">
          <a:extLst>
            <a:ext uri="{FF2B5EF4-FFF2-40B4-BE49-F238E27FC236}">
              <a16:creationId xmlns:a16="http://schemas.microsoft.com/office/drawing/2014/main" id="{00000000-0008-0000-0200-000066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59" name="AutoShape 184" descr="Image result for cook islands flag">
          <a:extLst>
            <a:ext uri="{FF2B5EF4-FFF2-40B4-BE49-F238E27FC236}">
              <a16:creationId xmlns:a16="http://schemas.microsoft.com/office/drawing/2014/main" id="{00000000-0008-0000-0200-000067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0" name="AutoShape 183" descr="Image result for cook islands flag">
          <a:extLst>
            <a:ext uri="{FF2B5EF4-FFF2-40B4-BE49-F238E27FC236}">
              <a16:creationId xmlns:a16="http://schemas.microsoft.com/office/drawing/2014/main" id="{00000000-0008-0000-0200-000068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1" name="AutoShape 184" descr="Image result for cook islands flag">
          <a:extLst>
            <a:ext uri="{FF2B5EF4-FFF2-40B4-BE49-F238E27FC236}">
              <a16:creationId xmlns:a16="http://schemas.microsoft.com/office/drawing/2014/main" id="{00000000-0008-0000-0200-000069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2" name="AutoShape 183" descr="Image result for cook islands flag">
          <a:extLst>
            <a:ext uri="{FF2B5EF4-FFF2-40B4-BE49-F238E27FC236}">
              <a16:creationId xmlns:a16="http://schemas.microsoft.com/office/drawing/2014/main" id="{00000000-0008-0000-0200-00006A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3" name="AutoShape 184" descr="Image result for cook islands flag">
          <a:extLst>
            <a:ext uri="{FF2B5EF4-FFF2-40B4-BE49-F238E27FC236}">
              <a16:creationId xmlns:a16="http://schemas.microsoft.com/office/drawing/2014/main" id="{00000000-0008-0000-0200-00006B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4" name="AutoShape 183" descr="Image result for cook islands flag">
          <a:extLst>
            <a:ext uri="{FF2B5EF4-FFF2-40B4-BE49-F238E27FC236}">
              <a16:creationId xmlns:a16="http://schemas.microsoft.com/office/drawing/2014/main" id="{00000000-0008-0000-0200-00006C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5" name="AutoShape 184" descr="Image result for cook islands flag">
          <a:extLst>
            <a:ext uri="{FF2B5EF4-FFF2-40B4-BE49-F238E27FC236}">
              <a16:creationId xmlns:a16="http://schemas.microsoft.com/office/drawing/2014/main" id="{00000000-0008-0000-0200-00006D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6" name="AutoShape 183" descr="Image result for cook islands flag">
          <a:extLst>
            <a:ext uri="{FF2B5EF4-FFF2-40B4-BE49-F238E27FC236}">
              <a16:creationId xmlns:a16="http://schemas.microsoft.com/office/drawing/2014/main" id="{00000000-0008-0000-0200-00006E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7" name="AutoShape 184" descr="Image result for cook islands flag">
          <a:extLst>
            <a:ext uri="{FF2B5EF4-FFF2-40B4-BE49-F238E27FC236}">
              <a16:creationId xmlns:a16="http://schemas.microsoft.com/office/drawing/2014/main" id="{00000000-0008-0000-0200-00006F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8" name="AutoShape 183" descr="Image result for cook islands flag">
          <a:extLst>
            <a:ext uri="{FF2B5EF4-FFF2-40B4-BE49-F238E27FC236}">
              <a16:creationId xmlns:a16="http://schemas.microsoft.com/office/drawing/2014/main" id="{00000000-0008-0000-0200-000070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69" name="AutoShape 184" descr="Image result for cook islands flag">
          <a:extLst>
            <a:ext uri="{FF2B5EF4-FFF2-40B4-BE49-F238E27FC236}">
              <a16:creationId xmlns:a16="http://schemas.microsoft.com/office/drawing/2014/main" id="{00000000-0008-0000-0200-000071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0" name="AutoShape 183" descr="Image result for cook islands flag">
          <a:extLst>
            <a:ext uri="{FF2B5EF4-FFF2-40B4-BE49-F238E27FC236}">
              <a16:creationId xmlns:a16="http://schemas.microsoft.com/office/drawing/2014/main" id="{00000000-0008-0000-0200-000072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1" name="AutoShape 184" descr="Image result for cook islands flag">
          <a:extLst>
            <a:ext uri="{FF2B5EF4-FFF2-40B4-BE49-F238E27FC236}">
              <a16:creationId xmlns:a16="http://schemas.microsoft.com/office/drawing/2014/main" id="{00000000-0008-0000-0200-000073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2" name="AutoShape 183" descr="Image result for cook islands flag">
          <a:extLst>
            <a:ext uri="{FF2B5EF4-FFF2-40B4-BE49-F238E27FC236}">
              <a16:creationId xmlns:a16="http://schemas.microsoft.com/office/drawing/2014/main" id="{00000000-0008-0000-0200-000074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3" name="AutoShape 184" descr="Image result for cook islands flag">
          <a:extLst>
            <a:ext uri="{FF2B5EF4-FFF2-40B4-BE49-F238E27FC236}">
              <a16:creationId xmlns:a16="http://schemas.microsoft.com/office/drawing/2014/main" id="{00000000-0008-0000-0200-000075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4" name="AutoShape 183" descr="Image result for cook islands flag">
          <a:extLst>
            <a:ext uri="{FF2B5EF4-FFF2-40B4-BE49-F238E27FC236}">
              <a16:creationId xmlns:a16="http://schemas.microsoft.com/office/drawing/2014/main" id="{00000000-0008-0000-0200-000076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5" name="AutoShape 184" descr="Image result for cook islands flag">
          <a:extLst>
            <a:ext uri="{FF2B5EF4-FFF2-40B4-BE49-F238E27FC236}">
              <a16:creationId xmlns:a16="http://schemas.microsoft.com/office/drawing/2014/main" id="{00000000-0008-0000-0200-000077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6" name="AutoShape 183" descr="Image result for cook islands flag">
          <a:extLst>
            <a:ext uri="{FF2B5EF4-FFF2-40B4-BE49-F238E27FC236}">
              <a16:creationId xmlns:a16="http://schemas.microsoft.com/office/drawing/2014/main" id="{00000000-0008-0000-0200-000078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7" name="AutoShape 184" descr="Image result for cook islands flag">
          <a:extLst>
            <a:ext uri="{FF2B5EF4-FFF2-40B4-BE49-F238E27FC236}">
              <a16:creationId xmlns:a16="http://schemas.microsoft.com/office/drawing/2014/main" id="{00000000-0008-0000-0200-000079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8" name="AutoShape 183" descr="Image result for cook islands flag">
          <a:extLst>
            <a:ext uri="{FF2B5EF4-FFF2-40B4-BE49-F238E27FC236}">
              <a16:creationId xmlns:a16="http://schemas.microsoft.com/office/drawing/2014/main" id="{00000000-0008-0000-0200-00007A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79" name="AutoShape 184" descr="Image result for cook islands flag">
          <a:extLst>
            <a:ext uri="{FF2B5EF4-FFF2-40B4-BE49-F238E27FC236}">
              <a16:creationId xmlns:a16="http://schemas.microsoft.com/office/drawing/2014/main" id="{00000000-0008-0000-0200-00007B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80" name="AutoShape 183" descr="Image result for cook islands flag">
          <a:extLst>
            <a:ext uri="{FF2B5EF4-FFF2-40B4-BE49-F238E27FC236}">
              <a16:creationId xmlns:a16="http://schemas.microsoft.com/office/drawing/2014/main" id="{00000000-0008-0000-0200-00007C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81" name="AutoShape 184" descr="Image result for cook islands flag">
          <a:extLst>
            <a:ext uri="{FF2B5EF4-FFF2-40B4-BE49-F238E27FC236}">
              <a16:creationId xmlns:a16="http://schemas.microsoft.com/office/drawing/2014/main" id="{00000000-0008-0000-0200-00007D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82" name="AutoShape 183" descr="Image result for cook islands flag">
          <a:extLst>
            <a:ext uri="{FF2B5EF4-FFF2-40B4-BE49-F238E27FC236}">
              <a16:creationId xmlns:a16="http://schemas.microsoft.com/office/drawing/2014/main" id="{00000000-0008-0000-0200-00007E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83" name="AutoShape 184" descr="Image result for cook islands flag">
          <a:extLst>
            <a:ext uri="{FF2B5EF4-FFF2-40B4-BE49-F238E27FC236}">
              <a16:creationId xmlns:a16="http://schemas.microsoft.com/office/drawing/2014/main" id="{00000000-0008-0000-0200-00007F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84" name="AutoShape 183" descr="Image result for cook islands flag">
          <a:extLst>
            <a:ext uri="{FF2B5EF4-FFF2-40B4-BE49-F238E27FC236}">
              <a16:creationId xmlns:a16="http://schemas.microsoft.com/office/drawing/2014/main" id="{00000000-0008-0000-0200-000080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85" name="AutoShape 184" descr="Image result for cook islands flag">
          <a:extLst>
            <a:ext uri="{FF2B5EF4-FFF2-40B4-BE49-F238E27FC236}">
              <a16:creationId xmlns:a16="http://schemas.microsoft.com/office/drawing/2014/main" id="{00000000-0008-0000-0200-000081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4139"/>
    <xdr:sp macro="" textlink="">
      <xdr:nvSpPr>
        <xdr:cNvPr id="386" name="AutoShape 183" descr="Image result for cook islands flag">
          <a:extLst>
            <a:ext uri="{FF2B5EF4-FFF2-40B4-BE49-F238E27FC236}">
              <a16:creationId xmlns:a16="http://schemas.microsoft.com/office/drawing/2014/main" id="{00000000-0008-0000-0200-000082010000}"/>
            </a:ext>
          </a:extLst>
        </xdr:cNvPr>
        <xdr:cNvSpPr>
          <a:spLocks noChangeAspect="1" noChangeArrowheads="1"/>
        </xdr:cNvSpPr>
      </xdr:nvSpPr>
      <xdr:spPr bwMode="auto">
        <a:xfrm>
          <a:off x="21679808"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4139"/>
    <xdr:sp macro="" textlink="">
      <xdr:nvSpPr>
        <xdr:cNvPr id="387" name="AutoShape 184" descr="Image result for cook islands flag">
          <a:extLst>
            <a:ext uri="{FF2B5EF4-FFF2-40B4-BE49-F238E27FC236}">
              <a16:creationId xmlns:a16="http://schemas.microsoft.com/office/drawing/2014/main" id="{00000000-0008-0000-0200-000083010000}"/>
            </a:ext>
          </a:extLst>
        </xdr:cNvPr>
        <xdr:cNvSpPr>
          <a:spLocks noChangeAspect="1" noChangeArrowheads="1"/>
        </xdr:cNvSpPr>
      </xdr:nvSpPr>
      <xdr:spPr bwMode="auto">
        <a:xfrm>
          <a:off x="21679808"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88" name="AutoShape 183" descr="Image result for cook islands flag">
          <a:extLst>
            <a:ext uri="{FF2B5EF4-FFF2-40B4-BE49-F238E27FC236}">
              <a16:creationId xmlns:a16="http://schemas.microsoft.com/office/drawing/2014/main" id="{00000000-0008-0000-0200-000084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89" name="AutoShape 184" descr="Image result for cook islands flag">
          <a:extLst>
            <a:ext uri="{FF2B5EF4-FFF2-40B4-BE49-F238E27FC236}">
              <a16:creationId xmlns:a16="http://schemas.microsoft.com/office/drawing/2014/main" id="{00000000-0008-0000-0200-000085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0" name="AutoShape 183" descr="Image result for cook islands flag">
          <a:extLst>
            <a:ext uri="{FF2B5EF4-FFF2-40B4-BE49-F238E27FC236}">
              <a16:creationId xmlns:a16="http://schemas.microsoft.com/office/drawing/2014/main" id="{00000000-0008-0000-0200-000086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1" name="AutoShape 184" descr="Image result for cook islands flag">
          <a:extLst>
            <a:ext uri="{FF2B5EF4-FFF2-40B4-BE49-F238E27FC236}">
              <a16:creationId xmlns:a16="http://schemas.microsoft.com/office/drawing/2014/main" id="{00000000-0008-0000-0200-000087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2" name="AutoShape 183" descr="Image result for cook islands flag">
          <a:extLst>
            <a:ext uri="{FF2B5EF4-FFF2-40B4-BE49-F238E27FC236}">
              <a16:creationId xmlns:a16="http://schemas.microsoft.com/office/drawing/2014/main" id="{00000000-0008-0000-0200-000088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3" name="AutoShape 184" descr="Image result for cook islands flag">
          <a:extLst>
            <a:ext uri="{FF2B5EF4-FFF2-40B4-BE49-F238E27FC236}">
              <a16:creationId xmlns:a16="http://schemas.microsoft.com/office/drawing/2014/main" id="{00000000-0008-0000-0200-000089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4" name="AutoShape 183" descr="Image result for cook islands flag">
          <a:extLst>
            <a:ext uri="{FF2B5EF4-FFF2-40B4-BE49-F238E27FC236}">
              <a16:creationId xmlns:a16="http://schemas.microsoft.com/office/drawing/2014/main" id="{00000000-0008-0000-0200-00008A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5" name="AutoShape 184" descr="Image result for cook islands flag">
          <a:extLst>
            <a:ext uri="{FF2B5EF4-FFF2-40B4-BE49-F238E27FC236}">
              <a16:creationId xmlns:a16="http://schemas.microsoft.com/office/drawing/2014/main" id="{00000000-0008-0000-0200-00008B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6" name="AutoShape 183" descr="Image result for cook islands flag">
          <a:extLst>
            <a:ext uri="{FF2B5EF4-FFF2-40B4-BE49-F238E27FC236}">
              <a16:creationId xmlns:a16="http://schemas.microsoft.com/office/drawing/2014/main" id="{00000000-0008-0000-0200-00008C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7" name="AutoShape 184" descr="Image result for cook islands flag">
          <a:extLst>
            <a:ext uri="{FF2B5EF4-FFF2-40B4-BE49-F238E27FC236}">
              <a16:creationId xmlns:a16="http://schemas.microsoft.com/office/drawing/2014/main" id="{00000000-0008-0000-0200-00008D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8" name="AutoShape 183" descr="Image result for cook islands flag">
          <a:extLst>
            <a:ext uri="{FF2B5EF4-FFF2-40B4-BE49-F238E27FC236}">
              <a16:creationId xmlns:a16="http://schemas.microsoft.com/office/drawing/2014/main" id="{00000000-0008-0000-0200-00008E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399" name="AutoShape 184" descr="Image result for cook islands flag">
          <a:extLst>
            <a:ext uri="{FF2B5EF4-FFF2-40B4-BE49-F238E27FC236}">
              <a16:creationId xmlns:a16="http://schemas.microsoft.com/office/drawing/2014/main" id="{00000000-0008-0000-0200-00008F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0" name="AutoShape 183" descr="Image result for cook islands flag">
          <a:extLst>
            <a:ext uri="{FF2B5EF4-FFF2-40B4-BE49-F238E27FC236}">
              <a16:creationId xmlns:a16="http://schemas.microsoft.com/office/drawing/2014/main" id="{00000000-0008-0000-0200-000090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1" name="AutoShape 184" descr="Image result for cook islands flag">
          <a:extLst>
            <a:ext uri="{FF2B5EF4-FFF2-40B4-BE49-F238E27FC236}">
              <a16:creationId xmlns:a16="http://schemas.microsoft.com/office/drawing/2014/main" id="{00000000-0008-0000-0200-000091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2" name="AutoShape 183" descr="Image result for cook islands flag">
          <a:extLst>
            <a:ext uri="{FF2B5EF4-FFF2-40B4-BE49-F238E27FC236}">
              <a16:creationId xmlns:a16="http://schemas.microsoft.com/office/drawing/2014/main" id="{00000000-0008-0000-0200-000092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3" name="AutoShape 184" descr="Image result for cook islands flag">
          <a:extLst>
            <a:ext uri="{FF2B5EF4-FFF2-40B4-BE49-F238E27FC236}">
              <a16:creationId xmlns:a16="http://schemas.microsoft.com/office/drawing/2014/main" id="{00000000-0008-0000-0200-000093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4" name="AutoShape 183" descr="Image result for cook islands flag">
          <a:extLst>
            <a:ext uri="{FF2B5EF4-FFF2-40B4-BE49-F238E27FC236}">
              <a16:creationId xmlns:a16="http://schemas.microsoft.com/office/drawing/2014/main" id="{00000000-0008-0000-0200-000094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5" name="AutoShape 184" descr="Image result for cook islands flag">
          <a:extLst>
            <a:ext uri="{FF2B5EF4-FFF2-40B4-BE49-F238E27FC236}">
              <a16:creationId xmlns:a16="http://schemas.microsoft.com/office/drawing/2014/main" id="{00000000-0008-0000-0200-000095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6" name="AutoShape 183" descr="Image result for cook islands flag">
          <a:extLst>
            <a:ext uri="{FF2B5EF4-FFF2-40B4-BE49-F238E27FC236}">
              <a16:creationId xmlns:a16="http://schemas.microsoft.com/office/drawing/2014/main" id="{00000000-0008-0000-0200-000096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7" name="AutoShape 184" descr="Image result for cook islands flag">
          <a:extLst>
            <a:ext uri="{FF2B5EF4-FFF2-40B4-BE49-F238E27FC236}">
              <a16:creationId xmlns:a16="http://schemas.microsoft.com/office/drawing/2014/main" id="{00000000-0008-0000-0200-000097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8" name="AutoShape 183" descr="Image result for cook islands flag">
          <a:extLst>
            <a:ext uri="{FF2B5EF4-FFF2-40B4-BE49-F238E27FC236}">
              <a16:creationId xmlns:a16="http://schemas.microsoft.com/office/drawing/2014/main" id="{00000000-0008-0000-0200-000098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09" name="AutoShape 184" descr="Image result for cook islands flag">
          <a:extLst>
            <a:ext uri="{FF2B5EF4-FFF2-40B4-BE49-F238E27FC236}">
              <a16:creationId xmlns:a16="http://schemas.microsoft.com/office/drawing/2014/main" id="{00000000-0008-0000-0200-000099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0" name="AutoShape 184" descr="Image result for cook islands flag">
          <a:extLst>
            <a:ext uri="{FF2B5EF4-FFF2-40B4-BE49-F238E27FC236}">
              <a16:creationId xmlns:a16="http://schemas.microsoft.com/office/drawing/2014/main" id="{00000000-0008-0000-0200-00009A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1" name="AutoShape 183" descr="Image result for cook islands flag">
          <a:extLst>
            <a:ext uri="{FF2B5EF4-FFF2-40B4-BE49-F238E27FC236}">
              <a16:creationId xmlns:a16="http://schemas.microsoft.com/office/drawing/2014/main" id="{00000000-0008-0000-0200-00009B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2" name="AutoShape 184" descr="Image result for cook islands flag">
          <a:extLst>
            <a:ext uri="{FF2B5EF4-FFF2-40B4-BE49-F238E27FC236}">
              <a16:creationId xmlns:a16="http://schemas.microsoft.com/office/drawing/2014/main" id="{00000000-0008-0000-0200-00009C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3" name="AutoShape 184" descr="Image result for cook islands flag">
          <a:extLst>
            <a:ext uri="{FF2B5EF4-FFF2-40B4-BE49-F238E27FC236}">
              <a16:creationId xmlns:a16="http://schemas.microsoft.com/office/drawing/2014/main" id="{00000000-0008-0000-0200-00009D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4" name="AutoShape 184" descr="Image result for cook islands flag">
          <a:extLst>
            <a:ext uri="{FF2B5EF4-FFF2-40B4-BE49-F238E27FC236}">
              <a16:creationId xmlns:a16="http://schemas.microsoft.com/office/drawing/2014/main" id="{00000000-0008-0000-0200-00009E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5" name="AutoShape 184" descr="Image result for cook islands flag">
          <a:extLst>
            <a:ext uri="{FF2B5EF4-FFF2-40B4-BE49-F238E27FC236}">
              <a16:creationId xmlns:a16="http://schemas.microsoft.com/office/drawing/2014/main" id="{00000000-0008-0000-0200-00009F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6" name="AutoShape 183" descr="Image result for cook islands flag">
          <a:extLst>
            <a:ext uri="{FF2B5EF4-FFF2-40B4-BE49-F238E27FC236}">
              <a16:creationId xmlns:a16="http://schemas.microsoft.com/office/drawing/2014/main" id="{00000000-0008-0000-0200-0000A0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7" name="AutoShape 184" descr="Image result for cook islands flag">
          <a:extLst>
            <a:ext uri="{FF2B5EF4-FFF2-40B4-BE49-F238E27FC236}">
              <a16:creationId xmlns:a16="http://schemas.microsoft.com/office/drawing/2014/main" id="{00000000-0008-0000-0200-0000A1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8" name="AutoShape 183" descr="Image result for cook islands flag">
          <a:extLst>
            <a:ext uri="{FF2B5EF4-FFF2-40B4-BE49-F238E27FC236}">
              <a16:creationId xmlns:a16="http://schemas.microsoft.com/office/drawing/2014/main" id="{00000000-0008-0000-0200-0000A2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19" name="AutoShape 184" descr="Image result for cook islands flag">
          <a:extLst>
            <a:ext uri="{FF2B5EF4-FFF2-40B4-BE49-F238E27FC236}">
              <a16:creationId xmlns:a16="http://schemas.microsoft.com/office/drawing/2014/main" id="{00000000-0008-0000-0200-0000A3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0" name="AutoShape 183" descr="Image result for cook islands flag">
          <a:extLst>
            <a:ext uri="{FF2B5EF4-FFF2-40B4-BE49-F238E27FC236}">
              <a16:creationId xmlns:a16="http://schemas.microsoft.com/office/drawing/2014/main" id="{00000000-0008-0000-0200-0000A4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1" name="AutoShape 184" descr="Image result for cook islands flag">
          <a:extLst>
            <a:ext uri="{FF2B5EF4-FFF2-40B4-BE49-F238E27FC236}">
              <a16:creationId xmlns:a16="http://schemas.microsoft.com/office/drawing/2014/main" id="{00000000-0008-0000-0200-0000A5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2" name="AutoShape 183" descr="Image result for cook islands flag">
          <a:extLst>
            <a:ext uri="{FF2B5EF4-FFF2-40B4-BE49-F238E27FC236}">
              <a16:creationId xmlns:a16="http://schemas.microsoft.com/office/drawing/2014/main" id="{00000000-0008-0000-0200-0000A6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3" name="AutoShape 184" descr="Image result for cook islands flag">
          <a:extLst>
            <a:ext uri="{FF2B5EF4-FFF2-40B4-BE49-F238E27FC236}">
              <a16:creationId xmlns:a16="http://schemas.microsoft.com/office/drawing/2014/main" id="{00000000-0008-0000-0200-0000A7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4" name="AutoShape 183" descr="Image result for cook islands flag">
          <a:extLst>
            <a:ext uri="{FF2B5EF4-FFF2-40B4-BE49-F238E27FC236}">
              <a16:creationId xmlns:a16="http://schemas.microsoft.com/office/drawing/2014/main" id="{00000000-0008-0000-0200-0000A8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5" name="AutoShape 184" descr="Image result for cook islands flag">
          <a:extLst>
            <a:ext uri="{FF2B5EF4-FFF2-40B4-BE49-F238E27FC236}">
              <a16:creationId xmlns:a16="http://schemas.microsoft.com/office/drawing/2014/main" id="{00000000-0008-0000-0200-0000A9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6" name="AutoShape 183" descr="Image result for cook islands flag">
          <a:extLst>
            <a:ext uri="{FF2B5EF4-FFF2-40B4-BE49-F238E27FC236}">
              <a16:creationId xmlns:a16="http://schemas.microsoft.com/office/drawing/2014/main" id="{00000000-0008-0000-0200-0000AA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7" name="AutoShape 184" descr="Image result for cook islands flag">
          <a:extLst>
            <a:ext uri="{FF2B5EF4-FFF2-40B4-BE49-F238E27FC236}">
              <a16:creationId xmlns:a16="http://schemas.microsoft.com/office/drawing/2014/main" id="{00000000-0008-0000-0200-0000AB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8" name="AutoShape 183" descr="Image result for cook islands flag">
          <a:extLst>
            <a:ext uri="{FF2B5EF4-FFF2-40B4-BE49-F238E27FC236}">
              <a16:creationId xmlns:a16="http://schemas.microsoft.com/office/drawing/2014/main" id="{00000000-0008-0000-0200-0000AC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29" name="AutoShape 184" descr="Image result for cook islands flag">
          <a:extLst>
            <a:ext uri="{FF2B5EF4-FFF2-40B4-BE49-F238E27FC236}">
              <a16:creationId xmlns:a16="http://schemas.microsoft.com/office/drawing/2014/main" id="{00000000-0008-0000-0200-0000AD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30" name="AutoShape 183" descr="Image result for cook islands flag">
          <a:extLst>
            <a:ext uri="{FF2B5EF4-FFF2-40B4-BE49-F238E27FC236}">
              <a16:creationId xmlns:a16="http://schemas.microsoft.com/office/drawing/2014/main" id="{00000000-0008-0000-0200-0000AE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31" name="AutoShape 184" descr="Image result for cook islands flag">
          <a:extLst>
            <a:ext uri="{FF2B5EF4-FFF2-40B4-BE49-F238E27FC236}">
              <a16:creationId xmlns:a16="http://schemas.microsoft.com/office/drawing/2014/main" id="{00000000-0008-0000-0200-0000AF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0</xdr:row>
      <xdr:rowOff>0</xdr:rowOff>
    </xdr:from>
    <xdr:ext cx="249935" cy="255953"/>
    <xdr:sp macro="" textlink="">
      <xdr:nvSpPr>
        <xdr:cNvPr id="432" name="AutoShape 183" descr="Image result for cook islands flag">
          <a:extLst>
            <a:ext uri="{FF2B5EF4-FFF2-40B4-BE49-F238E27FC236}">
              <a16:creationId xmlns:a16="http://schemas.microsoft.com/office/drawing/2014/main" id="{00000000-0008-0000-0200-0000B0010000}"/>
            </a:ext>
          </a:extLst>
        </xdr:cNvPr>
        <xdr:cNvSpPr>
          <a:spLocks noChangeAspect="1" noChangeArrowheads="1"/>
        </xdr:cNvSpPr>
      </xdr:nvSpPr>
      <xdr:spPr bwMode="auto">
        <a:xfrm>
          <a:off x="2167980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44451</xdr:colOff>
      <xdr:row>38</xdr:row>
      <xdr:rowOff>0</xdr:rowOff>
    </xdr:from>
    <xdr:ext cx="249935" cy="254139"/>
    <xdr:sp macro="" textlink="">
      <xdr:nvSpPr>
        <xdr:cNvPr id="437" name="AutoShape 183" descr="Image result for cook islands flag">
          <a:extLst>
            <a:ext uri="{FF2B5EF4-FFF2-40B4-BE49-F238E27FC236}">
              <a16:creationId xmlns:a16="http://schemas.microsoft.com/office/drawing/2014/main" id="{00000000-0008-0000-0200-0000B5010000}"/>
            </a:ext>
          </a:extLst>
        </xdr:cNvPr>
        <xdr:cNvSpPr>
          <a:spLocks noChangeAspect="1" noChangeArrowheads="1"/>
        </xdr:cNvSpPr>
      </xdr:nvSpPr>
      <xdr:spPr bwMode="auto">
        <a:xfrm>
          <a:off x="3473451" y="37011429"/>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44451</xdr:colOff>
      <xdr:row>38</xdr:row>
      <xdr:rowOff>0</xdr:rowOff>
    </xdr:from>
    <xdr:ext cx="249935" cy="254139"/>
    <xdr:sp macro="" textlink="">
      <xdr:nvSpPr>
        <xdr:cNvPr id="438" name="AutoShape 184" descr="Image result for cook islands flag">
          <a:extLst>
            <a:ext uri="{FF2B5EF4-FFF2-40B4-BE49-F238E27FC236}">
              <a16:creationId xmlns:a16="http://schemas.microsoft.com/office/drawing/2014/main" id="{00000000-0008-0000-0200-0000B6010000}"/>
            </a:ext>
          </a:extLst>
        </xdr:cNvPr>
        <xdr:cNvSpPr>
          <a:spLocks noChangeAspect="1" noChangeArrowheads="1"/>
        </xdr:cNvSpPr>
      </xdr:nvSpPr>
      <xdr:spPr bwMode="auto">
        <a:xfrm>
          <a:off x="3473451" y="37011429"/>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11</xdr:col>
      <xdr:colOff>44451</xdr:colOff>
      <xdr:row>30</xdr:row>
      <xdr:rowOff>0</xdr:rowOff>
    </xdr:from>
    <xdr:to>
      <xdr:col>11</xdr:col>
      <xdr:colOff>288671</xdr:colOff>
      <xdr:row>30</xdr:row>
      <xdr:rowOff>244614</xdr:rowOff>
    </xdr:to>
    <xdr:sp macro="" textlink="">
      <xdr:nvSpPr>
        <xdr:cNvPr id="439" name="AutoShape 183" descr="Image result for cook islands flag">
          <a:extLst>
            <a:ext uri="{FF2B5EF4-FFF2-40B4-BE49-F238E27FC236}">
              <a16:creationId xmlns:a16="http://schemas.microsoft.com/office/drawing/2014/main" id="{00000000-0008-0000-0200-0000B7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44451</xdr:colOff>
      <xdr:row>0</xdr:row>
      <xdr:rowOff>0</xdr:rowOff>
    </xdr:from>
    <xdr:to>
      <xdr:col>11</xdr:col>
      <xdr:colOff>288671</xdr:colOff>
      <xdr:row>1</xdr:row>
      <xdr:rowOff>38239</xdr:rowOff>
    </xdr:to>
    <xdr:sp macro="" textlink="">
      <xdr:nvSpPr>
        <xdr:cNvPr id="440" name="AutoShape 184" descr="Image result for cook islands flag">
          <a:extLst>
            <a:ext uri="{FF2B5EF4-FFF2-40B4-BE49-F238E27FC236}">
              <a16:creationId xmlns:a16="http://schemas.microsoft.com/office/drawing/2014/main" id="{00000000-0008-0000-0200-0000B8010000}"/>
            </a:ext>
          </a:extLst>
        </xdr:cNvPr>
        <xdr:cNvSpPr>
          <a:spLocks noChangeAspect="1" noChangeArrowheads="1"/>
        </xdr:cNvSpPr>
      </xdr:nvSpPr>
      <xdr:spPr bwMode="auto">
        <a:xfrm>
          <a:off x="1720851" y="144145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32</xdr:col>
      <xdr:colOff>44451</xdr:colOff>
      <xdr:row>0</xdr:row>
      <xdr:rowOff>0</xdr:rowOff>
    </xdr:from>
    <xdr:ext cx="249935" cy="254139"/>
    <xdr:sp macro="" textlink="">
      <xdr:nvSpPr>
        <xdr:cNvPr id="433" name="AutoShape 183" descr="Image result for cook islands flag">
          <a:extLst>
            <a:ext uri="{FF2B5EF4-FFF2-40B4-BE49-F238E27FC236}">
              <a16:creationId xmlns:a16="http://schemas.microsoft.com/office/drawing/2014/main" id="{00000000-0008-0000-0200-0000B1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34" name="AutoShape 184" descr="Image result for cook islands flag">
          <a:extLst>
            <a:ext uri="{FF2B5EF4-FFF2-40B4-BE49-F238E27FC236}">
              <a16:creationId xmlns:a16="http://schemas.microsoft.com/office/drawing/2014/main" id="{00000000-0008-0000-0200-0000B2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35" name="AutoShape 183" descr="Image result for cook islands flag">
          <a:extLst>
            <a:ext uri="{FF2B5EF4-FFF2-40B4-BE49-F238E27FC236}">
              <a16:creationId xmlns:a16="http://schemas.microsoft.com/office/drawing/2014/main" id="{00000000-0008-0000-0200-0000B3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36" name="AutoShape 184" descr="Image result for cook islands flag">
          <a:extLst>
            <a:ext uri="{FF2B5EF4-FFF2-40B4-BE49-F238E27FC236}">
              <a16:creationId xmlns:a16="http://schemas.microsoft.com/office/drawing/2014/main" id="{00000000-0008-0000-0200-0000B4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41" name="AutoShape 183" descr="Image result for cook islands flag">
          <a:extLst>
            <a:ext uri="{FF2B5EF4-FFF2-40B4-BE49-F238E27FC236}">
              <a16:creationId xmlns:a16="http://schemas.microsoft.com/office/drawing/2014/main" id="{00000000-0008-0000-0200-0000B9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42" name="AutoShape 184" descr="Image result for cook islands flag">
          <a:extLst>
            <a:ext uri="{FF2B5EF4-FFF2-40B4-BE49-F238E27FC236}">
              <a16:creationId xmlns:a16="http://schemas.microsoft.com/office/drawing/2014/main" id="{00000000-0008-0000-0200-0000BA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43" name="AutoShape 183" descr="Image result for cook islands flag">
          <a:extLst>
            <a:ext uri="{FF2B5EF4-FFF2-40B4-BE49-F238E27FC236}">
              <a16:creationId xmlns:a16="http://schemas.microsoft.com/office/drawing/2014/main" id="{00000000-0008-0000-0200-0000BB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44" name="AutoShape 184" descr="Image result for cook islands flag">
          <a:extLst>
            <a:ext uri="{FF2B5EF4-FFF2-40B4-BE49-F238E27FC236}">
              <a16:creationId xmlns:a16="http://schemas.microsoft.com/office/drawing/2014/main" id="{00000000-0008-0000-0200-0000BC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45" name="AutoShape 183" descr="Image result for cook islands flag">
          <a:extLst>
            <a:ext uri="{FF2B5EF4-FFF2-40B4-BE49-F238E27FC236}">
              <a16:creationId xmlns:a16="http://schemas.microsoft.com/office/drawing/2014/main" id="{00000000-0008-0000-0200-0000BD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46" name="AutoShape 184" descr="Image result for cook islands flag">
          <a:extLst>
            <a:ext uri="{FF2B5EF4-FFF2-40B4-BE49-F238E27FC236}">
              <a16:creationId xmlns:a16="http://schemas.microsoft.com/office/drawing/2014/main" id="{00000000-0008-0000-0200-0000BE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47" name="AutoShape 183" descr="Image result for cook islands flag">
          <a:extLst>
            <a:ext uri="{FF2B5EF4-FFF2-40B4-BE49-F238E27FC236}">
              <a16:creationId xmlns:a16="http://schemas.microsoft.com/office/drawing/2014/main" id="{00000000-0008-0000-0200-0000BF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48" name="AutoShape 184" descr="Image result for cook islands flag">
          <a:extLst>
            <a:ext uri="{FF2B5EF4-FFF2-40B4-BE49-F238E27FC236}">
              <a16:creationId xmlns:a16="http://schemas.microsoft.com/office/drawing/2014/main" id="{00000000-0008-0000-0200-0000C0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49" name="AutoShape 183" descr="Image result for cook islands flag">
          <a:extLst>
            <a:ext uri="{FF2B5EF4-FFF2-40B4-BE49-F238E27FC236}">
              <a16:creationId xmlns:a16="http://schemas.microsoft.com/office/drawing/2014/main" id="{00000000-0008-0000-0200-0000C1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0" name="AutoShape 184" descr="Image result for cook islands flag">
          <a:extLst>
            <a:ext uri="{FF2B5EF4-FFF2-40B4-BE49-F238E27FC236}">
              <a16:creationId xmlns:a16="http://schemas.microsoft.com/office/drawing/2014/main" id="{00000000-0008-0000-0200-0000C2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1" name="AutoShape 183" descr="Image result for cook islands flag">
          <a:extLst>
            <a:ext uri="{FF2B5EF4-FFF2-40B4-BE49-F238E27FC236}">
              <a16:creationId xmlns:a16="http://schemas.microsoft.com/office/drawing/2014/main" id="{00000000-0008-0000-0200-0000C3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2" name="AutoShape 184" descr="Image result for cook islands flag">
          <a:extLst>
            <a:ext uri="{FF2B5EF4-FFF2-40B4-BE49-F238E27FC236}">
              <a16:creationId xmlns:a16="http://schemas.microsoft.com/office/drawing/2014/main" id="{00000000-0008-0000-0200-0000C4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3" name="AutoShape 183" descr="Image result for cook islands flag">
          <a:extLst>
            <a:ext uri="{FF2B5EF4-FFF2-40B4-BE49-F238E27FC236}">
              <a16:creationId xmlns:a16="http://schemas.microsoft.com/office/drawing/2014/main" id="{00000000-0008-0000-0200-0000C5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4" name="AutoShape 184" descr="Image result for cook islands flag">
          <a:extLst>
            <a:ext uri="{FF2B5EF4-FFF2-40B4-BE49-F238E27FC236}">
              <a16:creationId xmlns:a16="http://schemas.microsoft.com/office/drawing/2014/main" id="{00000000-0008-0000-0200-0000C6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5" name="AutoShape 183" descr="Image result for cook islands flag">
          <a:extLst>
            <a:ext uri="{FF2B5EF4-FFF2-40B4-BE49-F238E27FC236}">
              <a16:creationId xmlns:a16="http://schemas.microsoft.com/office/drawing/2014/main" id="{00000000-0008-0000-0200-0000C7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6" name="AutoShape 184" descr="Image result for cook islands flag">
          <a:extLst>
            <a:ext uri="{FF2B5EF4-FFF2-40B4-BE49-F238E27FC236}">
              <a16:creationId xmlns:a16="http://schemas.microsoft.com/office/drawing/2014/main" id="{00000000-0008-0000-0200-0000C8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7" name="AutoShape 183" descr="Image result for cook islands flag">
          <a:extLst>
            <a:ext uri="{FF2B5EF4-FFF2-40B4-BE49-F238E27FC236}">
              <a16:creationId xmlns:a16="http://schemas.microsoft.com/office/drawing/2014/main" id="{00000000-0008-0000-0200-0000C9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8" name="AutoShape 184" descr="Image result for cook islands flag">
          <a:extLst>
            <a:ext uri="{FF2B5EF4-FFF2-40B4-BE49-F238E27FC236}">
              <a16:creationId xmlns:a16="http://schemas.microsoft.com/office/drawing/2014/main" id="{00000000-0008-0000-0200-0000CA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59" name="AutoShape 183" descr="Image result for cook islands flag">
          <a:extLst>
            <a:ext uri="{FF2B5EF4-FFF2-40B4-BE49-F238E27FC236}">
              <a16:creationId xmlns:a16="http://schemas.microsoft.com/office/drawing/2014/main" id="{00000000-0008-0000-0200-0000CB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60" name="AutoShape 184" descr="Image result for cook islands flag">
          <a:extLst>
            <a:ext uri="{FF2B5EF4-FFF2-40B4-BE49-F238E27FC236}">
              <a16:creationId xmlns:a16="http://schemas.microsoft.com/office/drawing/2014/main" id="{00000000-0008-0000-0200-0000CC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61" name="AutoShape 183" descr="Image result for cook islands flag">
          <a:extLst>
            <a:ext uri="{FF2B5EF4-FFF2-40B4-BE49-F238E27FC236}">
              <a16:creationId xmlns:a16="http://schemas.microsoft.com/office/drawing/2014/main" id="{00000000-0008-0000-0200-0000CD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62" name="AutoShape 184" descr="Image result for cook islands flag">
          <a:extLst>
            <a:ext uri="{FF2B5EF4-FFF2-40B4-BE49-F238E27FC236}">
              <a16:creationId xmlns:a16="http://schemas.microsoft.com/office/drawing/2014/main" id="{00000000-0008-0000-0200-0000CE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63" name="AutoShape 183" descr="Image result for cook islands flag">
          <a:extLst>
            <a:ext uri="{FF2B5EF4-FFF2-40B4-BE49-F238E27FC236}">
              <a16:creationId xmlns:a16="http://schemas.microsoft.com/office/drawing/2014/main" id="{00000000-0008-0000-0200-0000CF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64" name="AutoShape 184" descr="Image result for cook islands flag">
          <a:extLst>
            <a:ext uri="{FF2B5EF4-FFF2-40B4-BE49-F238E27FC236}">
              <a16:creationId xmlns:a16="http://schemas.microsoft.com/office/drawing/2014/main" id="{00000000-0008-0000-0200-0000D0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65" name="AutoShape 183" descr="Image result for cook islands flag">
          <a:extLst>
            <a:ext uri="{FF2B5EF4-FFF2-40B4-BE49-F238E27FC236}">
              <a16:creationId xmlns:a16="http://schemas.microsoft.com/office/drawing/2014/main" id="{00000000-0008-0000-0200-0000D1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66" name="AutoShape 184" descr="Image result for cook islands flag">
          <a:extLst>
            <a:ext uri="{FF2B5EF4-FFF2-40B4-BE49-F238E27FC236}">
              <a16:creationId xmlns:a16="http://schemas.microsoft.com/office/drawing/2014/main" id="{00000000-0008-0000-0200-0000D2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67" name="AutoShape 183" descr="Image result for cook islands flag">
          <a:extLst>
            <a:ext uri="{FF2B5EF4-FFF2-40B4-BE49-F238E27FC236}">
              <a16:creationId xmlns:a16="http://schemas.microsoft.com/office/drawing/2014/main" id="{00000000-0008-0000-0200-0000D3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139"/>
    <xdr:sp macro="" textlink="">
      <xdr:nvSpPr>
        <xdr:cNvPr id="468" name="AutoShape 184" descr="Image result for cook islands flag">
          <a:extLst>
            <a:ext uri="{FF2B5EF4-FFF2-40B4-BE49-F238E27FC236}">
              <a16:creationId xmlns:a16="http://schemas.microsoft.com/office/drawing/2014/main" id="{00000000-0008-0000-0200-0000D4010000}"/>
            </a:ext>
          </a:extLst>
        </xdr:cNvPr>
        <xdr:cNvSpPr>
          <a:spLocks noChangeAspect="1" noChangeArrowheads="1"/>
        </xdr:cNvSpPr>
      </xdr:nvSpPr>
      <xdr:spPr bwMode="auto">
        <a:xfrm>
          <a:off x="30950275"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2</xdr:row>
      <xdr:rowOff>0</xdr:rowOff>
    </xdr:from>
    <xdr:ext cx="249935" cy="254139"/>
    <xdr:sp macro="" textlink="">
      <xdr:nvSpPr>
        <xdr:cNvPr id="469" name="AutoShape 183" descr="Image result for cook islands flag">
          <a:extLst>
            <a:ext uri="{FF2B5EF4-FFF2-40B4-BE49-F238E27FC236}">
              <a16:creationId xmlns:a16="http://schemas.microsoft.com/office/drawing/2014/main" id="{00000000-0008-0000-0200-0000D5010000}"/>
            </a:ext>
          </a:extLst>
        </xdr:cNvPr>
        <xdr:cNvSpPr>
          <a:spLocks noChangeAspect="1" noChangeArrowheads="1"/>
        </xdr:cNvSpPr>
      </xdr:nvSpPr>
      <xdr:spPr bwMode="auto">
        <a:xfrm>
          <a:off x="30950275" y="388471"/>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2</xdr:row>
      <xdr:rowOff>0</xdr:rowOff>
    </xdr:from>
    <xdr:ext cx="249935" cy="254139"/>
    <xdr:sp macro="" textlink="">
      <xdr:nvSpPr>
        <xdr:cNvPr id="470" name="AutoShape 184" descr="Image result for cook islands flag">
          <a:extLst>
            <a:ext uri="{FF2B5EF4-FFF2-40B4-BE49-F238E27FC236}">
              <a16:creationId xmlns:a16="http://schemas.microsoft.com/office/drawing/2014/main" id="{00000000-0008-0000-0200-0000D6010000}"/>
            </a:ext>
          </a:extLst>
        </xdr:cNvPr>
        <xdr:cNvSpPr>
          <a:spLocks noChangeAspect="1" noChangeArrowheads="1"/>
        </xdr:cNvSpPr>
      </xdr:nvSpPr>
      <xdr:spPr bwMode="auto">
        <a:xfrm>
          <a:off x="30950275" y="388471"/>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886"/>
    <xdr:sp macro="" textlink="">
      <xdr:nvSpPr>
        <xdr:cNvPr id="471" name="AutoShape 183" descr="Image result for cook islands flag">
          <a:extLst>
            <a:ext uri="{FF2B5EF4-FFF2-40B4-BE49-F238E27FC236}">
              <a16:creationId xmlns:a16="http://schemas.microsoft.com/office/drawing/2014/main" id="{00000000-0008-0000-0200-0000D7010000}"/>
            </a:ext>
          </a:extLst>
        </xdr:cNvPr>
        <xdr:cNvSpPr>
          <a:spLocks noChangeAspect="1" noChangeArrowheads="1"/>
        </xdr:cNvSpPr>
      </xdr:nvSpPr>
      <xdr:spPr bwMode="auto">
        <a:xfrm>
          <a:off x="30950275" y="0"/>
          <a:ext cx="249935" cy="2548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886"/>
    <xdr:sp macro="" textlink="">
      <xdr:nvSpPr>
        <xdr:cNvPr id="472" name="AutoShape 184" descr="Image result for cook islands flag">
          <a:extLst>
            <a:ext uri="{FF2B5EF4-FFF2-40B4-BE49-F238E27FC236}">
              <a16:creationId xmlns:a16="http://schemas.microsoft.com/office/drawing/2014/main" id="{00000000-0008-0000-0200-0000D8010000}"/>
            </a:ext>
          </a:extLst>
        </xdr:cNvPr>
        <xdr:cNvSpPr>
          <a:spLocks noChangeAspect="1" noChangeArrowheads="1"/>
        </xdr:cNvSpPr>
      </xdr:nvSpPr>
      <xdr:spPr bwMode="auto">
        <a:xfrm>
          <a:off x="30950275" y="0"/>
          <a:ext cx="249935" cy="2548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886"/>
    <xdr:sp macro="" textlink="">
      <xdr:nvSpPr>
        <xdr:cNvPr id="473" name="AutoShape 183" descr="Image result for cook islands flag">
          <a:extLst>
            <a:ext uri="{FF2B5EF4-FFF2-40B4-BE49-F238E27FC236}">
              <a16:creationId xmlns:a16="http://schemas.microsoft.com/office/drawing/2014/main" id="{00000000-0008-0000-0200-0000D9010000}"/>
            </a:ext>
          </a:extLst>
        </xdr:cNvPr>
        <xdr:cNvSpPr>
          <a:spLocks noChangeAspect="1" noChangeArrowheads="1"/>
        </xdr:cNvSpPr>
      </xdr:nvSpPr>
      <xdr:spPr bwMode="auto">
        <a:xfrm>
          <a:off x="30950275" y="0"/>
          <a:ext cx="249935" cy="2548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44451</xdr:colOff>
      <xdr:row>0</xdr:row>
      <xdr:rowOff>0</xdr:rowOff>
    </xdr:from>
    <xdr:ext cx="249935" cy="254886"/>
    <xdr:sp macro="" textlink="">
      <xdr:nvSpPr>
        <xdr:cNvPr id="474" name="AutoShape 184" descr="Image result for cook islands flag">
          <a:extLst>
            <a:ext uri="{FF2B5EF4-FFF2-40B4-BE49-F238E27FC236}">
              <a16:creationId xmlns:a16="http://schemas.microsoft.com/office/drawing/2014/main" id="{00000000-0008-0000-0200-0000DA010000}"/>
            </a:ext>
          </a:extLst>
        </xdr:cNvPr>
        <xdr:cNvSpPr>
          <a:spLocks noChangeAspect="1" noChangeArrowheads="1"/>
        </xdr:cNvSpPr>
      </xdr:nvSpPr>
      <xdr:spPr bwMode="auto">
        <a:xfrm>
          <a:off x="30950275" y="0"/>
          <a:ext cx="249935" cy="2548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75" name="AutoShape 183" descr="Image result for cook islands flag">
          <a:extLst>
            <a:ext uri="{FF2B5EF4-FFF2-40B4-BE49-F238E27FC236}">
              <a16:creationId xmlns:a16="http://schemas.microsoft.com/office/drawing/2014/main" id="{00000000-0008-0000-0200-0000DB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76" name="AutoShape 184" descr="Image result for cook islands flag">
          <a:extLst>
            <a:ext uri="{FF2B5EF4-FFF2-40B4-BE49-F238E27FC236}">
              <a16:creationId xmlns:a16="http://schemas.microsoft.com/office/drawing/2014/main" id="{00000000-0008-0000-0200-0000DC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77" name="AutoShape 183" descr="Image result for cook islands flag">
          <a:extLst>
            <a:ext uri="{FF2B5EF4-FFF2-40B4-BE49-F238E27FC236}">
              <a16:creationId xmlns:a16="http://schemas.microsoft.com/office/drawing/2014/main" id="{00000000-0008-0000-0200-0000DD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78" name="AutoShape 184" descr="Image result for cook islands flag">
          <a:extLst>
            <a:ext uri="{FF2B5EF4-FFF2-40B4-BE49-F238E27FC236}">
              <a16:creationId xmlns:a16="http://schemas.microsoft.com/office/drawing/2014/main" id="{00000000-0008-0000-0200-0000DE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79" name="AutoShape 183" descr="Image result for cook islands flag">
          <a:extLst>
            <a:ext uri="{FF2B5EF4-FFF2-40B4-BE49-F238E27FC236}">
              <a16:creationId xmlns:a16="http://schemas.microsoft.com/office/drawing/2014/main" id="{00000000-0008-0000-0200-0000DF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0" name="AutoShape 184" descr="Image result for cook islands flag">
          <a:extLst>
            <a:ext uri="{FF2B5EF4-FFF2-40B4-BE49-F238E27FC236}">
              <a16:creationId xmlns:a16="http://schemas.microsoft.com/office/drawing/2014/main" id="{00000000-0008-0000-0200-0000E0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1" name="AutoShape 183" descr="Image result for cook islands flag">
          <a:extLst>
            <a:ext uri="{FF2B5EF4-FFF2-40B4-BE49-F238E27FC236}">
              <a16:creationId xmlns:a16="http://schemas.microsoft.com/office/drawing/2014/main" id="{00000000-0008-0000-0200-0000E1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2" name="AutoShape 184" descr="Image result for cook islands flag">
          <a:extLst>
            <a:ext uri="{FF2B5EF4-FFF2-40B4-BE49-F238E27FC236}">
              <a16:creationId xmlns:a16="http://schemas.microsoft.com/office/drawing/2014/main" id="{00000000-0008-0000-0200-0000E2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3" name="AutoShape 183" descr="Image result for cook islands flag">
          <a:extLst>
            <a:ext uri="{FF2B5EF4-FFF2-40B4-BE49-F238E27FC236}">
              <a16:creationId xmlns:a16="http://schemas.microsoft.com/office/drawing/2014/main" id="{00000000-0008-0000-0200-0000E3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4" name="AutoShape 184" descr="Image result for cook islands flag">
          <a:extLst>
            <a:ext uri="{FF2B5EF4-FFF2-40B4-BE49-F238E27FC236}">
              <a16:creationId xmlns:a16="http://schemas.microsoft.com/office/drawing/2014/main" id="{00000000-0008-0000-0200-0000E4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5" name="AutoShape 183" descr="Image result for cook islands flag">
          <a:extLst>
            <a:ext uri="{FF2B5EF4-FFF2-40B4-BE49-F238E27FC236}">
              <a16:creationId xmlns:a16="http://schemas.microsoft.com/office/drawing/2014/main" id="{00000000-0008-0000-0200-0000E5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6" name="AutoShape 184" descr="Image result for cook islands flag">
          <a:extLst>
            <a:ext uri="{FF2B5EF4-FFF2-40B4-BE49-F238E27FC236}">
              <a16:creationId xmlns:a16="http://schemas.microsoft.com/office/drawing/2014/main" id="{00000000-0008-0000-0200-0000E6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7" name="AutoShape 183" descr="Image result for cook islands flag">
          <a:extLst>
            <a:ext uri="{FF2B5EF4-FFF2-40B4-BE49-F238E27FC236}">
              <a16:creationId xmlns:a16="http://schemas.microsoft.com/office/drawing/2014/main" id="{00000000-0008-0000-0200-0000E7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8" name="AutoShape 184" descr="Image result for cook islands flag">
          <a:extLst>
            <a:ext uri="{FF2B5EF4-FFF2-40B4-BE49-F238E27FC236}">
              <a16:creationId xmlns:a16="http://schemas.microsoft.com/office/drawing/2014/main" id="{00000000-0008-0000-0200-0000E8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89" name="AutoShape 183" descr="Image result for cook islands flag">
          <a:extLst>
            <a:ext uri="{FF2B5EF4-FFF2-40B4-BE49-F238E27FC236}">
              <a16:creationId xmlns:a16="http://schemas.microsoft.com/office/drawing/2014/main" id="{00000000-0008-0000-0200-0000E9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0" name="AutoShape 184" descr="Image result for cook islands flag">
          <a:extLst>
            <a:ext uri="{FF2B5EF4-FFF2-40B4-BE49-F238E27FC236}">
              <a16:creationId xmlns:a16="http://schemas.microsoft.com/office/drawing/2014/main" id="{00000000-0008-0000-0200-0000EA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1" name="AutoShape 183" descr="Image result for cook islands flag">
          <a:extLst>
            <a:ext uri="{FF2B5EF4-FFF2-40B4-BE49-F238E27FC236}">
              <a16:creationId xmlns:a16="http://schemas.microsoft.com/office/drawing/2014/main" id="{00000000-0008-0000-0200-0000EB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2" name="AutoShape 184" descr="Image result for cook islands flag">
          <a:extLst>
            <a:ext uri="{FF2B5EF4-FFF2-40B4-BE49-F238E27FC236}">
              <a16:creationId xmlns:a16="http://schemas.microsoft.com/office/drawing/2014/main" id="{00000000-0008-0000-0200-0000EC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3" name="AutoShape 183" descr="Image result for cook islands flag">
          <a:extLst>
            <a:ext uri="{FF2B5EF4-FFF2-40B4-BE49-F238E27FC236}">
              <a16:creationId xmlns:a16="http://schemas.microsoft.com/office/drawing/2014/main" id="{00000000-0008-0000-0200-0000ED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4" name="AutoShape 184" descr="Image result for cook islands flag">
          <a:extLst>
            <a:ext uri="{FF2B5EF4-FFF2-40B4-BE49-F238E27FC236}">
              <a16:creationId xmlns:a16="http://schemas.microsoft.com/office/drawing/2014/main" id="{00000000-0008-0000-0200-0000EE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5" name="AutoShape 183" descr="Image result for cook islands flag">
          <a:extLst>
            <a:ext uri="{FF2B5EF4-FFF2-40B4-BE49-F238E27FC236}">
              <a16:creationId xmlns:a16="http://schemas.microsoft.com/office/drawing/2014/main" id="{00000000-0008-0000-0200-0000EF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6" name="AutoShape 184" descr="Image result for cook islands flag">
          <a:extLst>
            <a:ext uri="{FF2B5EF4-FFF2-40B4-BE49-F238E27FC236}">
              <a16:creationId xmlns:a16="http://schemas.microsoft.com/office/drawing/2014/main" id="{00000000-0008-0000-0200-0000F0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7" name="AutoShape 183" descr="Image result for cook islands flag">
          <a:extLst>
            <a:ext uri="{FF2B5EF4-FFF2-40B4-BE49-F238E27FC236}">
              <a16:creationId xmlns:a16="http://schemas.microsoft.com/office/drawing/2014/main" id="{00000000-0008-0000-0200-0000F1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8" name="AutoShape 184" descr="Image result for cook islands flag">
          <a:extLst>
            <a:ext uri="{FF2B5EF4-FFF2-40B4-BE49-F238E27FC236}">
              <a16:creationId xmlns:a16="http://schemas.microsoft.com/office/drawing/2014/main" id="{00000000-0008-0000-0200-0000F2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499" name="AutoShape 183" descr="Image result for cook islands flag">
          <a:extLst>
            <a:ext uri="{FF2B5EF4-FFF2-40B4-BE49-F238E27FC236}">
              <a16:creationId xmlns:a16="http://schemas.microsoft.com/office/drawing/2014/main" id="{00000000-0008-0000-0200-0000F3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0" name="AutoShape 184" descr="Image result for cook islands flag">
          <a:extLst>
            <a:ext uri="{FF2B5EF4-FFF2-40B4-BE49-F238E27FC236}">
              <a16:creationId xmlns:a16="http://schemas.microsoft.com/office/drawing/2014/main" id="{00000000-0008-0000-0200-0000F4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1" name="AutoShape 183" descr="Image result for cook islands flag">
          <a:extLst>
            <a:ext uri="{FF2B5EF4-FFF2-40B4-BE49-F238E27FC236}">
              <a16:creationId xmlns:a16="http://schemas.microsoft.com/office/drawing/2014/main" id="{00000000-0008-0000-0200-0000F5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2" name="AutoShape 184" descr="Image result for cook islands flag">
          <a:extLst>
            <a:ext uri="{FF2B5EF4-FFF2-40B4-BE49-F238E27FC236}">
              <a16:creationId xmlns:a16="http://schemas.microsoft.com/office/drawing/2014/main" id="{00000000-0008-0000-0200-0000F6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3" name="AutoShape 183" descr="Image result for cook islands flag">
          <a:extLst>
            <a:ext uri="{FF2B5EF4-FFF2-40B4-BE49-F238E27FC236}">
              <a16:creationId xmlns:a16="http://schemas.microsoft.com/office/drawing/2014/main" id="{00000000-0008-0000-0200-0000F7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4" name="AutoShape 184" descr="Image result for cook islands flag">
          <a:extLst>
            <a:ext uri="{FF2B5EF4-FFF2-40B4-BE49-F238E27FC236}">
              <a16:creationId xmlns:a16="http://schemas.microsoft.com/office/drawing/2014/main" id="{00000000-0008-0000-0200-0000F8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5" name="AutoShape 183" descr="Image result for cook islands flag">
          <a:extLst>
            <a:ext uri="{FF2B5EF4-FFF2-40B4-BE49-F238E27FC236}">
              <a16:creationId xmlns:a16="http://schemas.microsoft.com/office/drawing/2014/main" id="{00000000-0008-0000-0200-0000F9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6" name="AutoShape 184" descr="Image result for cook islands flag">
          <a:extLst>
            <a:ext uri="{FF2B5EF4-FFF2-40B4-BE49-F238E27FC236}">
              <a16:creationId xmlns:a16="http://schemas.microsoft.com/office/drawing/2014/main" id="{00000000-0008-0000-0200-0000FA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7" name="AutoShape 183" descr="Image result for cook islands flag">
          <a:extLst>
            <a:ext uri="{FF2B5EF4-FFF2-40B4-BE49-F238E27FC236}">
              <a16:creationId xmlns:a16="http://schemas.microsoft.com/office/drawing/2014/main" id="{00000000-0008-0000-0200-0000FB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8" name="AutoShape 184" descr="Image result for cook islands flag">
          <a:extLst>
            <a:ext uri="{FF2B5EF4-FFF2-40B4-BE49-F238E27FC236}">
              <a16:creationId xmlns:a16="http://schemas.microsoft.com/office/drawing/2014/main" id="{00000000-0008-0000-0200-0000FC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09" name="AutoShape 183" descr="Image result for cook islands flag">
          <a:extLst>
            <a:ext uri="{FF2B5EF4-FFF2-40B4-BE49-F238E27FC236}">
              <a16:creationId xmlns:a16="http://schemas.microsoft.com/office/drawing/2014/main" id="{00000000-0008-0000-0200-0000FD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0" name="AutoShape 184" descr="Image result for cook islands flag">
          <a:extLst>
            <a:ext uri="{FF2B5EF4-FFF2-40B4-BE49-F238E27FC236}">
              <a16:creationId xmlns:a16="http://schemas.microsoft.com/office/drawing/2014/main" id="{00000000-0008-0000-0200-0000FE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1" name="AutoShape 183" descr="Image result for cook islands flag">
          <a:extLst>
            <a:ext uri="{FF2B5EF4-FFF2-40B4-BE49-F238E27FC236}">
              <a16:creationId xmlns:a16="http://schemas.microsoft.com/office/drawing/2014/main" id="{00000000-0008-0000-0200-0000FF01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2" name="AutoShape 184" descr="Image result for cook islands flag">
          <a:extLst>
            <a:ext uri="{FF2B5EF4-FFF2-40B4-BE49-F238E27FC236}">
              <a16:creationId xmlns:a16="http://schemas.microsoft.com/office/drawing/2014/main" id="{00000000-0008-0000-0200-000000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3" name="AutoShape 183" descr="Image result for cook islands flag">
          <a:extLst>
            <a:ext uri="{FF2B5EF4-FFF2-40B4-BE49-F238E27FC236}">
              <a16:creationId xmlns:a16="http://schemas.microsoft.com/office/drawing/2014/main" id="{00000000-0008-0000-0200-000001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4" name="AutoShape 184" descr="Image result for cook islands flag">
          <a:extLst>
            <a:ext uri="{FF2B5EF4-FFF2-40B4-BE49-F238E27FC236}">
              <a16:creationId xmlns:a16="http://schemas.microsoft.com/office/drawing/2014/main" id="{00000000-0008-0000-0200-000002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5" name="AutoShape 183" descr="Image result for cook islands flag">
          <a:extLst>
            <a:ext uri="{FF2B5EF4-FFF2-40B4-BE49-F238E27FC236}">
              <a16:creationId xmlns:a16="http://schemas.microsoft.com/office/drawing/2014/main" id="{00000000-0008-0000-0200-000003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6" name="AutoShape 184" descr="Image result for cook islands flag">
          <a:extLst>
            <a:ext uri="{FF2B5EF4-FFF2-40B4-BE49-F238E27FC236}">
              <a16:creationId xmlns:a16="http://schemas.microsoft.com/office/drawing/2014/main" id="{00000000-0008-0000-0200-000004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7" name="AutoShape 183" descr="Image result for cook islands flag">
          <a:extLst>
            <a:ext uri="{FF2B5EF4-FFF2-40B4-BE49-F238E27FC236}">
              <a16:creationId xmlns:a16="http://schemas.microsoft.com/office/drawing/2014/main" id="{00000000-0008-0000-0200-000005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8" name="AutoShape 184" descr="Image result for cook islands flag">
          <a:extLst>
            <a:ext uri="{FF2B5EF4-FFF2-40B4-BE49-F238E27FC236}">
              <a16:creationId xmlns:a16="http://schemas.microsoft.com/office/drawing/2014/main" id="{00000000-0008-0000-0200-000006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19" name="AutoShape 183" descr="Image result for cook islands flag">
          <a:extLst>
            <a:ext uri="{FF2B5EF4-FFF2-40B4-BE49-F238E27FC236}">
              <a16:creationId xmlns:a16="http://schemas.microsoft.com/office/drawing/2014/main" id="{00000000-0008-0000-0200-000007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20" name="AutoShape 184" descr="Image result for cook islands flag">
          <a:extLst>
            <a:ext uri="{FF2B5EF4-FFF2-40B4-BE49-F238E27FC236}">
              <a16:creationId xmlns:a16="http://schemas.microsoft.com/office/drawing/2014/main" id="{00000000-0008-0000-0200-000008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21" name="AutoShape 183" descr="Image result for cook islands flag">
          <a:extLst>
            <a:ext uri="{FF2B5EF4-FFF2-40B4-BE49-F238E27FC236}">
              <a16:creationId xmlns:a16="http://schemas.microsoft.com/office/drawing/2014/main" id="{00000000-0008-0000-0200-000009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22" name="AutoShape 184" descr="Image result for cook islands flag">
          <a:extLst>
            <a:ext uri="{FF2B5EF4-FFF2-40B4-BE49-F238E27FC236}">
              <a16:creationId xmlns:a16="http://schemas.microsoft.com/office/drawing/2014/main" id="{00000000-0008-0000-0200-00000A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23" name="AutoShape 183" descr="Image result for cook islands flag">
          <a:extLst>
            <a:ext uri="{FF2B5EF4-FFF2-40B4-BE49-F238E27FC236}">
              <a16:creationId xmlns:a16="http://schemas.microsoft.com/office/drawing/2014/main" id="{00000000-0008-0000-0200-00000B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24" name="AutoShape 184" descr="Image result for cook islands flag">
          <a:extLst>
            <a:ext uri="{FF2B5EF4-FFF2-40B4-BE49-F238E27FC236}">
              <a16:creationId xmlns:a16="http://schemas.microsoft.com/office/drawing/2014/main" id="{00000000-0008-0000-0200-00000C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25" name="AutoShape 183" descr="Image result for cook islands flag">
          <a:extLst>
            <a:ext uri="{FF2B5EF4-FFF2-40B4-BE49-F238E27FC236}">
              <a16:creationId xmlns:a16="http://schemas.microsoft.com/office/drawing/2014/main" id="{00000000-0008-0000-0200-00000D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26" name="AutoShape 184" descr="Image result for cook islands flag">
          <a:extLst>
            <a:ext uri="{FF2B5EF4-FFF2-40B4-BE49-F238E27FC236}">
              <a16:creationId xmlns:a16="http://schemas.microsoft.com/office/drawing/2014/main" id="{00000000-0008-0000-0200-00000E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27" name="AutoShape 183" descr="Image result for cook islands flag">
          <a:extLst>
            <a:ext uri="{FF2B5EF4-FFF2-40B4-BE49-F238E27FC236}">
              <a16:creationId xmlns:a16="http://schemas.microsoft.com/office/drawing/2014/main" id="{00000000-0008-0000-0200-00000F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28" name="AutoShape 184" descr="Image result for cook islands flag">
          <a:extLst>
            <a:ext uri="{FF2B5EF4-FFF2-40B4-BE49-F238E27FC236}">
              <a16:creationId xmlns:a16="http://schemas.microsoft.com/office/drawing/2014/main" id="{00000000-0008-0000-0200-000010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4139"/>
    <xdr:sp macro="" textlink="">
      <xdr:nvSpPr>
        <xdr:cNvPr id="529" name="AutoShape 183" descr="Image result for cook islands flag">
          <a:extLst>
            <a:ext uri="{FF2B5EF4-FFF2-40B4-BE49-F238E27FC236}">
              <a16:creationId xmlns:a16="http://schemas.microsoft.com/office/drawing/2014/main" id="{00000000-0008-0000-0200-000011020000}"/>
            </a:ext>
          </a:extLst>
        </xdr:cNvPr>
        <xdr:cNvSpPr>
          <a:spLocks noChangeAspect="1" noChangeArrowheads="1"/>
        </xdr:cNvSpPr>
      </xdr:nvSpPr>
      <xdr:spPr bwMode="auto">
        <a:xfrm>
          <a:off x="29949588"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4139"/>
    <xdr:sp macro="" textlink="">
      <xdr:nvSpPr>
        <xdr:cNvPr id="530" name="AutoShape 184" descr="Image result for cook islands flag">
          <a:extLst>
            <a:ext uri="{FF2B5EF4-FFF2-40B4-BE49-F238E27FC236}">
              <a16:creationId xmlns:a16="http://schemas.microsoft.com/office/drawing/2014/main" id="{00000000-0008-0000-0200-000012020000}"/>
            </a:ext>
          </a:extLst>
        </xdr:cNvPr>
        <xdr:cNvSpPr>
          <a:spLocks noChangeAspect="1" noChangeArrowheads="1"/>
        </xdr:cNvSpPr>
      </xdr:nvSpPr>
      <xdr:spPr bwMode="auto">
        <a:xfrm>
          <a:off x="29949588" y="0"/>
          <a:ext cx="249935" cy="2541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31" name="AutoShape 183" descr="Image result for cook islands flag">
          <a:extLst>
            <a:ext uri="{FF2B5EF4-FFF2-40B4-BE49-F238E27FC236}">
              <a16:creationId xmlns:a16="http://schemas.microsoft.com/office/drawing/2014/main" id="{00000000-0008-0000-0200-000013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32" name="AutoShape 184" descr="Image result for cook islands flag">
          <a:extLst>
            <a:ext uri="{FF2B5EF4-FFF2-40B4-BE49-F238E27FC236}">
              <a16:creationId xmlns:a16="http://schemas.microsoft.com/office/drawing/2014/main" id="{00000000-0008-0000-0200-000014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33" name="AutoShape 183" descr="Image result for cook islands flag">
          <a:extLst>
            <a:ext uri="{FF2B5EF4-FFF2-40B4-BE49-F238E27FC236}">
              <a16:creationId xmlns:a16="http://schemas.microsoft.com/office/drawing/2014/main" id="{00000000-0008-0000-0200-000015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34" name="AutoShape 184" descr="Image result for cook islands flag">
          <a:extLst>
            <a:ext uri="{FF2B5EF4-FFF2-40B4-BE49-F238E27FC236}">
              <a16:creationId xmlns:a16="http://schemas.microsoft.com/office/drawing/2014/main" id="{00000000-0008-0000-0200-000016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35" name="AutoShape 183" descr="Image result for cook islands flag">
          <a:extLst>
            <a:ext uri="{FF2B5EF4-FFF2-40B4-BE49-F238E27FC236}">
              <a16:creationId xmlns:a16="http://schemas.microsoft.com/office/drawing/2014/main" id="{00000000-0008-0000-0200-000017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36" name="AutoShape 184" descr="Image result for cook islands flag">
          <a:extLst>
            <a:ext uri="{FF2B5EF4-FFF2-40B4-BE49-F238E27FC236}">
              <a16:creationId xmlns:a16="http://schemas.microsoft.com/office/drawing/2014/main" id="{00000000-0008-0000-0200-000018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37" name="AutoShape 183" descr="Image result for cook islands flag">
          <a:extLst>
            <a:ext uri="{FF2B5EF4-FFF2-40B4-BE49-F238E27FC236}">
              <a16:creationId xmlns:a16="http://schemas.microsoft.com/office/drawing/2014/main" id="{00000000-0008-0000-0200-000019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38" name="AutoShape 184" descr="Image result for cook islands flag">
          <a:extLst>
            <a:ext uri="{FF2B5EF4-FFF2-40B4-BE49-F238E27FC236}">
              <a16:creationId xmlns:a16="http://schemas.microsoft.com/office/drawing/2014/main" id="{00000000-0008-0000-0200-00001A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39" name="AutoShape 183" descr="Image result for cook islands flag">
          <a:extLst>
            <a:ext uri="{FF2B5EF4-FFF2-40B4-BE49-F238E27FC236}">
              <a16:creationId xmlns:a16="http://schemas.microsoft.com/office/drawing/2014/main" id="{00000000-0008-0000-0200-00001B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0" name="AutoShape 184" descr="Image result for cook islands flag">
          <a:extLst>
            <a:ext uri="{FF2B5EF4-FFF2-40B4-BE49-F238E27FC236}">
              <a16:creationId xmlns:a16="http://schemas.microsoft.com/office/drawing/2014/main" id="{00000000-0008-0000-0200-00001C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1" name="AutoShape 183" descr="Image result for cook islands flag">
          <a:extLst>
            <a:ext uri="{FF2B5EF4-FFF2-40B4-BE49-F238E27FC236}">
              <a16:creationId xmlns:a16="http://schemas.microsoft.com/office/drawing/2014/main" id="{00000000-0008-0000-0200-00001D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2" name="AutoShape 184" descr="Image result for cook islands flag">
          <a:extLst>
            <a:ext uri="{FF2B5EF4-FFF2-40B4-BE49-F238E27FC236}">
              <a16:creationId xmlns:a16="http://schemas.microsoft.com/office/drawing/2014/main" id="{00000000-0008-0000-0200-00001E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3" name="AutoShape 183" descr="Image result for cook islands flag">
          <a:extLst>
            <a:ext uri="{FF2B5EF4-FFF2-40B4-BE49-F238E27FC236}">
              <a16:creationId xmlns:a16="http://schemas.microsoft.com/office/drawing/2014/main" id="{00000000-0008-0000-0200-00001F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4" name="AutoShape 184" descr="Image result for cook islands flag">
          <a:extLst>
            <a:ext uri="{FF2B5EF4-FFF2-40B4-BE49-F238E27FC236}">
              <a16:creationId xmlns:a16="http://schemas.microsoft.com/office/drawing/2014/main" id="{00000000-0008-0000-0200-000020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5" name="AutoShape 183" descr="Image result for cook islands flag">
          <a:extLst>
            <a:ext uri="{FF2B5EF4-FFF2-40B4-BE49-F238E27FC236}">
              <a16:creationId xmlns:a16="http://schemas.microsoft.com/office/drawing/2014/main" id="{00000000-0008-0000-0200-000021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6" name="AutoShape 184" descr="Image result for cook islands flag">
          <a:extLst>
            <a:ext uri="{FF2B5EF4-FFF2-40B4-BE49-F238E27FC236}">
              <a16:creationId xmlns:a16="http://schemas.microsoft.com/office/drawing/2014/main" id="{00000000-0008-0000-0200-000022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7" name="AutoShape 183" descr="Image result for cook islands flag">
          <a:extLst>
            <a:ext uri="{FF2B5EF4-FFF2-40B4-BE49-F238E27FC236}">
              <a16:creationId xmlns:a16="http://schemas.microsoft.com/office/drawing/2014/main" id="{00000000-0008-0000-0200-000023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8" name="AutoShape 184" descr="Image result for cook islands flag">
          <a:extLst>
            <a:ext uri="{FF2B5EF4-FFF2-40B4-BE49-F238E27FC236}">
              <a16:creationId xmlns:a16="http://schemas.microsoft.com/office/drawing/2014/main" id="{00000000-0008-0000-0200-000024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49" name="AutoShape 183" descr="Image result for cook islands flag">
          <a:extLst>
            <a:ext uri="{FF2B5EF4-FFF2-40B4-BE49-F238E27FC236}">
              <a16:creationId xmlns:a16="http://schemas.microsoft.com/office/drawing/2014/main" id="{00000000-0008-0000-0200-000025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0" name="AutoShape 184" descr="Image result for cook islands flag">
          <a:extLst>
            <a:ext uri="{FF2B5EF4-FFF2-40B4-BE49-F238E27FC236}">
              <a16:creationId xmlns:a16="http://schemas.microsoft.com/office/drawing/2014/main" id="{00000000-0008-0000-0200-000026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1" name="AutoShape 183" descr="Image result for cook islands flag">
          <a:extLst>
            <a:ext uri="{FF2B5EF4-FFF2-40B4-BE49-F238E27FC236}">
              <a16:creationId xmlns:a16="http://schemas.microsoft.com/office/drawing/2014/main" id="{00000000-0008-0000-0200-000027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2" name="AutoShape 184" descr="Image result for cook islands flag">
          <a:extLst>
            <a:ext uri="{FF2B5EF4-FFF2-40B4-BE49-F238E27FC236}">
              <a16:creationId xmlns:a16="http://schemas.microsoft.com/office/drawing/2014/main" id="{00000000-0008-0000-0200-000028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3" name="AutoShape 184" descr="Image result for cook islands flag">
          <a:extLst>
            <a:ext uri="{FF2B5EF4-FFF2-40B4-BE49-F238E27FC236}">
              <a16:creationId xmlns:a16="http://schemas.microsoft.com/office/drawing/2014/main" id="{00000000-0008-0000-0200-000029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4" name="AutoShape 183" descr="Image result for cook islands flag">
          <a:extLst>
            <a:ext uri="{FF2B5EF4-FFF2-40B4-BE49-F238E27FC236}">
              <a16:creationId xmlns:a16="http://schemas.microsoft.com/office/drawing/2014/main" id="{00000000-0008-0000-0200-00002A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5" name="AutoShape 184" descr="Image result for cook islands flag">
          <a:extLst>
            <a:ext uri="{FF2B5EF4-FFF2-40B4-BE49-F238E27FC236}">
              <a16:creationId xmlns:a16="http://schemas.microsoft.com/office/drawing/2014/main" id="{00000000-0008-0000-0200-00002B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6" name="AutoShape 184" descr="Image result for cook islands flag">
          <a:extLst>
            <a:ext uri="{FF2B5EF4-FFF2-40B4-BE49-F238E27FC236}">
              <a16:creationId xmlns:a16="http://schemas.microsoft.com/office/drawing/2014/main" id="{00000000-0008-0000-0200-00002C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7" name="AutoShape 184" descr="Image result for cook islands flag">
          <a:extLst>
            <a:ext uri="{FF2B5EF4-FFF2-40B4-BE49-F238E27FC236}">
              <a16:creationId xmlns:a16="http://schemas.microsoft.com/office/drawing/2014/main" id="{00000000-0008-0000-0200-00002D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8" name="AutoShape 184" descr="Image result for cook islands flag">
          <a:extLst>
            <a:ext uri="{FF2B5EF4-FFF2-40B4-BE49-F238E27FC236}">
              <a16:creationId xmlns:a16="http://schemas.microsoft.com/office/drawing/2014/main" id="{00000000-0008-0000-0200-00002E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59" name="AutoShape 183" descr="Image result for cook islands flag">
          <a:extLst>
            <a:ext uri="{FF2B5EF4-FFF2-40B4-BE49-F238E27FC236}">
              <a16:creationId xmlns:a16="http://schemas.microsoft.com/office/drawing/2014/main" id="{00000000-0008-0000-0200-00002F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0" name="AutoShape 184" descr="Image result for cook islands flag">
          <a:extLst>
            <a:ext uri="{FF2B5EF4-FFF2-40B4-BE49-F238E27FC236}">
              <a16:creationId xmlns:a16="http://schemas.microsoft.com/office/drawing/2014/main" id="{00000000-0008-0000-0200-000030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1" name="AutoShape 183" descr="Image result for cook islands flag">
          <a:extLst>
            <a:ext uri="{FF2B5EF4-FFF2-40B4-BE49-F238E27FC236}">
              <a16:creationId xmlns:a16="http://schemas.microsoft.com/office/drawing/2014/main" id="{00000000-0008-0000-0200-000031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2" name="AutoShape 184" descr="Image result for cook islands flag">
          <a:extLst>
            <a:ext uri="{FF2B5EF4-FFF2-40B4-BE49-F238E27FC236}">
              <a16:creationId xmlns:a16="http://schemas.microsoft.com/office/drawing/2014/main" id="{00000000-0008-0000-0200-000032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3" name="AutoShape 183" descr="Image result for cook islands flag">
          <a:extLst>
            <a:ext uri="{FF2B5EF4-FFF2-40B4-BE49-F238E27FC236}">
              <a16:creationId xmlns:a16="http://schemas.microsoft.com/office/drawing/2014/main" id="{00000000-0008-0000-0200-000033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4" name="AutoShape 184" descr="Image result for cook islands flag">
          <a:extLst>
            <a:ext uri="{FF2B5EF4-FFF2-40B4-BE49-F238E27FC236}">
              <a16:creationId xmlns:a16="http://schemas.microsoft.com/office/drawing/2014/main" id="{00000000-0008-0000-0200-000034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5" name="AutoShape 183" descr="Image result for cook islands flag">
          <a:extLst>
            <a:ext uri="{FF2B5EF4-FFF2-40B4-BE49-F238E27FC236}">
              <a16:creationId xmlns:a16="http://schemas.microsoft.com/office/drawing/2014/main" id="{00000000-0008-0000-0200-000035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6" name="AutoShape 184" descr="Image result for cook islands flag">
          <a:extLst>
            <a:ext uri="{FF2B5EF4-FFF2-40B4-BE49-F238E27FC236}">
              <a16:creationId xmlns:a16="http://schemas.microsoft.com/office/drawing/2014/main" id="{00000000-0008-0000-0200-000036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7" name="AutoShape 183" descr="Image result for cook islands flag">
          <a:extLst>
            <a:ext uri="{FF2B5EF4-FFF2-40B4-BE49-F238E27FC236}">
              <a16:creationId xmlns:a16="http://schemas.microsoft.com/office/drawing/2014/main" id="{00000000-0008-0000-0200-000037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8" name="AutoShape 184" descr="Image result for cook islands flag">
          <a:extLst>
            <a:ext uri="{FF2B5EF4-FFF2-40B4-BE49-F238E27FC236}">
              <a16:creationId xmlns:a16="http://schemas.microsoft.com/office/drawing/2014/main" id="{00000000-0008-0000-0200-000038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69" name="AutoShape 183" descr="Image result for cook islands flag">
          <a:extLst>
            <a:ext uri="{FF2B5EF4-FFF2-40B4-BE49-F238E27FC236}">
              <a16:creationId xmlns:a16="http://schemas.microsoft.com/office/drawing/2014/main" id="{00000000-0008-0000-0200-000039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70" name="AutoShape 184" descr="Image result for cook islands flag">
          <a:extLst>
            <a:ext uri="{FF2B5EF4-FFF2-40B4-BE49-F238E27FC236}">
              <a16:creationId xmlns:a16="http://schemas.microsoft.com/office/drawing/2014/main" id="{00000000-0008-0000-0200-00003A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71" name="AutoShape 183" descr="Image result for cook islands flag">
          <a:extLst>
            <a:ext uri="{FF2B5EF4-FFF2-40B4-BE49-F238E27FC236}">
              <a16:creationId xmlns:a16="http://schemas.microsoft.com/office/drawing/2014/main" id="{00000000-0008-0000-0200-00003B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72" name="AutoShape 184" descr="Image result for cook islands flag">
          <a:extLst>
            <a:ext uri="{FF2B5EF4-FFF2-40B4-BE49-F238E27FC236}">
              <a16:creationId xmlns:a16="http://schemas.microsoft.com/office/drawing/2014/main" id="{00000000-0008-0000-0200-00003C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73" name="AutoShape 183" descr="Image result for cook islands flag">
          <a:extLst>
            <a:ext uri="{FF2B5EF4-FFF2-40B4-BE49-F238E27FC236}">
              <a16:creationId xmlns:a16="http://schemas.microsoft.com/office/drawing/2014/main" id="{00000000-0008-0000-0200-00003D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74" name="AutoShape 184" descr="Image result for cook islands flag">
          <a:extLst>
            <a:ext uri="{FF2B5EF4-FFF2-40B4-BE49-F238E27FC236}">
              <a16:creationId xmlns:a16="http://schemas.microsoft.com/office/drawing/2014/main" id="{00000000-0008-0000-0200-00003E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0</xdr:row>
      <xdr:rowOff>0</xdr:rowOff>
    </xdr:from>
    <xdr:ext cx="249935" cy="255953"/>
    <xdr:sp macro="" textlink="">
      <xdr:nvSpPr>
        <xdr:cNvPr id="575" name="AutoShape 183" descr="Image result for cook islands flag">
          <a:extLst>
            <a:ext uri="{FF2B5EF4-FFF2-40B4-BE49-F238E27FC236}">
              <a16:creationId xmlns:a16="http://schemas.microsoft.com/office/drawing/2014/main" id="{00000000-0008-0000-0200-00003F020000}"/>
            </a:ext>
          </a:extLst>
        </xdr:cNvPr>
        <xdr:cNvSpPr>
          <a:spLocks noChangeAspect="1" noChangeArrowheads="1"/>
        </xdr:cNvSpPr>
      </xdr:nvSpPr>
      <xdr:spPr bwMode="auto">
        <a:xfrm>
          <a:off x="29949588" y="0"/>
          <a:ext cx="249935" cy="2559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732365</xdr:colOff>
      <xdr:row>174</xdr:row>
      <xdr:rowOff>19050</xdr:rowOff>
    </xdr:from>
    <xdr:to>
      <xdr:col>15</xdr:col>
      <xdr:colOff>21166</xdr:colOff>
      <xdr:row>193</xdr:row>
      <xdr:rowOff>74082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173</xdr:row>
      <xdr:rowOff>401106</xdr:rowOff>
    </xdr:from>
    <xdr:to>
      <xdr:col>4</xdr:col>
      <xdr:colOff>730250</xdr:colOff>
      <xdr:row>192</xdr:row>
      <xdr:rowOff>42332</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0</xdr:rowOff>
    </xdr:from>
    <xdr:to>
      <xdr:col>5</xdr:col>
      <xdr:colOff>730250</xdr:colOff>
      <xdr:row>25</xdr:row>
      <xdr:rowOff>116416</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619547</xdr:colOff>
      <xdr:row>3</xdr:row>
      <xdr:rowOff>2117</xdr:rowOff>
    </xdr:from>
    <xdr:to>
      <xdr:col>0</xdr:col>
      <xdr:colOff>1307463</xdr:colOff>
      <xdr:row>4</xdr:row>
      <xdr:rowOff>120438</xdr:rowOff>
    </xdr:to>
    <xdr:sp macro="" textlink="$J$30">
      <xdr:nvSpPr>
        <xdr:cNvPr id="9" name="TextBox 8">
          <a:extLst>
            <a:ext uri="{FF2B5EF4-FFF2-40B4-BE49-F238E27FC236}">
              <a16:creationId xmlns:a16="http://schemas.microsoft.com/office/drawing/2014/main" id="{00000000-0008-0000-0300-000009000000}"/>
            </a:ext>
          </a:extLst>
        </xdr:cNvPr>
        <xdr:cNvSpPr txBox="1"/>
      </xdr:nvSpPr>
      <xdr:spPr>
        <a:xfrm>
          <a:off x="619547" y="897467"/>
          <a:ext cx="687916" cy="289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E7409C-B04D-410C-949A-E0BA6404E367}" type="TxLink">
            <a:rPr lang="en-US" sz="1100" b="1" i="0" u="none" strike="noStrike">
              <a:solidFill>
                <a:srgbClr val="000000"/>
              </a:solidFill>
              <a:latin typeface="Calibri"/>
            </a:rPr>
            <a:pPr algn="ctr"/>
            <a:t>197</a:t>
          </a:fld>
          <a:endParaRPr lang="en-GB" sz="1200" b="1"/>
        </a:p>
      </xdr:txBody>
    </xdr:sp>
    <xdr:clientData/>
  </xdr:twoCellAnchor>
  <xdr:twoCellAnchor>
    <xdr:from>
      <xdr:col>0</xdr:col>
      <xdr:colOff>1458594</xdr:colOff>
      <xdr:row>3</xdr:row>
      <xdr:rowOff>20109</xdr:rowOff>
    </xdr:from>
    <xdr:to>
      <xdr:col>1</xdr:col>
      <xdr:colOff>315593</xdr:colOff>
      <xdr:row>4</xdr:row>
      <xdr:rowOff>115359</xdr:rowOff>
    </xdr:to>
    <xdr:sp macro="" textlink="$J$31">
      <xdr:nvSpPr>
        <xdr:cNvPr id="10" name="TextBox 9">
          <a:extLst>
            <a:ext uri="{FF2B5EF4-FFF2-40B4-BE49-F238E27FC236}">
              <a16:creationId xmlns:a16="http://schemas.microsoft.com/office/drawing/2014/main" id="{00000000-0008-0000-0300-00000A000000}"/>
            </a:ext>
          </a:extLst>
        </xdr:cNvPr>
        <xdr:cNvSpPr txBox="1"/>
      </xdr:nvSpPr>
      <xdr:spPr>
        <a:xfrm>
          <a:off x="1458594" y="915459"/>
          <a:ext cx="79057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DFFF4F-2524-4EF5-8133-8E03A4C7C53D}" type="TxLink">
            <a:rPr lang="en-US" sz="1100" b="1" i="0" u="none" strike="noStrike">
              <a:solidFill>
                <a:srgbClr val="000000"/>
              </a:solidFill>
              <a:latin typeface="Calibri"/>
            </a:rPr>
            <a:pPr algn="ctr"/>
            <a:t>193</a:t>
          </a:fld>
          <a:endParaRPr lang="en-GB" sz="1200" b="1"/>
        </a:p>
      </xdr:txBody>
    </xdr:sp>
    <xdr:clientData/>
  </xdr:twoCellAnchor>
  <xdr:twoCellAnchor>
    <xdr:from>
      <xdr:col>1</xdr:col>
      <xdr:colOff>562608</xdr:colOff>
      <xdr:row>3</xdr:row>
      <xdr:rowOff>18414</xdr:rowOff>
    </xdr:from>
    <xdr:to>
      <xdr:col>2</xdr:col>
      <xdr:colOff>407458</xdr:colOff>
      <xdr:row>4</xdr:row>
      <xdr:rowOff>136736</xdr:rowOff>
    </xdr:to>
    <xdr:sp macro="" textlink="$J$32">
      <xdr:nvSpPr>
        <xdr:cNvPr id="11" name="TextBox 10">
          <a:extLst>
            <a:ext uri="{FF2B5EF4-FFF2-40B4-BE49-F238E27FC236}">
              <a16:creationId xmlns:a16="http://schemas.microsoft.com/office/drawing/2014/main" id="{00000000-0008-0000-0300-00000B000000}"/>
            </a:ext>
          </a:extLst>
        </xdr:cNvPr>
        <xdr:cNvSpPr txBox="1"/>
      </xdr:nvSpPr>
      <xdr:spPr>
        <a:xfrm>
          <a:off x="2496183" y="913764"/>
          <a:ext cx="511600" cy="28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80CE3B-FCCC-404A-9CB0-8EB78DBB633A}" type="TxLink">
            <a:rPr lang="en-US" sz="1100" b="1" i="0" u="none" strike="noStrike">
              <a:solidFill>
                <a:srgbClr val="000000"/>
              </a:solidFill>
              <a:latin typeface="Calibri"/>
            </a:rPr>
            <a:pPr algn="ctr"/>
            <a:t>194</a:t>
          </a:fld>
          <a:endParaRPr lang="en-GB" sz="1200" b="1"/>
        </a:p>
      </xdr:txBody>
    </xdr:sp>
    <xdr:clientData/>
  </xdr:twoCellAnchor>
  <xdr:twoCellAnchor>
    <xdr:from>
      <xdr:col>6</xdr:col>
      <xdr:colOff>730250</xdr:colOff>
      <xdr:row>3</xdr:row>
      <xdr:rowOff>0</xdr:rowOff>
    </xdr:from>
    <xdr:to>
      <xdr:col>13</xdr:col>
      <xdr:colOff>21167</xdr:colOff>
      <xdr:row>20</xdr:row>
      <xdr:rowOff>127000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114</xdr:row>
      <xdr:rowOff>0</xdr:rowOff>
    </xdr:from>
    <xdr:to>
      <xdr:col>4</xdr:col>
      <xdr:colOff>0</xdr:colOff>
      <xdr:row>129</xdr:row>
      <xdr:rowOff>1059</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114</xdr:row>
      <xdr:rowOff>0</xdr:rowOff>
    </xdr:from>
    <xdr:to>
      <xdr:col>11</xdr:col>
      <xdr:colOff>10584</xdr:colOff>
      <xdr:row>129</xdr:row>
      <xdr:rowOff>0</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42333</xdr:colOff>
      <xdr:row>131</xdr:row>
      <xdr:rowOff>10584</xdr:rowOff>
    </xdr:from>
    <xdr:to>
      <xdr:col>3</xdr:col>
      <xdr:colOff>740832</xdr:colOff>
      <xdr:row>146</xdr:row>
      <xdr:rowOff>116419</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205</xdr:row>
      <xdr:rowOff>1</xdr:rowOff>
    </xdr:from>
    <xdr:to>
      <xdr:col>6</xdr:col>
      <xdr:colOff>6350</xdr:colOff>
      <xdr:row>226</xdr:row>
      <xdr:rowOff>105835</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198331</xdr:colOff>
      <xdr:row>213</xdr:row>
      <xdr:rowOff>22859</xdr:rowOff>
    </xdr:from>
    <xdr:to>
      <xdr:col>3</xdr:col>
      <xdr:colOff>569171</xdr:colOff>
      <xdr:row>214</xdr:row>
      <xdr:rowOff>114300</xdr:rowOff>
    </xdr:to>
    <xdr:sp macro="" textlink="$J$236">
      <xdr:nvSpPr>
        <xdr:cNvPr id="16" name="TextBox 1">
          <a:extLst>
            <a:ext uri="{FF2B5EF4-FFF2-40B4-BE49-F238E27FC236}">
              <a16:creationId xmlns:a16="http://schemas.microsoft.com/office/drawing/2014/main" id="{00000000-0008-0000-0300-000010000000}"/>
            </a:ext>
          </a:extLst>
        </xdr:cNvPr>
        <xdr:cNvSpPr txBox="1"/>
      </xdr:nvSpPr>
      <xdr:spPr>
        <a:xfrm>
          <a:off x="3465406" y="43294934"/>
          <a:ext cx="370840" cy="2819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fld id="{87D1C7BD-A52C-4653-A39B-6F645ECE8262}" type="TxLink">
            <a:rPr lang="en-US" sz="1100" b="1" i="0" u="none" strike="noStrike">
              <a:solidFill>
                <a:srgbClr val="000000"/>
              </a:solidFill>
              <a:latin typeface="Calibri"/>
            </a:rPr>
            <a:pPr/>
            <a:t>47</a:t>
          </a:fld>
          <a:endParaRPr lang="en-GB" sz="1200"/>
        </a:p>
      </xdr:txBody>
    </xdr:sp>
    <xdr:clientData/>
  </xdr:twoCellAnchor>
  <xdr:twoCellAnchor>
    <xdr:from>
      <xdr:col>0</xdr:col>
      <xdr:colOff>1164166</xdr:colOff>
      <xdr:row>174</xdr:row>
      <xdr:rowOff>127000</xdr:rowOff>
    </xdr:from>
    <xdr:to>
      <xdr:col>1</xdr:col>
      <xdr:colOff>95248</xdr:colOff>
      <xdr:row>176</xdr:row>
      <xdr:rowOff>52917</xdr:rowOff>
    </xdr:to>
    <xdr:sp macro="" textlink="$J$203">
      <xdr:nvSpPr>
        <xdr:cNvPr id="18" name="TextBox 1">
          <a:extLst>
            <a:ext uri="{FF2B5EF4-FFF2-40B4-BE49-F238E27FC236}">
              <a16:creationId xmlns:a16="http://schemas.microsoft.com/office/drawing/2014/main" id="{00000000-0008-0000-0300-000012000000}"/>
            </a:ext>
          </a:extLst>
        </xdr:cNvPr>
        <xdr:cNvSpPr txBox="1"/>
      </xdr:nvSpPr>
      <xdr:spPr>
        <a:xfrm>
          <a:off x="1164166" y="44598167"/>
          <a:ext cx="1079499" cy="264583"/>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fld id="{F4890D24-BC7A-4927-B0DC-42B90E973B7F}" type="TxLink">
            <a:rPr lang="en-US" sz="1200" b="1" i="0" u="none" strike="noStrike">
              <a:solidFill>
                <a:srgbClr val="000000"/>
              </a:solidFill>
              <a:latin typeface="Calibri"/>
            </a:rPr>
            <a:pPr algn="ctr"/>
            <a:t>6,118</a:t>
          </a:fld>
          <a:endParaRPr lang="en-GB" sz="1400"/>
        </a:p>
      </xdr:txBody>
    </xdr:sp>
    <xdr:clientData/>
  </xdr:twoCellAnchor>
  <xdr:twoCellAnchor>
    <xdr:from>
      <xdr:col>3</xdr:col>
      <xdr:colOff>430313</xdr:colOff>
      <xdr:row>18</xdr:row>
      <xdr:rowOff>110703</xdr:rowOff>
    </xdr:from>
    <xdr:to>
      <xdr:col>4</xdr:col>
      <xdr:colOff>180545</xdr:colOff>
      <xdr:row>20</xdr:row>
      <xdr:rowOff>53977</xdr:rowOff>
    </xdr:to>
    <xdr:sp macro="" textlink="$J$38">
      <xdr:nvSpPr>
        <xdr:cNvPr id="19" name="TextBox 18">
          <a:extLst>
            <a:ext uri="{FF2B5EF4-FFF2-40B4-BE49-F238E27FC236}">
              <a16:creationId xmlns:a16="http://schemas.microsoft.com/office/drawing/2014/main" id="{00000000-0008-0000-0300-000013000000}"/>
            </a:ext>
          </a:extLst>
        </xdr:cNvPr>
        <xdr:cNvSpPr txBox="1"/>
      </xdr:nvSpPr>
      <xdr:spPr>
        <a:xfrm>
          <a:off x="3697388" y="3577803"/>
          <a:ext cx="416982" cy="286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3DA703-1C9A-4BFB-A4F8-6FB8040D1251}" type="TxLink">
            <a:rPr lang="en-US" sz="1100" b="1" i="0" u="none" strike="noStrike">
              <a:solidFill>
                <a:srgbClr val="000000"/>
              </a:solidFill>
              <a:latin typeface="Calibri"/>
            </a:rPr>
            <a:pPr algn="ctr"/>
            <a:t>0</a:t>
          </a:fld>
          <a:endParaRPr lang="en-GB" sz="1200" b="1"/>
        </a:p>
      </xdr:txBody>
    </xdr:sp>
    <xdr:clientData/>
  </xdr:twoCellAnchor>
  <xdr:twoCellAnchor>
    <xdr:from>
      <xdr:col>5</xdr:col>
      <xdr:colOff>13756</xdr:colOff>
      <xdr:row>131</xdr:row>
      <xdr:rowOff>20108</xdr:rowOff>
    </xdr:from>
    <xdr:to>
      <xdr:col>11</xdr:col>
      <xdr:colOff>45507</xdr:colOff>
      <xdr:row>146</xdr:row>
      <xdr:rowOff>137584</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60</xdr:row>
      <xdr:rowOff>21167</xdr:rowOff>
    </xdr:from>
    <xdr:to>
      <xdr:col>4</xdr:col>
      <xdr:colOff>10583</xdr:colOff>
      <xdr:row>74</xdr:row>
      <xdr:rowOff>254000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740832</xdr:colOff>
      <xdr:row>60</xdr:row>
      <xdr:rowOff>25399</xdr:rowOff>
    </xdr:from>
    <xdr:to>
      <xdr:col>13</xdr:col>
      <xdr:colOff>21165</xdr:colOff>
      <xdr:row>74</xdr:row>
      <xdr:rowOff>253999</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76</xdr:row>
      <xdr:rowOff>21167</xdr:rowOff>
    </xdr:from>
    <xdr:to>
      <xdr:col>5</xdr:col>
      <xdr:colOff>0</xdr:colOff>
      <xdr:row>90</xdr:row>
      <xdr:rowOff>148167</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42333</xdr:colOff>
      <xdr:row>273</xdr:row>
      <xdr:rowOff>328082</xdr:rowOff>
    </xdr:from>
    <xdr:to>
      <xdr:col>0</xdr:col>
      <xdr:colOff>836083</xdr:colOff>
      <xdr:row>273</xdr:row>
      <xdr:rowOff>571499</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2333" y="47349832"/>
          <a:ext cx="793750"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j-ea"/>
              <a:ea typeface="+mj-ea"/>
            </a:rPr>
            <a:t>year</a:t>
          </a:r>
          <a:endParaRPr kumimoji="1" lang="ja-JP" altLang="en-US" sz="1000">
            <a:latin typeface="+mj-ea"/>
            <a:ea typeface="+mj-ea"/>
          </a:endParaRPr>
        </a:p>
      </xdr:txBody>
    </xdr:sp>
    <xdr:clientData/>
  </xdr:twoCellAnchor>
  <xdr:twoCellAnchor>
    <xdr:from>
      <xdr:col>0</xdr:col>
      <xdr:colOff>0</xdr:colOff>
      <xdr:row>244</xdr:row>
      <xdr:rowOff>21166</xdr:rowOff>
    </xdr:from>
    <xdr:to>
      <xdr:col>9</xdr:col>
      <xdr:colOff>2</xdr:colOff>
      <xdr:row>268</xdr:row>
      <xdr:rowOff>158749</xdr:rowOff>
    </xdr:to>
    <xdr:graphicFrame macro="">
      <xdr:nvGraphicFramePr>
        <xdr:cNvPr id="29" name="グラフ 28">
          <a:extLst>
            <a:ext uri="{FF2B5EF4-FFF2-40B4-BE49-F238E27FC236}">
              <a16:creationId xmlns:a16="http://schemas.microsoft.com/office/drawing/2014/main" id="{00000000-0008-0000-03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333374</xdr:colOff>
      <xdr:row>253</xdr:row>
      <xdr:rowOff>123404</xdr:rowOff>
    </xdr:from>
    <xdr:to>
      <xdr:col>5</xdr:col>
      <xdr:colOff>5715</xdr:colOff>
      <xdr:row>255</xdr:row>
      <xdr:rowOff>66677</xdr:rowOff>
    </xdr:to>
    <xdr:sp macro="" textlink="$J$278">
      <xdr:nvSpPr>
        <xdr:cNvPr id="23" name="TextBox 1">
          <a:extLst>
            <a:ext uri="{FF2B5EF4-FFF2-40B4-BE49-F238E27FC236}">
              <a16:creationId xmlns:a16="http://schemas.microsoft.com/office/drawing/2014/main" id="{00000000-0008-0000-0300-000017000000}"/>
            </a:ext>
          </a:extLst>
        </xdr:cNvPr>
        <xdr:cNvSpPr txBox="1"/>
      </xdr:nvSpPr>
      <xdr:spPr>
        <a:xfrm>
          <a:off x="4267199" y="60683354"/>
          <a:ext cx="339091" cy="286173"/>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fld id="{928DD912-6F72-4D6F-87CB-A8008FBECB98}" type="TxLink">
            <a:rPr lang="en-US" altLang="en-US" sz="1100" b="1" i="0" u="none" strike="noStrike">
              <a:solidFill>
                <a:srgbClr val="000000"/>
              </a:solidFill>
              <a:latin typeface="ＭＳ Ｐゴシック"/>
              <a:ea typeface="ＭＳ Ｐゴシック"/>
            </a:rPr>
            <a:pPr/>
            <a:t>51</a:t>
          </a:fld>
          <a:endParaRPr lang="en-GB" sz="1200"/>
        </a:p>
      </xdr:txBody>
    </xdr:sp>
    <xdr:clientData/>
  </xdr:twoCellAnchor>
  <xdr:twoCellAnchor>
    <xdr:from>
      <xdr:col>3</xdr:col>
      <xdr:colOff>349673</xdr:colOff>
      <xdr:row>258</xdr:row>
      <xdr:rowOff>74087</xdr:rowOff>
    </xdr:from>
    <xdr:to>
      <xdr:col>4</xdr:col>
      <xdr:colOff>104774</xdr:colOff>
      <xdr:row>260</xdr:row>
      <xdr:rowOff>21172</xdr:rowOff>
    </xdr:to>
    <xdr:sp macro="" textlink="$J$277">
      <xdr:nvSpPr>
        <xdr:cNvPr id="24" name="TextBox 1">
          <a:extLst>
            <a:ext uri="{FF2B5EF4-FFF2-40B4-BE49-F238E27FC236}">
              <a16:creationId xmlns:a16="http://schemas.microsoft.com/office/drawing/2014/main" id="{00000000-0008-0000-0300-000018000000}"/>
            </a:ext>
          </a:extLst>
        </xdr:cNvPr>
        <xdr:cNvSpPr txBox="1"/>
      </xdr:nvSpPr>
      <xdr:spPr>
        <a:xfrm>
          <a:off x="3616748" y="61491287"/>
          <a:ext cx="421851" cy="28998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fld id="{F6BF1757-3B8B-43C2-8125-75633369AE74}" type="TxLink">
            <a:rPr lang="en-US" altLang="en-US" sz="1100" b="1" i="0" u="none" strike="noStrike">
              <a:solidFill>
                <a:srgbClr val="000000"/>
              </a:solidFill>
              <a:latin typeface="ＭＳ Ｐゴシック"/>
              <a:ea typeface="ＭＳ Ｐゴシック"/>
            </a:rPr>
            <a:pPr/>
            <a:t>17</a:t>
          </a:fld>
          <a:endParaRPr lang="en-GB" sz="1200"/>
        </a:p>
      </xdr:txBody>
    </xdr:sp>
    <xdr:clientData/>
  </xdr:twoCellAnchor>
  <xdr:twoCellAnchor>
    <xdr:from>
      <xdr:col>2</xdr:col>
      <xdr:colOff>465667</xdr:colOff>
      <xdr:row>260</xdr:row>
      <xdr:rowOff>116417</xdr:rowOff>
    </xdr:from>
    <xdr:to>
      <xdr:col>3</xdr:col>
      <xdr:colOff>89959</xdr:colOff>
      <xdr:row>262</xdr:row>
      <xdr:rowOff>63501</xdr:rowOff>
    </xdr:to>
    <xdr:sp macro="" textlink="$J$276">
      <xdr:nvSpPr>
        <xdr:cNvPr id="25" name="TextBox 1">
          <a:extLst>
            <a:ext uri="{FF2B5EF4-FFF2-40B4-BE49-F238E27FC236}">
              <a16:creationId xmlns:a16="http://schemas.microsoft.com/office/drawing/2014/main" id="{00000000-0008-0000-0300-000019000000}"/>
            </a:ext>
          </a:extLst>
        </xdr:cNvPr>
        <xdr:cNvSpPr txBox="1"/>
      </xdr:nvSpPr>
      <xdr:spPr>
        <a:xfrm>
          <a:off x="3354917" y="62674500"/>
          <a:ext cx="365125" cy="28575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fld id="{4EAB3243-838D-475B-9604-3735693B6BCA}" type="TxLink">
            <a:rPr lang="en-US" altLang="en-US" sz="1100" b="1" i="0" u="none" strike="noStrike">
              <a:solidFill>
                <a:srgbClr val="000000"/>
              </a:solidFill>
              <a:latin typeface="ＭＳ Ｐゴシック"/>
              <a:ea typeface="ＭＳ Ｐゴシック"/>
            </a:rPr>
            <a:pPr/>
            <a:t>0</a:t>
          </a:fld>
          <a:endParaRPr lang="en-GB" sz="1200"/>
        </a:p>
      </xdr:txBody>
    </xdr:sp>
    <xdr:clientData/>
  </xdr:twoCellAnchor>
  <xdr:twoCellAnchor>
    <xdr:from>
      <xdr:col>1</xdr:col>
      <xdr:colOff>432434</xdr:colOff>
      <xdr:row>260</xdr:row>
      <xdr:rowOff>20320</xdr:rowOff>
    </xdr:from>
    <xdr:to>
      <xdr:col>2</xdr:col>
      <xdr:colOff>49106</xdr:colOff>
      <xdr:row>261</xdr:row>
      <xdr:rowOff>136736</xdr:rowOff>
    </xdr:to>
    <xdr:sp macro="" textlink="$J$275">
      <xdr:nvSpPr>
        <xdr:cNvPr id="26" name="TextBox 1">
          <a:extLst>
            <a:ext uri="{FF2B5EF4-FFF2-40B4-BE49-F238E27FC236}">
              <a16:creationId xmlns:a16="http://schemas.microsoft.com/office/drawing/2014/main" id="{00000000-0008-0000-0300-00001A000000}"/>
            </a:ext>
          </a:extLst>
        </xdr:cNvPr>
        <xdr:cNvSpPr txBox="1"/>
      </xdr:nvSpPr>
      <xdr:spPr>
        <a:xfrm>
          <a:off x="2366009" y="61780420"/>
          <a:ext cx="283422" cy="28786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fld id="{302B296F-DA9F-4870-A8D5-66B829C903CC}" type="TxLink">
            <a:rPr lang="en-US" altLang="en-US" sz="1100" b="1" i="0" u="none" strike="noStrike">
              <a:solidFill>
                <a:srgbClr val="000000"/>
              </a:solidFill>
              <a:latin typeface="ＭＳ Ｐゴシック"/>
              <a:ea typeface="ＭＳ Ｐゴシック"/>
            </a:rPr>
            <a:pPr/>
            <a:t>6</a:t>
          </a:fld>
          <a:endParaRPr lang="en-GB" sz="1200"/>
        </a:p>
      </xdr:txBody>
    </xdr:sp>
    <xdr:clientData/>
  </xdr:twoCellAnchor>
  <xdr:twoCellAnchor>
    <xdr:from>
      <xdr:col>0</xdr:col>
      <xdr:colOff>1676398</xdr:colOff>
      <xdr:row>246</xdr:row>
      <xdr:rowOff>108161</xdr:rowOff>
    </xdr:from>
    <xdr:to>
      <xdr:col>1</xdr:col>
      <xdr:colOff>102869</xdr:colOff>
      <xdr:row>248</xdr:row>
      <xdr:rowOff>47627</xdr:rowOff>
    </xdr:to>
    <xdr:sp macro="" textlink="$J$274">
      <xdr:nvSpPr>
        <xdr:cNvPr id="27" name="TextBox 1">
          <a:extLst>
            <a:ext uri="{FF2B5EF4-FFF2-40B4-BE49-F238E27FC236}">
              <a16:creationId xmlns:a16="http://schemas.microsoft.com/office/drawing/2014/main" id="{00000000-0008-0000-0300-00001B000000}"/>
            </a:ext>
          </a:extLst>
        </xdr:cNvPr>
        <xdr:cNvSpPr txBox="1"/>
      </xdr:nvSpPr>
      <xdr:spPr>
        <a:xfrm>
          <a:off x="1676398" y="59467961"/>
          <a:ext cx="360046" cy="28236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fld id="{1C958C04-F33B-4772-95B2-7A759A45BFBF}" type="TxLink">
            <a:rPr lang="en-US" altLang="en-US" sz="1100" b="1" i="0" u="none" strike="noStrike">
              <a:solidFill>
                <a:srgbClr val="000000"/>
              </a:solidFill>
              <a:latin typeface="ＭＳ Ｐゴシック"/>
              <a:ea typeface="ＭＳ Ｐゴシック"/>
            </a:rPr>
            <a:pPr/>
            <a:t>98</a:t>
          </a:fld>
          <a:endParaRPr lang="en-GB" sz="1200"/>
        </a:p>
      </xdr:txBody>
    </xdr:sp>
    <xdr:clientData/>
  </xdr:twoCellAnchor>
  <xdr:twoCellAnchor>
    <xdr:from>
      <xdr:col>0</xdr:col>
      <xdr:colOff>1063413</xdr:colOff>
      <xdr:row>257</xdr:row>
      <xdr:rowOff>49741</xdr:rowOff>
    </xdr:from>
    <xdr:to>
      <xdr:col>0</xdr:col>
      <xdr:colOff>1422823</xdr:colOff>
      <xdr:row>258</xdr:row>
      <xdr:rowOff>164466</xdr:rowOff>
    </xdr:to>
    <xdr:sp macro="" textlink="$J$273">
      <xdr:nvSpPr>
        <xdr:cNvPr id="28" name="TextBox 1">
          <a:extLst>
            <a:ext uri="{FF2B5EF4-FFF2-40B4-BE49-F238E27FC236}">
              <a16:creationId xmlns:a16="http://schemas.microsoft.com/office/drawing/2014/main" id="{00000000-0008-0000-0300-00001C000000}"/>
            </a:ext>
          </a:extLst>
        </xdr:cNvPr>
        <xdr:cNvSpPr txBox="1"/>
      </xdr:nvSpPr>
      <xdr:spPr>
        <a:xfrm>
          <a:off x="1063413" y="61295491"/>
          <a:ext cx="359410" cy="2861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fld id="{3A18B0F2-0EAF-46B5-86DA-DBB86E63B032}" type="TxLink">
            <a:rPr lang="en-US" altLang="en-US" sz="1100" b="1" i="0" u="none" strike="noStrike">
              <a:solidFill>
                <a:srgbClr val="000000"/>
              </a:solidFill>
              <a:latin typeface="ＭＳ Ｐゴシック"/>
              <a:ea typeface="ＭＳ Ｐゴシック"/>
            </a:rPr>
            <a:pPr/>
            <a:t>25</a:t>
          </a:fld>
          <a:endParaRPr lang="en-GB" sz="1200"/>
        </a:p>
      </xdr:txBody>
    </xdr:sp>
    <xdr:clientData/>
  </xdr:twoCellAnchor>
  <xdr:twoCellAnchor>
    <xdr:from>
      <xdr:col>3</xdr:col>
      <xdr:colOff>132503</xdr:colOff>
      <xdr:row>18</xdr:row>
      <xdr:rowOff>21590</xdr:rowOff>
    </xdr:from>
    <xdr:to>
      <xdr:col>3</xdr:col>
      <xdr:colOff>589490</xdr:colOff>
      <xdr:row>19</xdr:row>
      <xdr:rowOff>134409</xdr:rowOff>
    </xdr:to>
    <xdr:sp macro="" textlink="$J$33">
      <xdr:nvSpPr>
        <xdr:cNvPr id="31" name="TextBox 18">
          <a:extLst>
            <a:ext uri="{FF2B5EF4-FFF2-40B4-BE49-F238E27FC236}">
              <a16:creationId xmlns:a16="http://schemas.microsoft.com/office/drawing/2014/main" id="{00000000-0008-0000-0300-00001F000000}"/>
            </a:ext>
          </a:extLst>
        </xdr:cNvPr>
        <xdr:cNvSpPr txBox="1"/>
      </xdr:nvSpPr>
      <xdr:spPr>
        <a:xfrm>
          <a:off x="3399578" y="3488690"/>
          <a:ext cx="456987" cy="284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85C088-C19A-41CB-A6AB-B366F7A2E405}" type="TxLink">
            <a:rPr lang="en-US" altLang="en-US" sz="1100" b="1" i="0" u="none" strike="noStrike">
              <a:solidFill>
                <a:srgbClr val="000000"/>
              </a:solidFill>
              <a:latin typeface="ＭＳ Ｐゴシック"/>
              <a:ea typeface="ＭＳ Ｐゴシック"/>
            </a:rPr>
            <a:pPr algn="ctr"/>
            <a:t>13</a:t>
          </a:fld>
          <a:endParaRPr lang="en-GB" sz="1200" b="1"/>
        </a:p>
      </xdr:txBody>
    </xdr:sp>
    <xdr:clientData/>
  </xdr:twoCellAnchor>
</xdr:wsDr>
</file>

<file path=xl/drawings/drawing5.xml><?xml version="1.0" encoding="utf-8"?>
<c:userShapes xmlns:c="http://schemas.openxmlformats.org/drawingml/2006/chart">
  <cdr:relSizeAnchor xmlns:cdr="http://schemas.openxmlformats.org/drawingml/2006/chartDrawing">
    <cdr:from>
      <cdr:x>0.15591</cdr:x>
      <cdr:y>0.00928</cdr:y>
    </cdr:from>
    <cdr:to>
      <cdr:x>0.25766</cdr:x>
      <cdr:y>0.08213</cdr:y>
    </cdr:to>
    <cdr:sp macro="" textlink="Analytics!$J$233">
      <cdr:nvSpPr>
        <cdr:cNvPr id="2" name="TextBox 1"/>
        <cdr:cNvSpPr txBox="1"/>
      </cdr:nvSpPr>
      <cdr:spPr>
        <a:xfrm xmlns:a="http://schemas.openxmlformats.org/drawingml/2006/main">
          <a:off x="822507" y="38100"/>
          <a:ext cx="536791" cy="2990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D0DFBF5-DBF0-43AF-9C59-FCEFD1DD590E}" type="TxLink">
            <a:rPr lang="en-US" sz="1200" b="1" i="0" u="none" strike="noStrike">
              <a:solidFill>
                <a:srgbClr val="000000"/>
              </a:solidFill>
              <a:latin typeface="Calibri"/>
            </a:rPr>
            <a:pPr/>
            <a:t>94</a:t>
          </a:fld>
          <a:endParaRPr lang="en-GB" sz="1200"/>
        </a:p>
      </cdr:txBody>
    </cdr:sp>
  </cdr:relSizeAnchor>
  <cdr:relSizeAnchor xmlns:cdr="http://schemas.openxmlformats.org/drawingml/2006/chartDrawing">
    <cdr:from>
      <cdr:x>0.31673</cdr:x>
      <cdr:y>0.5471</cdr:y>
    </cdr:from>
    <cdr:to>
      <cdr:x>0.40512</cdr:x>
      <cdr:y>0.61994</cdr:y>
    </cdr:to>
    <cdr:sp macro="" textlink="Analytics!$J$234">
      <cdr:nvSpPr>
        <cdr:cNvPr id="3" name="TextBox 1"/>
        <cdr:cNvSpPr txBox="1"/>
      </cdr:nvSpPr>
      <cdr:spPr>
        <a:xfrm xmlns:a="http://schemas.openxmlformats.org/drawingml/2006/main">
          <a:off x="1729309" y="2305065"/>
          <a:ext cx="482608" cy="3068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5FCC9DF-AD90-4F75-B663-50BA291C57CD}" type="TxLink">
            <a:rPr lang="en-US" sz="1100" b="1" i="0" u="none" strike="noStrike">
              <a:solidFill>
                <a:srgbClr val="000000"/>
              </a:solidFill>
              <a:latin typeface="Calibri"/>
            </a:rPr>
            <a:pPr/>
            <a:t>25</a:t>
          </a:fld>
          <a:endParaRPr lang="en-GB" sz="1200"/>
        </a:p>
      </cdr:txBody>
    </cdr:sp>
  </cdr:relSizeAnchor>
  <cdr:relSizeAnchor xmlns:cdr="http://schemas.openxmlformats.org/drawingml/2006/chartDrawing">
    <cdr:from>
      <cdr:x>0.48466</cdr:x>
      <cdr:y>0.46833</cdr:y>
    </cdr:from>
    <cdr:to>
      <cdr:x>0.57015</cdr:x>
      <cdr:y>0.54118</cdr:y>
    </cdr:to>
    <cdr:sp macro="" textlink="Analytics!$J$235">
      <cdr:nvSpPr>
        <cdr:cNvPr id="4" name="TextBox 1"/>
        <cdr:cNvSpPr txBox="1"/>
      </cdr:nvSpPr>
      <cdr:spPr>
        <a:xfrm xmlns:a="http://schemas.openxmlformats.org/drawingml/2006/main">
          <a:off x="2556863" y="1922225"/>
          <a:ext cx="451009" cy="2990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C3F4047-A211-496C-A729-9E047E76CA5B}" type="TxLink">
            <a:rPr lang="en-US" sz="1100" b="1" i="0" u="none" strike="noStrike">
              <a:solidFill>
                <a:srgbClr val="000000"/>
              </a:solidFill>
              <a:latin typeface="Calibri"/>
            </a:rPr>
            <a:pPr/>
            <a:t>35</a:t>
          </a:fld>
          <a:endParaRPr lang="en-GB" sz="12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4.unfccc.int/sites/submissions/INDC/Published%20Documents/Central%20African%20Republic/1/CPDN_R%C3%A9publique%20Centrafricaine_EN.pdf" TargetMode="External"/><Relationship Id="rId299" Type="http://schemas.openxmlformats.org/officeDocument/2006/relationships/hyperlink" Target="https://unfccc.int/sites/default/files/NDC/2022-06/Tonga%27s%20Second%20NDC.pdf" TargetMode="External"/><Relationship Id="rId303" Type="http://schemas.openxmlformats.org/officeDocument/2006/relationships/hyperlink" Target="https://unfccc.int/sites/default/files/NDC/2022-06/TANZANIA_NDC_SUBMISSION_30%20JULY%202021.pdf" TargetMode="External"/><Relationship Id="rId21" Type="http://schemas.openxmlformats.org/officeDocument/2006/relationships/hyperlink" Target="https://www4.unfccc.int/sites/submissions/INDC/Published%20Documents/New%20Zealand/1/New%20Zealand%20INDC%202015.pdf" TargetMode="External"/><Relationship Id="rId42" Type="http://schemas.openxmlformats.org/officeDocument/2006/relationships/hyperlink" Target="https://www4.unfccc.int/sites/submissions/INDC/Published%20Documents/Burundi/1/Burundi_INDC-english%20version.pdf" TargetMode="External"/><Relationship Id="rId63" Type="http://schemas.openxmlformats.org/officeDocument/2006/relationships/hyperlink" Target="https://www4.unfccc.int/sites/submissions/INDC/Published%20Documents/Botswana/1/BOTSWANA.pdf" TargetMode="External"/><Relationship Id="rId84" Type="http://schemas.openxmlformats.org/officeDocument/2006/relationships/hyperlink" Target="https://www4.unfccc.int/sites/submissions/INDC/Published%20Documents/Jordan/1/Jordan%20INDCs%20Final.pdf" TargetMode="External"/><Relationship Id="rId138" Type="http://schemas.openxmlformats.org/officeDocument/2006/relationships/hyperlink" Target="https://www4.unfccc.int/sites/submissions/INDC/Published%20Documents/Democratic%20Republic%20of%20the%20Congo/1/CPDN%20-%20R%C3%A9p%20D%C3%A9m%20du%20Congo.pdf" TargetMode="External"/><Relationship Id="rId159" Type="http://schemas.openxmlformats.org/officeDocument/2006/relationships/hyperlink" Target="https://www4.unfccc.int/sites/submissions/INDC/Published%20Documents/Switzerland/1/15%2002%2027_INDC%20Contribution%20of%20Switzerland.pdf" TargetMode="External"/><Relationship Id="rId324" Type="http://schemas.openxmlformats.org/officeDocument/2006/relationships/hyperlink" Target="https://unfccc.int/sites/default/files/NDC/2022-06/Saint%20Lucia%20First%20NDC%20%28Updated%20submission%29.pdf" TargetMode="External"/><Relationship Id="rId345" Type="http://schemas.openxmlformats.org/officeDocument/2006/relationships/hyperlink" Target="https://unfccc.int/sites/default/files/NDC/2022-06/Maldives%20Nationally%20Determined%20Contribution%202020.pdf" TargetMode="External"/><Relationship Id="rId170" Type="http://schemas.openxmlformats.org/officeDocument/2006/relationships/hyperlink" Target="https://unfccc.int/sites/default/files/NDC/2022-06/NDC%20Angola.pdf" TargetMode="External"/><Relationship Id="rId191" Type="http://schemas.openxmlformats.org/officeDocument/2006/relationships/hyperlink" Target="https://unfccc.int/sites/default/files/NDC/2022-06/CDN%20ACTUALISEE%20DU%20TCHAD.pdf" TargetMode="External"/><Relationship Id="rId205" Type="http://schemas.openxmlformats.org/officeDocument/2006/relationships/hyperlink" Target="https://unfccc.int/sites/default/files/NDC/2022-06/Dominican%20Republic%20First%20NDC%20%28Updated%20Submission%29.pdf" TargetMode="External"/><Relationship Id="rId226" Type="http://schemas.openxmlformats.org/officeDocument/2006/relationships/hyperlink" Target="https://unfccc.int/sites/default/files/NDC/2022-06/EU_NDC_Submission_December%202020.pdf" TargetMode="External"/><Relationship Id="rId247" Type="http://schemas.openxmlformats.org/officeDocument/2006/relationships/hyperlink" Target="https://unfccc.int/sites/default/files/NDC/2022-06/CDN%20GUINEE%202021_REVISION_VF.pdf" TargetMode="External"/><Relationship Id="rId107" Type="http://schemas.openxmlformats.org/officeDocument/2006/relationships/hyperlink" Target="https://www4.unfccc.int/sites/submissions/INDC/Published%20Documents/Kyrgyzstan/1/Kyrgyzstan%20INDC%20_ENG_%20final.pdf" TargetMode="External"/><Relationship Id="rId268" Type="http://schemas.openxmlformats.org/officeDocument/2006/relationships/hyperlink" Target="https://unfccc.int/sites/default/files/NDC/2022-06/Monaco_NDC_2020.pdf" TargetMode="External"/><Relationship Id="rId289" Type="http://schemas.openxmlformats.org/officeDocument/2006/relationships/hyperlink" Target="https://unfccc.int/sites/default/files/NDC/2022-06/United%20States%20NDC%20April%2021%202021%20Final.pdf" TargetMode="External"/><Relationship Id="rId11" Type="http://schemas.openxmlformats.org/officeDocument/2006/relationships/hyperlink" Target="https://www4.unfccc.int/sites/submissions/INDC/Published%20Documents/Saint%20Kitts%20and%20Nevis/1/St.%20Kitts%20and%20Nevis%20INDC.pdf" TargetMode="External"/><Relationship Id="rId32" Type="http://schemas.openxmlformats.org/officeDocument/2006/relationships/hyperlink" Target="https://www4.unfccc.int/sites/submissions/INDC/Published%20Documents/Cook%20Islands/1/Cook%20Islands%20INDCsFINAL7Nov.pdf" TargetMode="External"/><Relationship Id="rId53" Type="http://schemas.openxmlformats.org/officeDocument/2006/relationships/hyperlink" Target="https://www4.unfccc.int/sites/submissions/INDC/Published%20Documents/Ecuador/1/Ecuador%20INDC%2001-10-2015%20-%20english%20unofficial%20translation.pdf" TargetMode="External"/><Relationship Id="rId74" Type="http://schemas.openxmlformats.org/officeDocument/2006/relationships/hyperlink" Target="https://www4.unfccc.int/sites/submissions/INDC/Published%20Documents/Gambia/1/The%20INDC%20OF%20THE%20GAMBIA.pdf" TargetMode="External"/><Relationship Id="rId128" Type="http://schemas.openxmlformats.org/officeDocument/2006/relationships/hyperlink" Target="https://www4.unfccc.int/sites/submissions/INDC/Published%20Documents/Indonesia/1/INDC_REPUBLIC%20OF%20INDONESIA.pdf" TargetMode="External"/><Relationship Id="rId149" Type="http://schemas.openxmlformats.org/officeDocument/2006/relationships/hyperlink" Target="https://www4.unfccc.int/sites/submissions/INDC/Published%20Documents/Serbia/1/Republic_of_Serbia.pdf" TargetMode="External"/><Relationship Id="rId314" Type="http://schemas.openxmlformats.org/officeDocument/2006/relationships/hyperlink" Target="https://unfccc.int/sites/default/files/NDC/2022-06/Singapore%27s%20Update%20of%201st%20NDC.pdf" TargetMode="External"/><Relationship Id="rId335" Type="http://schemas.openxmlformats.org/officeDocument/2006/relationships/hyperlink" Target="https://unfccc.int/sites/default/files/NDC/2022-06/Pakistan%20Updated%20NDC%202021.pdf" TargetMode="External"/><Relationship Id="rId5" Type="http://schemas.openxmlformats.org/officeDocument/2006/relationships/hyperlink" Target="https://www4.unfccc.int/sites/submissions/INDC/Published%20Documents/Sri%20Lanka/1/Resubmission%20of%20INDCs%20for%20Sri%20Lanka.xps" TargetMode="External"/><Relationship Id="rId95" Type="http://schemas.openxmlformats.org/officeDocument/2006/relationships/hyperlink" Target="https://www4.unfccc.int/sites/submissions/INDC/Published%20Documents/Haiti/1/CPDN_Republique%20d'Haiti.pdf" TargetMode="External"/><Relationship Id="rId160" Type="http://schemas.openxmlformats.org/officeDocument/2006/relationships/hyperlink" Target="https://www4.unfccc.int/sites/submissions/INDC/Published%20Documents/Burkina%20Faso/1/INDC%20BURKINA%20FASO%20280915.pdf" TargetMode="External"/><Relationship Id="rId181" Type="http://schemas.openxmlformats.org/officeDocument/2006/relationships/hyperlink" Target="https://unfccc.int/sites/default/files/NDC/2022-06/Belize%20Updated%20NDC.pdf" TargetMode="External"/><Relationship Id="rId216" Type="http://schemas.openxmlformats.org/officeDocument/2006/relationships/hyperlink" Target="https://unfccc.int/sites/default/files/NDC/2022-06/EU_NDC_Submission_December%202020.pdf" TargetMode="External"/><Relationship Id="rId237" Type="http://schemas.openxmlformats.org/officeDocument/2006/relationships/hyperlink" Target="https://unfccc.int/sites/default/files/NDC/2022-06/EU_NDC_Submission_December%202020.pdf" TargetMode="External"/><Relationship Id="rId258" Type="http://schemas.openxmlformats.org/officeDocument/2006/relationships/hyperlink" Target="https://unfccc.int/sites/default/files/NDC/2022-06/JAPAN_FIRST%20NDC%20%28UPDATED%20SUBMISSION%29.pdf" TargetMode="External"/><Relationship Id="rId279" Type="http://schemas.openxmlformats.org/officeDocument/2006/relationships/hyperlink" Target="https://unfccc.int/sites/default/files/NDC/2022-06/New%20Zealand%20NDC%20November%202021.pdf" TargetMode="External"/><Relationship Id="rId22" Type="http://schemas.openxmlformats.org/officeDocument/2006/relationships/hyperlink" Target="https://www4.unfccc.int/sites/submissions/INDC/Published%20Documents/Kuwait/1/Kuwait_INDCs_English_Version.pdf" TargetMode="External"/><Relationship Id="rId43" Type="http://schemas.openxmlformats.org/officeDocument/2006/relationships/hyperlink" Target="https://www4.unfccc.int/sites/submissions/INDC/Published%20Documents/Uganda/1/INDC%20Uganda%20final%20%2014%20October%20%202015,%20minor%20correction,28.10.15.pdf" TargetMode="External"/><Relationship Id="rId64" Type="http://schemas.openxmlformats.org/officeDocument/2006/relationships/hyperlink" Target="https://www4.unfccc.int/sites/submissions/INDC/Published%20Documents/Chad/1/INDC%20Chad_Official%20version_English.pdf" TargetMode="External"/><Relationship Id="rId118" Type="http://schemas.openxmlformats.org/officeDocument/2006/relationships/hyperlink" Target="https://www4.unfccc.int/sites/submissions/INDC/Published%20Documents/Senegal/1/CPDN%20-%20S%C3%A9n%C3%A9gal.pdf" TargetMode="External"/><Relationship Id="rId139" Type="http://schemas.openxmlformats.org/officeDocument/2006/relationships/hyperlink" Target="https://www4.unfccc.int/sites/submissions/INDC/Published%20Documents/Australia/1/Australias%20Intended%20Nationally%20Determined%20Contribution%20to%20a%20new%20Climate%20Change%20Agreement%20-%20August%202015.pdf" TargetMode="External"/><Relationship Id="rId290" Type="http://schemas.openxmlformats.org/officeDocument/2006/relationships/hyperlink" Target="https://unfccc.int/sites/default/files/NDC/2022-09/UK%20NDC%20ICTU%202022.pdf" TargetMode="External"/><Relationship Id="rId304" Type="http://schemas.openxmlformats.org/officeDocument/2006/relationships/hyperlink" Target="https://unfccc.int/sites/default/files/NDC/2022-06/NDC_TAJIKISTAN_RUSS.pdf" TargetMode="External"/><Relationship Id="rId325" Type="http://schemas.openxmlformats.org/officeDocument/2006/relationships/hyperlink" Target="https://unfccc.int/sites/default/files/NDC/2022-06/St.%20Kitts%20and%20Nevis%20Revised%20NDC_Updated.pdf" TargetMode="External"/><Relationship Id="rId346" Type="http://schemas.openxmlformats.org/officeDocument/2006/relationships/hyperlink" Target="https://unfccc.int/sites/default/files/NDC/2022-06/Malaysia%20NDC%20Updated%20Submission%20to%20UNFCCC%20July%202021%20final.pdf" TargetMode="External"/><Relationship Id="rId85" Type="http://schemas.openxmlformats.org/officeDocument/2006/relationships/hyperlink" Target="https://www4.unfccc.int/sites/submissions/INDC/Published%20Documents/Cabo%20Verde/1/Cabo_Verde_INDC_.pdf" TargetMode="External"/><Relationship Id="rId150" Type="http://schemas.openxmlformats.org/officeDocument/2006/relationships/hyperlink" Target="https://www4.unfccc.int/sites/submissions/INDC/Published%20Documents/Ethiopia/1/INDC-Ethiopia-100615.pdf" TargetMode="External"/><Relationship Id="rId171" Type="http://schemas.openxmlformats.org/officeDocument/2006/relationships/hyperlink" Target="https://unfccc.int/sites/default/files/NDC/2022-06/ATG%20-%20UNFCCC%20NDC%20-%202021-09-02%20-%20Final.pdf" TargetMode="External"/><Relationship Id="rId192" Type="http://schemas.openxmlformats.org/officeDocument/2006/relationships/hyperlink" Target="https://unfccc.int/sites/default/files/NDC/2022-06/CDN%20Revis%C3%A9e%20RCA.pdf" TargetMode="External"/><Relationship Id="rId206" Type="http://schemas.openxmlformats.org/officeDocument/2006/relationships/hyperlink" Target="https://unfccc.int/sites/default/files/NDC/2022-06/Primera%20NDC%20Ecuador.pdf" TargetMode="External"/><Relationship Id="rId227" Type="http://schemas.openxmlformats.org/officeDocument/2006/relationships/hyperlink" Target="https://unfccc.int/sites/default/files/NDC/2022-06/EU_NDC_Submission_December%202020.pdf" TargetMode="External"/><Relationship Id="rId248" Type="http://schemas.openxmlformats.org/officeDocument/2006/relationships/hyperlink" Target="https://unfccc.int/sites/default/files/NDC/2022-06/CDN%20Revisee%20Haiti%202022.pdf" TargetMode="External"/><Relationship Id="rId269" Type="http://schemas.openxmlformats.org/officeDocument/2006/relationships/hyperlink" Target="https://unfccc.int/sites/default/files/NDC/2022-06/NDC-Esp-30Dic.pdf" TargetMode="External"/><Relationship Id="rId12" Type="http://schemas.openxmlformats.org/officeDocument/2006/relationships/hyperlink" Target="https://www4.unfccc.int/sites/submissions/INDC/Published%20Documents/Tonga/1/Tonga%20INDC.pdf" TargetMode="External"/><Relationship Id="rId33" Type="http://schemas.openxmlformats.org/officeDocument/2006/relationships/hyperlink" Target="https://www4.unfccc.int/sites/submissions/INDC/Published%20Documents/Saint%20Lucia/1/Saint%20Lucia's%20INDC%2018th%20November%202015.pdf" TargetMode="External"/><Relationship Id="rId108" Type="http://schemas.openxmlformats.org/officeDocument/2006/relationships/hyperlink" Target="https://www4.unfccc.int/sites/submissions/INDC/Published%20Documents/Armenia/1/INDC-Armenia.pdf" TargetMode="External"/><Relationship Id="rId129" Type="http://schemas.openxmlformats.org/officeDocument/2006/relationships/hyperlink" Target="https://www4.unfccc.int/sites/submissions/INDC/Published%20Documents/Madagascar/1/Madagascar%20INDC%20Eng.pdf" TargetMode="External"/><Relationship Id="rId280" Type="http://schemas.openxmlformats.org/officeDocument/2006/relationships/hyperlink" Target="https://unfccc.int/sites/default/files/NDC/2022-06/Second%20Nationally%20Determined%20Contribution%20%28NDC%29%20-%202020.pdf" TargetMode="External"/><Relationship Id="rId315" Type="http://schemas.openxmlformats.org/officeDocument/2006/relationships/hyperlink" Target="https://unfccc.int/sites/default/files/NDC/2022-06/210804%202125%20SL%20NDC%20%281%29.pdf" TargetMode="External"/><Relationship Id="rId336" Type="http://schemas.openxmlformats.org/officeDocument/2006/relationships/hyperlink" Target="https://unfccc.int/sites/default/files/NDC/2022-06/Nauru%20Updated%20NDC%20pdf.pdf" TargetMode="External"/><Relationship Id="rId54" Type="http://schemas.openxmlformats.org/officeDocument/2006/relationships/hyperlink" Target="https://www4.unfccc.int/sites/submissions/INDC/Published%20Documents/Bolivia/1/INDC-Bolivia-english.pdf" TargetMode="External"/><Relationship Id="rId75" Type="http://schemas.openxmlformats.org/officeDocument/2006/relationships/hyperlink" Target="https://www4.unfccc.int/sites/submissions/INDC/Published%20Documents/Liberia/1/INDC%20Final%20Submission%20Sept%2030%202015.002.pdf" TargetMode="External"/><Relationship Id="rId96" Type="http://schemas.openxmlformats.org/officeDocument/2006/relationships/hyperlink" Target="https://www4.unfccc.int/sites/submissions/INDC/Published%20Documents/Sao%20Tome%20and%20Principe/1/Short_STP_INDC%20_Ingles_30.09.pdf" TargetMode="External"/><Relationship Id="rId140" Type="http://schemas.openxmlformats.org/officeDocument/2006/relationships/hyperlink" Target="https://www4.unfccc.int/sites/submissions/INDC/Published%20Documents/The%20former%20Yugoslav%20Republic%20of%20Macedonia/Submission_Republic_of_Macedonia_20150805144001_135181.pdf" TargetMode="External"/><Relationship Id="rId161" Type="http://schemas.openxmlformats.org/officeDocument/2006/relationships/hyperlink" Target="https://www4.unfccc.int/sites/submissions/INDC/Published%20Documents/Niger/1/Niger-INDC-final_Eng_20151020162516_65260.pdf" TargetMode="External"/><Relationship Id="rId182" Type="http://schemas.openxmlformats.org/officeDocument/2006/relationships/hyperlink" Target="https://unfccc.int/sites/default/files/NDC/2022-06/CDN_ACTUALISEE_BENIN2021.pdf" TargetMode="External"/><Relationship Id="rId217" Type="http://schemas.openxmlformats.org/officeDocument/2006/relationships/hyperlink" Target="https://unfccc.int/sites/default/files/NDC/2022-06/EU_NDC_Submission_December%202020.pdf" TargetMode="External"/><Relationship Id="rId6" Type="http://schemas.openxmlformats.org/officeDocument/2006/relationships/hyperlink" Target="https://www4.unfccc.int/sites/submissions/INDC/Published%20Documents/Panama/1/Panama_NDC.pdf" TargetMode="External"/><Relationship Id="rId238" Type="http://schemas.openxmlformats.org/officeDocument/2006/relationships/hyperlink" Target="https://unfccc.int/sites/default/files/NDC/2022-06/EU_NDC_Submission_December%202020.pdf" TargetMode="External"/><Relationship Id="rId259" Type="http://schemas.openxmlformats.org/officeDocument/2006/relationships/hyperlink" Target="https://unfccc.int/sites/default/files/NDC/2022-06/Updated%20NDC%20Jamaica%20-%20ICTU%20Guidance.pdf" TargetMode="External"/><Relationship Id="rId23" Type="http://schemas.openxmlformats.org/officeDocument/2006/relationships/hyperlink" Target="https://www4.unfccc.int/sites/submissions/INDC/Published%20Documents/Bahrain/1/INDC_Kingdom_of_Bahrain.pdf" TargetMode="External"/><Relationship Id="rId119" Type="http://schemas.openxmlformats.org/officeDocument/2006/relationships/hyperlink" Target="https://www4.unfccc.int/sites/submissions/INDC/Published%20Documents/Kiribati/1/INDC_KIRIBATI.pdf" TargetMode="External"/><Relationship Id="rId270" Type="http://schemas.openxmlformats.org/officeDocument/2006/relationships/hyperlink" Target="https://unfccc.int/sites/default/files/NDC/2022-06/Final%20Updated%20NDC%20for%20the%20Republic%20of%20Mauritius%2001%20October%202021.docx" TargetMode="External"/><Relationship Id="rId291" Type="http://schemas.openxmlformats.org/officeDocument/2006/relationships/hyperlink" Target="https://unfccc.int/sites/default/files/NDC/2022-09/UpdateNDC-EN-2022.pdf" TargetMode="External"/><Relationship Id="rId305" Type="http://schemas.openxmlformats.org/officeDocument/2006/relationships/hyperlink" Target="https://unfccc.int/sites/default/files/NDC/2022-06/First%20NDC_Syrian%20Arab%20Republic.pdf" TargetMode="External"/><Relationship Id="rId326" Type="http://schemas.openxmlformats.org/officeDocument/2006/relationships/hyperlink" Target="https://unfccc.int/sites/default/files/NDC/2022-06/Rwanda_Updated_NDC_May_2020.pdf" TargetMode="External"/><Relationship Id="rId347" Type="http://schemas.openxmlformats.org/officeDocument/2006/relationships/hyperlink" Target="https://unfccc.int/sites/default/files/NDC/2022-06/Macedonian%20enhanced%20NDC%20%28002%29.pdf" TargetMode="External"/><Relationship Id="rId44" Type="http://schemas.openxmlformats.org/officeDocument/2006/relationships/hyperlink" Target="https://www4.unfccc.int/sites/submissions/INDC/Published%20Documents/Djibouti/1/INDC-Djibouti_ENG.pdf" TargetMode="External"/><Relationship Id="rId65" Type="http://schemas.openxmlformats.org/officeDocument/2006/relationships/hyperlink" Target="https://www4.unfccc.int/sites/submissions/INDC/Published%20Documents/Sierra%20Leone/1/Sierra%20Leone%20INDC%20Submission%20to%20UNFCCC%20Secretariat%20%2001102015.doc" TargetMode="External"/><Relationship Id="rId86" Type="http://schemas.openxmlformats.org/officeDocument/2006/relationships/hyperlink" Target="https://www4.unfccc.int/sites/submissions/INDC/Published%20Documents/Grenada/1/Grenada%20INDC.pdf" TargetMode="External"/><Relationship Id="rId130" Type="http://schemas.openxmlformats.org/officeDocument/2006/relationships/hyperlink" Target="https://www4.unfccc.int/sites/submissions/INDC/Published%20Documents/Albania/1/Albania_INDC_submission%20(1).pdf" TargetMode="External"/><Relationship Id="rId151" Type="http://schemas.openxmlformats.org/officeDocument/2006/relationships/hyperlink" Target="https://www4.unfccc.int/sites/submissions/INDC/Published%20Documents/Morocco/1/Morocco%20INDC%20submitted%20to%20UNFCCC%20-%205%20june%202015.pdf" TargetMode="External"/><Relationship Id="rId172" Type="http://schemas.openxmlformats.org/officeDocument/2006/relationships/hyperlink" Target="https://unfccc.int/sites/default/files/NDC/2022-05/Actualizacio%CC%81n%20meta%20de%20emisiones%202030.pdf" TargetMode="External"/><Relationship Id="rId193" Type="http://schemas.openxmlformats.org/officeDocument/2006/relationships/hyperlink" Target="https://unfccc.int/sites/default/files/NDC/2022-06/Cabo%20Verde_NDC%20Update%202021.pdf" TargetMode="External"/><Relationship Id="rId207" Type="http://schemas.openxmlformats.org/officeDocument/2006/relationships/hyperlink" Target="https://unfccc.int/sites/default/files/NDC/2022-06/NRC%20Eritrea.pdf" TargetMode="External"/><Relationship Id="rId228" Type="http://schemas.openxmlformats.org/officeDocument/2006/relationships/hyperlink" Target="https://unfccc.int/sites/default/files/NDC/2022-06/EU_NDC_Submission_December%202020.pdf" TargetMode="External"/><Relationship Id="rId249" Type="http://schemas.openxmlformats.org/officeDocument/2006/relationships/hyperlink" Target="https://unfccc.int/sites/default/files/NDC/2022-06/NDC%20de%20Honduras_%20Primera%20Actualizaci%C3%B3n.pdf" TargetMode="External"/><Relationship Id="rId13" Type="http://schemas.openxmlformats.org/officeDocument/2006/relationships/hyperlink" Target="https://www4.unfccc.int/sites/submissions/INDC/Published%20Documents/Rwanda/1/INDC_Rwanda_Nov.2015.pdf" TargetMode="External"/><Relationship Id="rId109" Type="http://schemas.openxmlformats.org/officeDocument/2006/relationships/hyperlink" Target="https://www4.unfccc.int/sites/submissions/INDC/Published%20Documents/Mali/1/CPDN_MALI_VFsegal.pdf" TargetMode="External"/><Relationship Id="rId260" Type="http://schemas.openxmlformats.org/officeDocument/2006/relationships/hyperlink" Target="https://unfccc.int/sites/default/files/NDC/2022-06/INDC%20Kz_eng.pdf" TargetMode="External"/><Relationship Id="rId281" Type="http://schemas.openxmlformats.org/officeDocument/2006/relationships/hyperlink" Target="https://unfccc.int/sites/default/files/NDC/2022-06/Eswatini%27s%20Revised%20NDC%2012%20Oct%202021.docx" TargetMode="External"/><Relationship Id="rId316" Type="http://schemas.openxmlformats.org/officeDocument/2006/relationships/hyperlink" Target="https://unfccc.int/sites/default/files/NDC/2022-06/Seychelles%20-%20NDC_Jul30th%202021%20_Final.pdf" TargetMode="External"/><Relationship Id="rId337" Type="http://schemas.openxmlformats.org/officeDocument/2006/relationships/hyperlink" Target="https://unfccc.int/sites/default/files/NDC/2022-06/Namibia%27s%20Updated%20NDC_%20FINAL%2025%20July%202021.pdf" TargetMode="External"/><Relationship Id="rId34" Type="http://schemas.openxmlformats.org/officeDocument/2006/relationships/hyperlink" Target="https://www4.unfccc.int/sites/submissions/INDC/Published%20Documents/Saint%20Vincent%20and%20Grenadines/1/SVG_INDC_Final.pdf" TargetMode="External"/><Relationship Id="rId55" Type="http://schemas.openxmlformats.org/officeDocument/2006/relationships/hyperlink" Target="https://www4.unfccc.int/sites/submissions/INDC/Published%20Documents/Bosnia-Herzegovina/1/INDC%20Bosnia%20and%20Herzegovina.pdf" TargetMode="External"/><Relationship Id="rId76" Type="http://schemas.openxmlformats.org/officeDocument/2006/relationships/hyperlink" Target="https://www4.unfccc.int/sites/submissions/INDC/Published%20Documents/Tajikistan/1/INDC-TJK%20final%20ENG.pdf" TargetMode="External"/><Relationship Id="rId97" Type="http://schemas.openxmlformats.org/officeDocument/2006/relationships/hyperlink" Target="https://www4.unfccc.int/sites/submissions/INDC/Published%20Documents/Guatemala/1/Gobierno%20de%20Guatemala%20INDC-UNFCCC%20Sept%202015.pdf" TargetMode="External"/><Relationship Id="rId120" Type="http://schemas.openxmlformats.org/officeDocument/2006/relationships/hyperlink" Target="https://www4.unfccc.int/sites/submissions/INDC/Published%20Documents/Republic%20of%20Moldova/1/INDC_Republic_of_Moldova_25.09.2015.pdf" TargetMode="External"/><Relationship Id="rId141" Type="http://schemas.openxmlformats.org/officeDocument/2006/relationships/hyperlink" Target="https://www4.unfccc.int/sites/submissions/INDC/Published%20Documents/Monaco/1/Monaco_INDC.pdf" TargetMode="External"/><Relationship Id="rId7" Type="http://schemas.openxmlformats.org/officeDocument/2006/relationships/hyperlink" Target="https://www4.unfccc.int/sites/submissions/INDC/Published%20Documents/Nepal/1/Nepal_INDC_08Feb_2016.pdf" TargetMode="External"/><Relationship Id="rId162" Type="http://schemas.openxmlformats.org/officeDocument/2006/relationships/hyperlink" Target="https://www4.unfccc.int/sites/submissions/INDC/Published%20Documents/Sudan/1/28Oct15-Sudan%20INDC.pdf" TargetMode="External"/><Relationship Id="rId183" Type="http://schemas.openxmlformats.org/officeDocument/2006/relationships/hyperlink" Target="https://unfccc.int/sites/default/files/NDC/2022-06/Updated%20-%20First%20NDC%20-%20%20FINAL%20-%20PDF.pdf" TargetMode="External"/><Relationship Id="rId218" Type="http://schemas.openxmlformats.org/officeDocument/2006/relationships/hyperlink" Target="https://unfccc.int/sites/default/files/NDC/2022-06/EU_NDC_Submission_December%202020.pdf" TargetMode="External"/><Relationship Id="rId239" Type="http://schemas.openxmlformats.org/officeDocument/2006/relationships/hyperlink" Target="https://unfccc.int/sites/default/files/NDC/2022-06/EU_NDC_Submission_December%202020.pdf" TargetMode="External"/><Relationship Id="rId250" Type="http://schemas.openxmlformats.org/officeDocument/2006/relationships/hyperlink" Target="https://unfccc.int/sites/default/files/NDC/2022-06/Iceland_updated_NDC_Submission_Feb_2021.pdf" TargetMode="External"/><Relationship Id="rId271" Type="http://schemas.openxmlformats.org/officeDocument/2006/relationships/hyperlink" Target="https://unfccc.int/sites/default/files/NDC/2022-06/CDN-actualis%C3%A9%202021_%20Mauritania.pdf" TargetMode="External"/><Relationship Id="rId292" Type="http://schemas.openxmlformats.org/officeDocument/2006/relationships/hyperlink" Target="https://unfccc.int/sites/default/files/NDC/2022-06/Ukraine%20NDC_July%2031.pdf" TargetMode="External"/><Relationship Id="rId306" Type="http://schemas.openxmlformats.org/officeDocument/2006/relationships/hyperlink" Target="https://unfccc.int/sites/default/files/NDC/2022-06/Swiss%20NDC%202021-2030%20incl%20ICTU_December%202021.pdf" TargetMode="External"/><Relationship Id="rId24" Type="http://schemas.openxmlformats.org/officeDocument/2006/relationships/hyperlink" Target="https://www4.unfccc.int/sites/submissions/INDC/Published%20Documents/Micronesia/1/INDC%20Federated%20States%20of%20MICRONESIA.pdf" TargetMode="External"/><Relationship Id="rId45" Type="http://schemas.openxmlformats.org/officeDocument/2006/relationships/hyperlink" Target="https://www4.unfccc.int/sites/submissions/INDC/Published%20Documents/Suriname/1/INDC-2-Suriname%20300915.pdf" TargetMode="External"/><Relationship Id="rId66" Type="http://schemas.openxmlformats.org/officeDocument/2006/relationships/hyperlink" Target="https://www4.unfccc.int/sites/submissions/INDC/Published%20Documents/Honduras/1/Honduras%20INDC_esp.pdf" TargetMode="External"/><Relationship Id="rId87" Type="http://schemas.openxmlformats.org/officeDocument/2006/relationships/hyperlink" Target="https://www4.unfccc.int/sites/submissions/INDC/Published%20Documents/Barbados/1/Barbados%20INDC%20FINAL%20September%20%2028,%202015.pdf" TargetMode="External"/><Relationship Id="rId110" Type="http://schemas.openxmlformats.org/officeDocument/2006/relationships/hyperlink" Target="https://www4.unfccc.int/sites/submissions/INDC/Published%20Documents/Vanuatu/1/VANUATU%20%20INDC%20UNFCCC%20Submission.pdf" TargetMode="External"/><Relationship Id="rId131" Type="http://schemas.openxmlformats.org/officeDocument/2006/relationships/hyperlink" Target="https://www4.unfccc.int/sites/submissions/INDC/Published%20Documents/Ghana/1/GH_INDC_2392015.pdf" TargetMode="External"/><Relationship Id="rId327" Type="http://schemas.openxmlformats.org/officeDocument/2006/relationships/hyperlink" Target="https://unfccc.int/sites/default/files/NDC/2022-06/NDC_RF_ru.pdf" TargetMode="External"/><Relationship Id="rId348" Type="http://schemas.openxmlformats.org/officeDocument/2006/relationships/hyperlink" Target="https://unfccc.int/sites/default/files/NDC/2022-06/Lebanon%27s%202020%20Nationally%20Determined%20Contribution%20Update.pdf" TargetMode="External"/><Relationship Id="rId152" Type="http://schemas.openxmlformats.org/officeDocument/2006/relationships/hyperlink" Target="https://www4.unfccc.int/sites/submissions/INDC/Published%20Documents/Canada/1/INDC%20-%20Canada%20-%20English.pdf" TargetMode="External"/><Relationship Id="rId173" Type="http://schemas.openxmlformats.org/officeDocument/2006/relationships/hyperlink" Target="https://unfccc.int/sites/default/files/NDC/2022-06/NDC%20of%20Republic%20of%20Armenia%20%202021-2030.pdf" TargetMode="External"/><Relationship Id="rId194" Type="http://schemas.openxmlformats.org/officeDocument/2006/relationships/hyperlink" Target="https://unfccc.int/sites/default/files/NDC/2022-06/%E4%B8%AD%E5%9B%BD%E8%90%BD%E5%AE%9E%E5%9B%BD%E5%AE%B6%E8%87%AA%E4%B8%BB%E8%B4%A1%E7%8C%AE%E6%88%90%E6%95%88%E5%92%8C%E6%96%B0%E7%9B%AE%E6%A0%87%E6%96%B0%E4%B8%BE%E6%8E%AA.pdf" TargetMode="External"/><Relationship Id="rId208" Type="http://schemas.openxmlformats.org/officeDocument/2006/relationships/hyperlink" Target="https://unfccc.int/sites/default/files/NDC/2022-06/Rep%C3%BAblica%20de%20Guinea%20Ecuatorial_INDC.pdf" TargetMode="External"/><Relationship Id="rId229" Type="http://schemas.openxmlformats.org/officeDocument/2006/relationships/hyperlink" Target="https://unfccc.int/sites/default/files/NDC/2022-06/EU_NDC_Submission_December%202020.pdf" TargetMode="External"/><Relationship Id="rId240" Type="http://schemas.openxmlformats.org/officeDocument/2006/relationships/hyperlink" Target="https://unfccc.int/sites/default/files/NDC/2022-06/NDC%20Georgia_ENG%20WEB-approved.pdf" TargetMode="External"/><Relationship Id="rId261" Type="http://schemas.openxmlformats.org/officeDocument/2006/relationships/hyperlink" Target="https://unfccc.int/sites/default/files/NDC/2022-06/Malawi%20Updated%20NDC%20July%202021%20submitted.pdf" TargetMode="External"/><Relationship Id="rId14" Type="http://schemas.openxmlformats.org/officeDocument/2006/relationships/hyperlink" Target="https://www4.unfccc.int/sites/submissions/INDC/Published%20Documents/Brunei/1/Brunei%20Darussalam%20INDC_FINAL_30%20November%202015.pdf" TargetMode="External"/><Relationship Id="rId35" Type="http://schemas.openxmlformats.org/officeDocument/2006/relationships/hyperlink" Target="https://www4.unfccc.int/sites/submissions/INDC/Published%20Documents/Bahamas/1/Bahamas%20INDC%20Submission.pdf" TargetMode="External"/><Relationship Id="rId56" Type="http://schemas.openxmlformats.org/officeDocument/2006/relationships/hyperlink" Target="https://www4.unfccc.int/sites/submissions/INDC/Published%20Documents/Malawi/1/MALAWI%20INDC%20SUBMITTED%20TO%20UNFCCC%20REV%20pdf.pdf" TargetMode="External"/><Relationship Id="rId77" Type="http://schemas.openxmlformats.org/officeDocument/2006/relationships/hyperlink" Target="https://www4.unfccc.int/sites/submissions/INDC/Published%20Documents/Lesotho/1/Lesotho's%20INDC%20Report%20%20-%20September%202015.pdf" TargetMode="External"/><Relationship Id="rId100" Type="http://schemas.openxmlformats.org/officeDocument/2006/relationships/hyperlink" Target="https://www4.unfccc.int/sites/submissions/INDC/Published%20Documents/Congo/1/INDC_Congo_RAPPORT.pdf" TargetMode="External"/><Relationship Id="rId282" Type="http://schemas.openxmlformats.org/officeDocument/2006/relationships/hyperlink" Target="https://unfccc.int/sites/default/files/NDC/2022-06/Zimbabwe%20Revised%20Nationally%20Determined%20Contribution%202021%20Final.pdf" TargetMode="External"/><Relationship Id="rId317" Type="http://schemas.openxmlformats.org/officeDocument/2006/relationships/hyperlink" Target="https://unfccc.int/sites/default/files/NDC/2022-08/NDC%20Final_Serbia%20english.pdf" TargetMode="External"/><Relationship Id="rId338" Type="http://schemas.openxmlformats.org/officeDocument/2006/relationships/hyperlink" Target="https://unfccc.int/sites/default/files/NDC/2022-06/Myanmar%20Updated%20%20NDC%20July%202021.pdf" TargetMode="External"/><Relationship Id="rId8" Type="http://schemas.openxmlformats.org/officeDocument/2006/relationships/hyperlink" Target="https://www4.unfccc.int/sites/submissions/INDC/Published%20Documents/Malaysia/1/INDC%20Malaysia%20Final%2027%20November%202015%20Revised%20Final%20UNFCCC.pdf" TargetMode="External"/><Relationship Id="rId98" Type="http://schemas.openxmlformats.org/officeDocument/2006/relationships/hyperlink" Target="https://www4.unfccc.int/sites/submissions/INDC/Published%20Documents/Israel/1/Israel%20INDC.pdf" TargetMode="External"/><Relationship Id="rId121" Type="http://schemas.openxmlformats.org/officeDocument/2006/relationships/hyperlink" Target="https://www4.unfccc.int/sites/submissions/INDC/Published%20Documents/South%20Africa/1/South%20Africa.pdf" TargetMode="External"/><Relationship Id="rId142" Type="http://schemas.openxmlformats.org/officeDocument/2006/relationships/hyperlink" Target="https://www4.unfccc.int/sites/submissions/INDC/Published%20Documents/Kenya/1/Kenya_INDC_20150723.pdf" TargetMode="External"/><Relationship Id="rId163" Type="http://schemas.openxmlformats.org/officeDocument/2006/relationships/hyperlink" Target="https://unfccc.int/sites/default/files/NDC/2022-06/NDC%20BiH_November%202020%20FINAL%20DRAFT%2005%20Nov%20ENG%20LR.pdf" TargetMode="External"/><Relationship Id="rId184" Type="http://schemas.openxmlformats.org/officeDocument/2006/relationships/hyperlink" Target="https://unfccc.int/sites/default/files/NDC/2022-06/BOTSWANA.pdf" TargetMode="External"/><Relationship Id="rId219" Type="http://schemas.openxmlformats.org/officeDocument/2006/relationships/hyperlink" Target="https://unfccc.int/sites/default/files/NDC/2022-06/EU_NDC_Submission_December%202020.pdf" TargetMode="External"/><Relationship Id="rId230" Type="http://schemas.openxmlformats.org/officeDocument/2006/relationships/hyperlink" Target="https://unfccc.int/sites/default/files/NDC/2022-06/EU_NDC_Submission_December%202020.pdf" TargetMode="External"/><Relationship Id="rId251" Type="http://schemas.openxmlformats.org/officeDocument/2006/relationships/hyperlink" Target="https://unfccc.int/sites/default/files/NDC/2022-08/India%20Updated%20First%20Nationally%20Determined%20Contrib.pdf" TargetMode="External"/><Relationship Id="rId25" Type="http://schemas.openxmlformats.org/officeDocument/2006/relationships/hyperlink" Target="https://www4.unfccc.int/sites/submissions/INDC/Published%20Documents/Yemen/1/Yemen%20INDC%2021%20Nov.%202015.pdf" TargetMode="External"/><Relationship Id="rId46" Type="http://schemas.openxmlformats.org/officeDocument/2006/relationships/hyperlink" Target="https://www4.unfccc.int/sites/submissions/INDC/Published%20Documents/United%20Arab%20Emirates/1/UAE%20INDC%20-%2022%20October.pdf" TargetMode="External"/><Relationship Id="rId67" Type="http://schemas.openxmlformats.org/officeDocument/2006/relationships/hyperlink" Target="https://www4.unfccc.int/sites/submissions/INDC/Published%20Documents/Thailand/1/Thailand_INDC.pdf" TargetMode="External"/><Relationship Id="rId272" Type="http://schemas.openxmlformats.org/officeDocument/2006/relationships/hyperlink" Target="https://unfccc.int/sites/default/files/NDC/2022-06/RMI%20NDC-UpdateUPDATED_01.20.2021.pdf" TargetMode="External"/><Relationship Id="rId293" Type="http://schemas.openxmlformats.org/officeDocument/2006/relationships/hyperlink" Target="https://unfccc.int/sites/default/files/NDC/2022-09/Updated%20NDC%20_Uganda_2022%20Final.pdf" TargetMode="External"/><Relationship Id="rId307" Type="http://schemas.openxmlformats.org/officeDocument/2006/relationships/hyperlink" Target="https://unfccc.int/sites/default/files/NDC/2022-06/Suriname%20Second%20NDC.pdf" TargetMode="External"/><Relationship Id="rId328" Type="http://schemas.openxmlformats.org/officeDocument/2006/relationships/hyperlink" Target="https://unfccc.int/sites/default/files/NDC/2022-06/Qatar%20NDC%20-%20Arabic.pdf" TargetMode="External"/><Relationship Id="rId349" Type="http://schemas.openxmlformats.org/officeDocument/2006/relationships/hyperlink" Target="https://unfccc.int/sites/default/files/NDC/2022-09/ENDC%20Indonesia.pdf" TargetMode="External"/><Relationship Id="rId88" Type="http://schemas.openxmlformats.org/officeDocument/2006/relationships/hyperlink" Target="https://www4.unfccc.int/sites/submissions/INDC/Published%20Documents/Viet%20Nam/1/VIETNAM'S%20INDC.pdf" TargetMode="External"/><Relationship Id="rId111" Type="http://schemas.openxmlformats.org/officeDocument/2006/relationships/hyperlink" Target="https://www4.unfccc.int/sites/submissions/INDC/Published%20Documents/Peru/1/iNDC%20Per%C3%BA%20english.pdf" TargetMode="External"/><Relationship Id="rId132" Type="http://schemas.openxmlformats.org/officeDocument/2006/relationships/hyperlink" Target="https://www4.unfccc.int/sites/submissions/INDC/Published%20Documents/Montenegro/1/INDCSubmission_%20Montenegro.docx" TargetMode="External"/><Relationship Id="rId153" Type="http://schemas.openxmlformats.org/officeDocument/2006/relationships/hyperlink" Target="https://www4.unfccc.int/sites/submissions/INDC/Published%20Documents/Andorra/1/Andorra%20INDC-CPDN.pdf" TargetMode="External"/><Relationship Id="rId174" Type="http://schemas.openxmlformats.org/officeDocument/2006/relationships/hyperlink" Target="https://unfccc.int/sites/default/files/NDC/2022-06/Australias%20NDC%20June%202022%20Update%20%283%29.pdf" TargetMode="External"/><Relationship Id="rId195" Type="http://schemas.openxmlformats.org/officeDocument/2006/relationships/hyperlink" Target="https://unfccc.int/sites/default/files/NDC/2022-06/NDC%20actualizada%20de%20Colombia.pdf" TargetMode="External"/><Relationship Id="rId209" Type="http://schemas.openxmlformats.org/officeDocument/2006/relationships/hyperlink" Target="https://unfccc.int/sites/default/files/NDC/2022-06/El%20Salvador%20NDC-%20Updated%20Dic.2021.pdf" TargetMode="External"/><Relationship Id="rId190" Type="http://schemas.openxmlformats.org/officeDocument/2006/relationships/hyperlink" Target="https://unfccc.int/sites/default/files/NDC/2022-06/Canada%27s%20Enhanced%20NDC%20Submission1_FINAL%20EN.pdf" TargetMode="External"/><Relationship Id="rId204" Type="http://schemas.openxmlformats.org/officeDocument/2006/relationships/hyperlink" Target="https://unfccc.int/sites/default/files/2022-07/The%20Commonwealth%20of%20Dominica%20updated%20NDC%20July%204%20%2C.pdf" TargetMode="External"/><Relationship Id="rId220" Type="http://schemas.openxmlformats.org/officeDocument/2006/relationships/hyperlink" Target="https://unfccc.int/sites/default/files/NDC/2022-06/EU_NDC_Submission_December%202020.pdf" TargetMode="External"/><Relationship Id="rId225" Type="http://schemas.openxmlformats.org/officeDocument/2006/relationships/hyperlink" Target="https://unfccc.int/sites/default/files/NDC/2022-06/EU_NDC_Submission_December%202020.pdf" TargetMode="External"/><Relationship Id="rId241" Type="http://schemas.openxmlformats.org/officeDocument/2006/relationships/hyperlink" Target="https://unfccc.int/sites/default/files/NDC/2022-06/Second%20NDC%20of%20The%20Republic%20of%20The%20Gambia-16-12-2021.pdf" TargetMode="External"/><Relationship Id="rId246" Type="http://schemas.openxmlformats.org/officeDocument/2006/relationships/hyperlink" Target="https://unfccc.int/sites/default/files/2022-06/NDC%20-%20Guatemala%202021.pdf" TargetMode="External"/><Relationship Id="rId267" Type="http://schemas.openxmlformats.org/officeDocument/2006/relationships/hyperlink" Target="https://unfccc.int/sites/default/files/NDC/2022-06/%D0%9E%D0%9D%D0%A3%D0%92%20%D0%A0%D0%A3%D0%A1%20%D0%BE%D1%82%2008102021.pdf" TargetMode="External"/><Relationship Id="rId288" Type="http://schemas.openxmlformats.org/officeDocument/2006/relationships/hyperlink" Target="https://unfccc.int/sites/default/files/NDC/2022-06/Uruguay_Primera%20Contribuci%C3%B3n%20Determinada%20a%20nivel%20Nacional.pdf" TargetMode="External"/><Relationship Id="rId15" Type="http://schemas.openxmlformats.org/officeDocument/2006/relationships/hyperlink" Target="https://www4.unfccc.int/sites/submissions/INDC/Published%20Documents/Angola/1/INDC%20Angola%20deposito.pdf" TargetMode="External"/><Relationship Id="rId36" Type="http://schemas.openxmlformats.org/officeDocument/2006/relationships/hyperlink" Target="https://www4.unfccc.int/sites/submissions/INDC/Published%20Documents/Somalia/1/Somalia's%20INDCs.pdf" TargetMode="External"/><Relationship Id="rId57" Type="http://schemas.openxmlformats.org/officeDocument/2006/relationships/hyperlink" Target="https://www4.unfccc.int/sites/submissions/INDC/Published%20Documents/Argentina/1/Argentina%20INDC%20Non-Official%20Translation.pdf" TargetMode="External"/><Relationship Id="rId106" Type="http://schemas.openxmlformats.org/officeDocument/2006/relationships/hyperlink" Target="https://www4.unfccc.int/sites/submissions/INDC/Published%20Documents/Uruguay/1/INDC%20Uruguay%20(English-unofficial%20translation).pdf" TargetMode="External"/><Relationship Id="rId127" Type="http://schemas.openxmlformats.org/officeDocument/2006/relationships/hyperlink" Target="https://www4.unfccc.int/sites/submissions/INDC/Published%20Documents/Mongolia/1/150924_INDCs%20of%20Mongolia.pdf" TargetMode="External"/><Relationship Id="rId262" Type="http://schemas.openxmlformats.org/officeDocument/2006/relationships/hyperlink" Target="https://unfccc.int/sites/default/files/NDC/2022-06/Madagascar%20INDC.pdf" TargetMode="External"/><Relationship Id="rId283" Type="http://schemas.openxmlformats.org/officeDocument/2006/relationships/hyperlink" Target="https://unfccc.int/sites/default/files/NDC/2022-06/Final%20Zambia_Revised%20and%20Updated_NDC_2021_.pdf" TargetMode="External"/><Relationship Id="rId313" Type="http://schemas.openxmlformats.org/officeDocument/2006/relationships/hyperlink" Target="https://unfccc.int/sites/default/files/NDC/2022-06/NDC%20Report%202021%20Final%20Solomon%20Islands%20%281%29.pdf" TargetMode="External"/><Relationship Id="rId318" Type="http://schemas.openxmlformats.org/officeDocument/2006/relationships/hyperlink" Target="https://unfccc.int/sites/default/files/NDC/2022-06/CDNSenegal%20approuv%C3%A9e-pdf-.pdf" TargetMode="External"/><Relationship Id="rId339" Type="http://schemas.openxmlformats.org/officeDocument/2006/relationships/hyperlink" Target="https://unfccc.int/sites/default/files/NDC/2022-06/NDC_EN_Final.pdf" TargetMode="External"/><Relationship Id="rId10" Type="http://schemas.openxmlformats.org/officeDocument/2006/relationships/hyperlink" Target="https://www4.unfccc.int/sites/submissions/INDC/Published%20Documents/Venezuela/1/Venezuela%20Diciembre%202015%20(final).pdf" TargetMode="External"/><Relationship Id="rId31" Type="http://schemas.openxmlformats.org/officeDocument/2006/relationships/hyperlink" Target="https://www4.unfccc.int/sites/submissions/INDC/Published%20Documents/Qatar/1/Qatar%20INDCs%20Report%20-English.pdf" TargetMode="External"/><Relationship Id="rId52" Type="http://schemas.openxmlformats.org/officeDocument/2006/relationships/hyperlink" Target="https://www4.unfccc.int/sites/submissions/INDC/Published%20Documents/Afghanistan/1/INDC_AFG_Paper_En_20150927_.docx%20FINAL.pdf" TargetMode="External"/><Relationship Id="rId73" Type="http://schemas.openxmlformats.org/officeDocument/2006/relationships/hyperlink" Target="https://www4.unfccc.int/sites/submissions/INDC/Published%20Documents/Papua%20New%20Guinea/1/PNG_INDC%20to%20the%20UNFCCC.pdf" TargetMode="External"/><Relationship Id="rId78" Type="http://schemas.openxmlformats.org/officeDocument/2006/relationships/hyperlink" Target="https://www4.unfccc.int/sites/submissions/INDC/Published%20Documents/Cambodia/1/Cambodia's%20INDC%20to%20the%20UNFCCC.pdf" TargetMode="External"/><Relationship Id="rId94" Type="http://schemas.openxmlformats.org/officeDocument/2006/relationships/hyperlink" Target="https://www4.unfccc.int/sites/submissions/INDC/Published%20Documents/Ukraine/1/150930_Ukraine_INDC.pdf" TargetMode="External"/><Relationship Id="rId99" Type="http://schemas.openxmlformats.org/officeDocument/2006/relationships/hyperlink" Target="https://www4.unfccc.int/sites/submissions/INDC/Published%20Documents/Dominica/1/Commonwealth%20of%20Dominica-%20Intended%20Nationally%20Determined%20Contributions%20(INDC).pdf" TargetMode="External"/><Relationship Id="rId101" Type="http://schemas.openxmlformats.org/officeDocument/2006/relationships/hyperlink" Target="https://www4.unfccc.int/sites/submissions/INDC/Published%20Documents/Azerbaijan/1/INDC%20Azerbaijan.pdf" TargetMode="External"/><Relationship Id="rId122" Type="http://schemas.openxmlformats.org/officeDocument/2006/relationships/hyperlink" Target="https://www4.unfccc.int/sites/submissions/INDC/Published%20Documents/Belarus/1/Belarus_INDC_Eng_25.09.2015.pdf" TargetMode="External"/><Relationship Id="rId143" Type="http://schemas.openxmlformats.org/officeDocument/2006/relationships/hyperlink" Target="https://www4.unfccc.int/sites/submissions/INDC/Published%20Documents/Marshall%20Islands/1/150721%20RMI%20INDC%20JULY%202015%20FINAL%20SUBMITTED.pdf" TargetMode="External"/><Relationship Id="rId148" Type="http://schemas.openxmlformats.org/officeDocument/2006/relationships/hyperlink" Target="https://www4.unfccc.int/sites/submissions/INDC/Published%20Documents/Iceland/1/INDC-ICELAND.pdf" TargetMode="External"/><Relationship Id="rId164" Type="http://schemas.openxmlformats.org/officeDocument/2006/relationships/hyperlink" Target="https://unfccc.int/sites/default/files/NDC/2022-06/CND%20Bolivia%202021-2030.pdf" TargetMode="External"/><Relationship Id="rId169" Type="http://schemas.openxmlformats.org/officeDocument/2006/relationships/hyperlink" Target="https://unfccc.int/sites/default/files/NDC/2022-06/20200514-%20Actualitzaci%C3%B3%20NDC.pdf" TargetMode="External"/><Relationship Id="rId185" Type="http://schemas.openxmlformats.org/officeDocument/2006/relationships/hyperlink" Target="https://unfccc.int/sites/default/files/NDC/2022-06/Brunei%20Darussalam%27s%20NDC%202020.pdf" TargetMode="External"/><Relationship Id="rId334" Type="http://schemas.openxmlformats.org/officeDocument/2006/relationships/hyperlink" Target="https://unfccc.int/sites/default/files/NDC/2022-06/Palau_INDC.Final%20Copy.pdf" TargetMode="External"/><Relationship Id="rId350" Type="http://schemas.openxmlformats.org/officeDocument/2006/relationships/hyperlink" Target="https://unfccc.int/sites/default/files/NDC/2022-06/Updated%20NDC_%20State%20of%20Palestine_2021_FINAL.pdf" TargetMode="External"/><Relationship Id="rId355" Type="http://schemas.openxmlformats.org/officeDocument/2006/relationships/comments" Target="../comments1.xml"/><Relationship Id="rId4" Type="http://schemas.openxmlformats.org/officeDocument/2006/relationships/hyperlink" Target="https://www4.unfccc.int/sites/submissions/INDC/Published%20Documents/Democratic%20People's%20Republic%20of%20Korea/1/DPRK-INDC%20by%202030.pdf" TargetMode="External"/><Relationship Id="rId9" Type="http://schemas.openxmlformats.org/officeDocument/2006/relationships/hyperlink" Target="https://www4.unfccc.int/sites/submissions/INDC/Published%20Documents/Chile/1/INDC%20Chile%20english%20version.pdf" TargetMode="External"/><Relationship Id="rId180" Type="http://schemas.openxmlformats.org/officeDocument/2006/relationships/hyperlink" Target="https://unfccc.int/sites/default/files/NDC/2022-06/Belarus_NDC_Russian.pdf" TargetMode="External"/><Relationship Id="rId210" Type="http://schemas.openxmlformats.org/officeDocument/2006/relationships/hyperlink" Target="https://unfccc.int/sites/default/files/NDC/2022-07/Egypt%20Updated%20NDC.pdf.pdf" TargetMode="External"/><Relationship Id="rId215" Type="http://schemas.openxmlformats.org/officeDocument/2006/relationships/hyperlink" Target="https://unfccc.int/sites/default/files/NDC/2022-06/EU_NDC_Submission_December%202020.pdf" TargetMode="External"/><Relationship Id="rId236" Type="http://schemas.openxmlformats.org/officeDocument/2006/relationships/hyperlink" Target="https://unfccc.int/sites/default/files/NDC/2022-06/EU_NDC_Submission_December%202020.pdf" TargetMode="External"/><Relationship Id="rId257" Type="http://schemas.openxmlformats.org/officeDocument/2006/relationships/hyperlink" Target="https://unfccc.int/sites/default/files/NDC/2022-06/UPDATED%20SUBMISSION%20OF%20JORDANS.pdf" TargetMode="External"/><Relationship Id="rId278" Type="http://schemas.openxmlformats.org/officeDocument/2006/relationships/hyperlink" Target="https://unfccc.int/sites/default/files/NDC/2022-06/Contribuciones_Nacionales_Determinadas_Nicaragua.pdf" TargetMode="External"/><Relationship Id="rId26" Type="http://schemas.openxmlformats.org/officeDocument/2006/relationships/hyperlink" Target="https://www4.unfccc.int/sites/submissions/INDC/Published%20Documents/Cuba/1/Republic%20of%20Cuba-INDCs-Nov2015.pdf" TargetMode="External"/><Relationship Id="rId231" Type="http://schemas.openxmlformats.org/officeDocument/2006/relationships/hyperlink" Target="https://unfccc.int/sites/default/files/NDC/2022-06/EU_NDC_Submission_December%202020.pdf" TargetMode="External"/><Relationship Id="rId252" Type="http://schemas.openxmlformats.org/officeDocument/2006/relationships/hyperlink" Target="https://unfccc.int/sites/default/files/NDC/2022-06/Iraq%20NDC%20Document.docx" TargetMode="External"/><Relationship Id="rId273" Type="http://schemas.openxmlformats.org/officeDocument/2006/relationships/hyperlink" Target="https://unfccc.int/sites/default/files/NDC/2022-06/NDC_File%20Amended%20_11222.pdf" TargetMode="External"/><Relationship Id="rId294" Type="http://schemas.openxmlformats.org/officeDocument/2006/relationships/hyperlink" Target="https://unfccc.int/sites/default/files/NDC/2022-06/TUVALU%20INDC.pdf" TargetMode="External"/><Relationship Id="rId308" Type="http://schemas.openxmlformats.org/officeDocument/2006/relationships/hyperlink" Target="https://unfccc.int/sites/default/files/NDC/2022-10/Sudan%20Updated%20First%20NDC-12102021.pdf" TargetMode="External"/><Relationship Id="rId329" Type="http://schemas.openxmlformats.org/officeDocument/2006/relationships/hyperlink" Target="https://unfccc.int/sites/default/files/NDC/2022-06/Philippines%20-%20NDC.pdf" TargetMode="External"/><Relationship Id="rId47" Type="http://schemas.openxmlformats.org/officeDocument/2006/relationships/hyperlink" Target="https://www4.unfccc.int/sites/submissions/INDC/Published%20Documents/Togo/1/INDC%20Togo_english%20version.pdf" TargetMode="External"/><Relationship Id="rId68" Type="http://schemas.openxmlformats.org/officeDocument/2006/relationships/hyperlink" Target="https://www4.unfccc.int/sites/submissions/INDC/Published%20Documents/Laos/1/Lao%20PDR%20INDC.pdf" TargetMode="External"/><Relationship Id="rId89" Type="http://schemas.openxmlformats.org/officeDocument/2006/relationships/hyperlink" Target="https://www4.unfccc.int/sites/submissions/INDC/Published%20Documents/Mauritania/1/INDC%20MAURITANIA.pdf" TargetMode="External"/><Relationship Id="rId112" Type="http://schemas.openxmlformats.org/officeDocument/2006/relationships/hyperlink" Target="https://www4.unfccc.int/sites/submissions/INDC/Published%20Documents/Kazakhstan/1/INDC%20Kz_eng.pdf" TargetMode="External"/><Relationship Id="rId133" Type="http://schemas.openxmlformats.org/officeDocument/2006/relationships/hyperlink" Target="https://www4.unfccc.int/sites/submissions/INDC/Published%20Documents/Equatorial%20Guinea/1/Rep%C3%BAblica%20de%20Guinea%20Ecuatorial_INDC.doc" TargetMode="External"/><Relationship Id="rId154" Type="http://schemas.openxmlformats.org/officeDocument/2006/relationships/hyperlink" Target="https://www4.unfccc.int/sites/submissions/INDC/Published%20Documents/Liechtenstein/1/150422_INDC_FL.pdf" TargetMode="External"/><Relationship Id="rId175" Type="http://schemas.openxmlformats.org/officeDocument/2006/relationships/hyperlink" Target="https://unfccc.int/sites/default/files/NDC/2022-06/INDC%20Azerbaijan.pdf" TargetMode="External"/><Relationship Id="rId340" Type="http://schemas.openxmlformats.org/officeDocument/2006/relationships/hyperlink" Target="https://unfccc.int/sites/default/files/NDC/2022-06/Moroccan%20updated%20NDC%202021%20_Fr.pdf" TargetMode="External"/><Relationship Id="rId196" Type="http://schemas.openxmlformats.org/officeDocument/2006/relationships/hyperlink" Target="https://unfccc.int/sites/default/files/NDC/2022-06/Chile%27s_NDC_2020_english.pdf" TargetMode="External"/><Relationship Id="rId200" Type="http://schemas.openxmlformats.org/officeDocument/2006/relationships/hyperlink" Target="https://unfccc.int/sites/default/files/NDC/2022-06/Contribucio%CC%81n%20Nacionalmente%20Determinada%20de%20Costa%20Rica%202020%20-%20Versio%CC%81n%20Completa.pdf" TargetMode="External"/><Relationship Id="rId16" Type="http://schemas.openxmlformats.org/officeDocument/2006/relationships/hyperlink" Target="https://www4.unfccc.int/sites/submissions/INDC/Published%20Documents/Palau/1/Palau_INDC.Final%20Copy.pdf" TargetMode="External"/><Relationship Id="rId221" Type="http://schemas.openxmlformats.org/officeDocument/2006/relationships/hyperlink" Target="https://unfccc.int/sites/default/files/NDC/2022-06/EU_NDC_Submission_December%202020.pdf" TargetMode="External"/><Relationship Id="rId242" Type="http://schemas.openxmlformats.org/officeDocument/2006/relationships/hyperlink" Target="https://unfccc.int/sites/default/files/NDC/2022-07/20220706_Gabon_Updated%20NDC.pdf" TargetMode="External"/><Relationship Id="rId263" Type="http://schemas.openxmlformats.org/officeDocument/2006/relationships/hyperlink" Target="https://unfccc.int/sites/default/files/NDC/2022-06/150422_INDC_FL.pdf" TargetMode="External"/><Relationship Id="rId284" Type="http://schemas.openxmlformats.org/officeDocument/2006/relationships/hyperlink" Target="https://unfccc.int/sites/default/files/NDC/2022-06/Viet%20Nam_NDC_2020_Eng.pdf" TargetMode="External"/><Relationship Id="rId319" Type="http://schemas.openxmlformats.org/officeDocument/2006/relationships/hyperlink" Target="https://unfccc.int/sites/default/files/resource/202203111154---KSA%20NDC%202021.pdf" TargetMode="External"/><Relationship Id="rId37" Type="http://schemas.openxmlformats.org/officeDocument/2006/relationships/hyperlink" Target="https://www4.unfccc.int/sites/submissions/INDC/Published%20Documents/Nauru/1/Nauru%20INDC%20Submission_Final.pdf" TargetMode="External"/><Relationship Id="rId58" Type="http://schemas.openxmlformats.org/officeDocument/2006/relationships/hyperlink" Target="https://www4.unfccc.int/sites/submissions/INDC/Published%20Documents/Mozambique/1/MOZ_INDC_Final_Version.pdf" TargetMode="External"/><Relationship Id="rId79" Type="http://schemas.openxmlformats.org/officeDocument/2006/relationships/hyperlink" Target="https://www4.unfccc.int/sites/submissions/INDC/Published%20Documents/Bhutan/1/Bhutan-INDC-20150930.pdf" TargetMode="External"/><Relationship Id="rId102" Type="http://schemas.openxmlformats.org/officeDocument/2006/relationships/hyperlink" Target="https://www4.unfccc.int/sites/submissions/INDC/Published%20Documents/United%20Republic%20of%20Tanzania%E2%80%8B/1/INDCs_The%20United%20Republic%20of%20Tanzania.pdf" TargetMode="External"/><Relationship Id="rId123" Type="http://schemas.openxmlformats.org/officeDocument/2006/relationships/hyperlink" Target="https://www4.unfccc.int/sites/submissions/INDC/Published%20Documents/Georgia/1/INDC_of_Georgia.pdf" TargetMode="External"/><Relationship Id="rId144" Type="http://schemas.openxmlformats.org/officeDocument/2006/relationships/hyperlink" Target="https://www4.unfccc.int/sites/submissions/INDC/Published%20Documents/Japan/1/20150717_Japan's%20INDC.pdf" TargetMode="External"/><Relationship Id="rId330" Type="http://schemas.openxmlformats.org/officeDocument/2006/relationships/hyperlink" Target="https://unfccc.int/sites/default/files/NDC/2022-06/Reporte%20de%20Actualizacio%CC%81n%20de%20las%20NDC%20del%20Peru%CC%81.pdf" TargetMode="External"/><Relationship Id="rId90" Type="http://schemas.openxmlformats.org/officeDocument/2006/relationships/hyperlink" Target="https://www4.unfccc.int/sites/submissions/INDC/Published%20Documents/Guinea%20Bissau/1/GUINEA-BISSAU_INDC_Version%20to%20the%20UNFCCC%20(eng).pdf" TargetMode="External"/><Relationship Id="rId165" Type="http://schemas.openxmlformats.org/officeDocument/2006/relationships/hyperlink" Target="https://unfccc.int/sites/default/files/NDC/2022-06/Second%20NDC%20Bhutan.pdf" TargetMode="External"/><Relationship Id="rId186" Type="http://schemas.openxmlformats.org/officeDocument/2006/relationships/hyperlink" Target="https://unfccc.int/sites/default/files/NDC/2022-06/Rapport%20CDN_BKFA.pdf" TargetMode="External"/><Relationship Id="rId351" Type="http://schemas.openxmlformats.org/officeDocument/2006/relationships/hyperlink" Target="https://unfccc.int/sites/default/files/NDC/2022-10/Updated_NDC_of_the_Federated_States_of_Micronesia.pdf" TargetMode="External"/><Relationship Id="rId211" Type="http://schemas.openxmlformats.org/officeDocument/2006/relationships/hyperlink" Target="https://unfccc.int/sites/default/files/NDC/2022-06/Ethiopia%27s%20updated%20NDC%20JULY%202021%20Submission_.pdf" TargetMode="External"/><Relationship Id="rId232" Type="http://schemas.openxmlformats.org/officeDocument/2006/relationships/hyperlink" Target="https://unfccc.int/sites/default/files/NDC/2022-06/EU_NDC_Submission_December%202020.pdf" TargetMode="External"/><Relationship Id="rId253" Type="http://schemas.openxmlformats.org/officeDocument/2006/relationships/hyperlink" Target="https://unfccc.int/sites/default/files/NDC/2022-06/NDC%20update%20as%20submitted%20to%20the%20UNFCCC.docx" TargetMode="External"/><Relationship Id="rId274" Type="http://schemas.openxmlformats.org/officeDocument/2006/relationships/hyperlink" Target="https://unfccc.int/sites/default/files/NDC/2022-06/Niue%20INDC%20Final.pdf" TargetMode="External"/><Relationship Id="rId295" Type="http://schemas.openxmlformats.org/officeDocument/2006/relationships/hyperlink" Target="https://unfccc.int/sites/default/files/NDC/2022-06/INDC_Turkmenistan.pdf" TargetMode="External"/><Relationship Id="rId309" Type="http://schemas.openxmlformats.org/officeDocument/2006/relationships/hyperlink" Target="https://unfccc.int/sites/default/files/NDC/2022-06/Amendmend%20to%20the%20Updated%20Nationally%20Determined%20Contributions%20of%20Sri%20Lanka.pdf" TargetMode="External"/><Relationship Id="rId27" Type="http://schemas.openxmlformats.org/officeDocument/2006/relationships/hyperlink" Target="https://www4.unfccc.int/sites/submissions/INDC/Published%20Documents/Samoa/1/Samoa%20INDC_Submission%20to%20UNFCCC.pdf" TargetMode="External"/><Relationship Id="rId48" Type="http://schemas.openxmlformats.org/officeDocument/2006/relationships/hyperlink" Target="https://www4.unfccc.int/sites/submissions/INDC/Published%20Documents/Trinidad%20and%20Tobago/1/Trinidad%20and%20Tobago%20Final%20INDC.pdf" TargetMode="External"/><Relationship Id="rId69" Type="http://schemas.openxmlformats.org/officeDocument/2006/relationships/hyperlink" Target="https://www4.unfccc.int/sites/submissions/INDC/Published%20Documents/Philippines/1/Philippines%20-%20Final%20INDC%20submission.pdf" TargetMode="External"/><Relationship Id="rId113" Type="http://schemas.openxmlformats.org/officeDocument/2006/relationships/hyperlink" Target="https://www4.unfccc.int/sites/submissions/INDC/Published%20Documents/Maldives/1/Maldives%20INDC%20.pdf" TargetMode="External"/><Relationship Id="rId134" Type="http://schemas.openxmlformats.org/officeDocument/2006/relationships/hyperlink" Target="https://www4.unfccc.int/sites/submissions/INDC/Published%20Documents/Comoros/1/INDC_Comores_Version_Francaise.pdf" TargetMode="External"/><Relationship Id="rId320" Type="http://schemas.openxmlformats.org/officeDocument/2006/relationships/hyperlink" Target="https://unfccc.int/sites/default/files/NDC/2022-06/Updated_NDC_STP_2021_EN_.pdf" TargetMode="External"/><Relationship Id="rId80" Type="http://schemas.openxmlformats.org/officeDocument/2006/relationships/hyperlink" Target="https://www4.unfccc.int/sites/submissions/INDC/Published%20Documents/Costa%20Rica/1/INDC%20Costa%20Rica%20Version%202%200%20final%20ENG.pdf" TargetMode="External"/><Relationship Id="rId155" Type="http://schemas.openxmlformats.org/officeDocument/2006/relationships/hyperlink" Target="https://www4.unfccc.int/sites/submissions/INDC/Published%20Documents/Fiji/1/FIJI_iNDC_Final_051115.pdf" TargetMode="External"/><Relationship Id="rId176" Type="http://schemas.openxmlformats.org/officeDocument/2006/relationships/hyperlink" Target="https://unfccc.int/sites/default/files/NDC/2022-06/Bahamas_COP-22%20UNFCCC.pdf" TargetMode="External"/><Relationship Id="rId197" Type="http://schemas.openxmlformats.org/officeDocument/2006/relationships/hyperlink" Target="https://unfccc.int/sites/default/files/NDC/2022-06/CDN_r%C3%A9vis%C3%A9e_Comores_vf.pdf" TargetMode="External"/><Relationship Id="rId341" Type="http://schemas.openxmlformats.org/officeDocument/2006/relationships/hyperlink" Target="https://unfccc.int/sites/default/files/NDC/2022-06/Updated%20NDC%20for%20Montenegro.pdf" TargetMode="External"/><Relationship Id="rId201" Type="http://schemas.openxmlformats.org/officeDocument/2006/relationships/hyperlink" Target="https://unfccc.int/sites/default/files/NDC/2022-06/CDN_CIV_2022.pdf" TargetMode="External"/><Relationship Id="rId222" Type="http://schemas.openxmlformats.org/officeDocument/2006/relationships/hyperlink" Target="https://unfccc.int/sites/default/files/NDC/2022-06/EU_NDC_Submission_December%202020.pdf" TargetMode="External"/><Relationship Id="rId243" Type="http://schemas.openxmlformats.org/officeDocument/2006/relationships/hyperlink" Target="https://unfccc.int/sites/default/files/NDC/2022-06/Republic%20of%20Fiji%27s%20Updated%20NDC%2020201.pdf" TargetMode="External"/><Relationship Id="rId264" Type="http://schemas.openxmlformats.org/officeDocument/2006/relationships/hyperlink" Target="https://unfccc.int/sites/default/files/NDC/2022-06/Lesotho%20First%20NDC.pdf" TargetMode="External"/><Relationship Id="rId285" Type="http://schemas.openxmlformats.org/officeDocument/2006/relationships/hyperlink" Target="https://unfccc.int/sites/default/files/NDC/2022-06/Actualizacion%20NDC%20Venezuela.pdf" TargetMode="External"/><Relationship Id="rId17" Type="http://schemas.openxmlformats.org/officeDocument/2006/relationships/hyperlink" Target="https://www4.unfccc.int/sites/submissions/INDC/Published%20Documents/Nigeria/1/Approved%20Nigeria's%20INDC_271115.pdf" TargetMode="External"/><Relationship Id="rId38" Type="http://schemas.openxmlformats.org/officeDocument/2006/relationships/hyperlink" Target="https://www4.unfccc.int/sites/submissions/INDC/Published%20Documents/El%20Salvador/1/EL%20SALVADOR-INTENDED%20NATIONALLY%20DETERMINED%20CONTRIBUTION.pdf" TargetMode="External"/><Relationship Id="rId59" Type="http://schemas.openxmlformats.org/officeDocument/2006/relationships/hyperlink" Target="https://www4.unfccc.int/sites/submissions/INDC/Published%20Documents/India/1/INDIA%20INDC%20TO%20UNFCCC.pdf" TargetMode="External"/><Relationship Id="rId103" Type="http://schemas.openxmlformats.org/officeDocument/2006/relationships/hyperlink" Target="https://www4.unfccc.int/sites/submissions/INDC/Published%20Documents/Swaziland/1/Swaziland's%20INDC.pdf" TargetMode="External"/><Relationship Id="rId124" Type="http://schemas.openxmlformats.org/officeDocument/2006/relationships/hyperlink" Target="https://www4.unfccc.int/sites/submissions/INDC/Published%20Documents/Seychelles/1/INDC%20of%20Seychelles.pdf" TargetMode="External"/><Relationship Id="rId310" Type="http://schemas.openxmlformats.org/officeDocument/2006/relationships/hyperlink" Target="https://unfccc.int/sites/default/files/NDC/2022-06/South%20Sudan%27s%20Second%20Nationally%20Determined%20Contribution.pdf" TargetMode="External"/><Relationship Id="rId70" Type="http://schemas.openxmlformats.org/officeDocument/2006/relationships/hyperlink" Target="https://www4.unfccc.int/sites/submissions/INDC/Published%20Documents/Cameroon/1/CPDN%20CMR%20Final.pdf" TargetMode="External"/><Relationship Id="rId91" Type="http://schemas.openxmlformats.org/officeDocument/2006/relationships/hyperlink" Target="https://www4.unfccc.int/sites/submissions/INDC/Published%20Documents/C%C3%B4te%20d'Ivoire/1/Document_INDC_CI_22092015.pdf" TargetMode="External"/><Relationship Id="rId145" Type="http://schemas.openxmlformats.org/officeDocument/2006/relationships/hyperlink" Target="https://www4.unfccc.int/sites/submissions/INDC/Published%20Documents/Singapore/1/Singapore%20INDC.pdf" TargetMode="External"/><Relationship Id="rId166" Type="http://schemas.openxmlformats.org/officeDocument/2006/relationships/hyperlink" Target="https://unfccc.int/sites/default/files/NDC/2022-06/INDC_AFG_20150927_FINAL.pdf" TargetMode="External"/><Relationship Id="rId187" Type="http://schemas.openxmlformats.org/officeDocument/2006/relationships/hyperlink" Target="https://unfccc.int/sites/default/files/NDC/2022-06/CDN%20%20%20Burundi%20ANNEXE%201.pdf" TargetMode="External"/><Relationship Id="rId331" Type="http://schemas.openxmlformats.org/officeDocument/2006/relationships/hyperlink" Target="https://unfccc.int/sites/default/files/NDC/2022-06/Actualizaci%C3%B3n-NDC%20VF%20PAG.%20WEB_MADES%20Mayo%202022.pdf" TargetMode="External"/><Relationship Id="rId352" Type="http://schemas.openxmlformats.org/officeDocument/2006/relationships/printerSettings" Target="../printerSettings/printerSettings2.bin"/><Relationship Id="rId1" Type="http://schemas.openxmlformats.org/officeDocument/2006/relationships/hyperlink" Target="https://www4.unfccc.int/sites/submissions/INDC/Published%20Documents/Uzbekistan/1/INDC%20Uzbekistan%2018-04-2017_Eng_20170419093154_171926.pdf" TargetMode="External"/><Relationship Id="rId212" Type="http://schemas.openxmlformats.org/officeDocument/2006/relationships/hyperlink" Target="https://unfccc.int/sites/default/files/NDC/2022-06/EU_NDC_Submission_December%202020.pdf" TargetMode="External"/><Relationship Id="rId233" Type="http://schemas.openxmlformats.org/officeDocument/2006/relationships/hyperlink" Target="https://unfccc.int/sites/default/files/NDC/2022-06/EU_NDC_Submission_December%202020.pdf" TargetMode="External"/><Relationship Id="rId254" Type="http://schemas.openxmlformats.org/officeDocument/2006/relationships/hyperlink" Target="https://unfccc.int/sites/default/files/NDC/2022-06/Kenya%27s%20First%20%20NDC%20%28updated%20version%29.pdf" TargetMode="External"/><Relationship Id="rId28" Type="http://schemas.openxmlformats.org/officeDocument/2006/relationships/hyperlink" Target="https://www4.unfccc.int/sites/submissions/INDC/Published%20Documents/South%20Sudan/1/South%20Sudan%20Intended%20Nationally%20Determined%20%20%20%20Contribution.pdf" TargetMode="External"/><Relationship Id="rId49" Type="http://schemas.openxmlformats.org/officeDocument/2006/relationships/hyperlink" Target="https://www4.unfccc.int/sites/submissions/INDC/Published%20Documents/Guinea/1/INDC_Guinea_english_version%20UNFCCC_20151016170448_232956.docx" TargetMode="External"/><Relationship Id="rId114" Type="http://schemas.openxmlformats.org/officeDocument/2006/relationships/hyperlink" Target="https://www4.unfccc.int/sites/submissions/INDC/Published%20Documents/Myanmar/1/Myanmar's%20INDC.pdf" TargetMode="External"/><Relationship Id="rId275" Type="http://schemas.openxmlformats.org/officeDocument/2006/relationships/hyperlink" Target="https://unfccc.int/sites/default/files/NDC/2022-06/Norway_updatedNDC_2020%20%28Updated%20submission%29.pdf" TargetMode="External"/><Relationship Id="rId296" Type="http://schemas.openxmlformats.org/officeDocument/2006/relationships/hyperlink" Target="https://unfccc.int/sites/default/files/NDC/2022-06/The_INDC_of_TURKEY_v.15.19.30.pdf" TargetMode="External"/><Relationship Id="rId300" Type="http://schemas.openxmlformats.org/officeDocument/2006/relationships/hyperlink" Target="https://unfccc.int/sites/default/files/NDC/2022-06/CDN%20Revis%C3%A9es_Togo_Document%20int%C3%A9rimaire_rv_11%2010%2021.pdf" TargetMode="External"/><Relationship Id="rId60" Type="http://schemas.openxmlformats.org/officeDocument/2006/relationships/hyperlink" Target="https://www4.unfccc.int/sites/submissions/INDC/Published%20Documents/Belize/1/Belize%20INDCS.pdf" TargetMode="External"/><Relationship Id="rId81" Type="http://schemas.openxmlformats.org/officeDocument/2006/relationships/hyperlink" Target="https://www4.unfccc.int/sites/submissions/INDC/Published%20Documents/Zimbabwe/1/Zimbabwe%20Intended%20Nationally%20Determined%20Contribution%202015.pdf" TargetMode="External"/><Relationship Id="rId135" Type="http://schemas.openxmlformats.org/officeDocument/2006/relationships/hyperlink" Target="https://www4.unfccc.int/sites/submissions/INDC/Published%20Documents/Tunisia/1/INDC-Tunisia-English%20Version.pdf" TargetMode="External"/><Relationship Id="rId156" Type="http://schemas.openxmlformats.org/officeDocument/2006/relationships/hyperlink" Target="https://www4.unfccc.int/sites/submissions/INDC/Published%20Documents/United%20States%20of%20America/1/U.S.%20Cover%20Note%20INDC%20and%20Accompanying%20Information.pdf" TargetMode="External"/><Relationship Id="rId177" Type="http://schemas.openxmlformats.org/officeDocument/2006/relationships/hyperlink" Target="https://unfccc.int/sites/default/files/NDC/2022-06/NDC%20of%20the%20Kingdom%20of%20Bahrain%20under%20UNFCCC.pdf" TargetMode="External"/><Relationship Id="rId198" Type="http://schemas.openxmlformats.org/officeDocument/2006/relationships/hyperlink" Target="https://unfccc.int/sites/default/files/NDC/2022-06/CDN%20Revis%C3%A9e%20de%20la%20RDC.pdf" TargetMode="External"/><Relationship Id="rId321" Type="http://schemas.openxmlformats.org/officeDocument/2006/relationships/hyperlink" Target="https://unfccc.int/sites/default/files/NDC/2022-06/SAN%20MARINO%20INDC%20EN.pdf" TargetMode="External"/><Relationship Id="rId342" Type="http://schemas.openxmlformats.org/officeDocument/2006/relationships/hyperlink" Target="https://unfccc.int/sites/default/files/NDC/2022-06/First%20Submission%20of%20Mongolia%27s%20NDC.pdf" TargetMode="External"/><Relationship Id="rId202" Type="http://schemas.openxmlformats.org/officeDocument/2006/relationships/hyperlink" Target="https://unfccc.int/sites/default/files/NDC/2022-06/Cuban%20First%20NDC%20%28Updated%20submission%29.pdf" TargetMode="External"/><Relationship Id="rId223" Type="http://schemas.openxmlformats.org/officeDocument/2006/relationships/hyperlink" Target="https://unfccc.int/sites/default/files/NDC/2022-06/EU_NDC_Submission_December%202020.pdf" TargetMode="External"/><Relationship Id="rId244" Type="http://schemas.openxmlformats.org/officeDocument/2006/relationships/hyperlink" Target="https://unfccc.int/sites/default/files/NDC/2022-06/Ghana%27s%20Updated%20Nationally%20Determined%20Contribution%20to%20the%20UNFCCC_2021.pdf" TargetMode="External"/><Relationship Id="rId18" Type="http://schemas.openxmlformats.org/officeDocument/2006/relationships/hyperlink" Target="https://www4.unfccc.int/sites/submissions/INDC/Published%20Documents/Tuvalu/1/TUVALU%20INDC.pdf" TargetMode="External"/><Relationship Id="rId39" Type="http://schemas.openxmlformats.org/officeDocument/2006/relationships/hyperlink" Target="https://www4.unfccc.int/sites/submissions/INDC/Published%20Documents/Egypt/1/Egyptian%20INDC.pdf" TargetMode="External"/><Relationship Id="rId265" Type="http://schemas.openxmlformats.org/officeDocument/2006/relationships/hyperlink" Target="https://unfccc.int/sites/default/files/NDC/2022-06/Liberia%27s%20Updated%20NDC_RL_FINAL%20%28002%29.pdf" TargetMode="External"/><Relationship Id="rId286" Type="http://schemas.openxmlformats.org/officeDocument/2006/relationships/hyperlink" Target="https://unfccc.int/sites/default/files/NDC/2022-08/Vanuatu%20NDC%20Revised%20and%20Enhanced.pdf" TargetMode="External"/><Relationship Id="rId50" Type="http://schemas.openxmlformats.org/officeDocument/2006/relationships/hyperlink" Target="https://www4.unfccc.int/sites/submissions/INDC/Published%20Documents/Oman/1/OMAN%20INDCs.pdf" TargetMode="External"/><Relationship Id="rId104" Type="http://schemas.openxmlformats.org/officeDocument/2006/relationships/hyperlink" Target="https://www4.unfccc.int/sites/submissions/INDC/Published%20Documents/Zambia/1/FINAL+ZAMBIA'S+INDC_1.pdf" TargetMode="External"/><Relationship Id="rId125" Type="http://schemas.openxmlformats.org/officeDocument/2006/relationships/hyperlink" Target="https://www4.unfccc.int/sites/submissions/INDC/Published%20Documents/Bangladesh/1/INDC_2015_of_Bangladesh.pdf" TargetMode="External"/><Relationship Id="rId146" Type="http://schemas.openxmlformats.org/officeDocument/2006/relationships/hyperlink" Target="https://www4.unfccc.int/sites/submissions/INDC/Published%20Documents/Republic%20of%20Korea/1/INDC%20Submission%20by%20the%20Republic%20of%20Korea%20on%20June%2030.pdf" TargetMode="External"/><Relationship Id="rId167" Type="http://schemas.openxmlformats.org/officeDocument/2006/relationships/hyperlink" Target="https://unfccc.int/sites/default/files/2022-08/Albania%20Revised%20NDC.pdf" TargetMode="External"/><Relationship Id="rId188" Type="http://schemas.openxmlformats.org/officeDocument/2006/relationships/hyperlink" Target="https://unfccc.int/sites/default/files/NDC/2022-06/20201231_NDC_Update_Cambodia.pdf" TargetMode="External"/><Relationship Id="rId311" Type="http://schemas.openxmlformats.org/officeDocument/2006/relationships/hyperlink" Target="https://unfccc.int/sites/default/files/NDC/2022-06/South%20Africa%20updated%20first%20NDC%20September%202021.pdf" TargetMode="External"/><Relationship Id="rId332" Type="http://schemas.openxmlformats.org/officeDocument/2006/relationships/hyperlink" Target="https://unfccc.int/sites/default/files/NDC/2022-06/PNG%20Second%20NDC.pdf" TargetMode="External"/><Relationship Id="rId353" Type="http://schemas.openxmlformats.org/officeDocument/2006/relationships/drawing" Target="../drawings/drawing2.xml"/><Relationship Id="rId71" Type="http://schemas.openxmlformats.org/officeDocument/2006/relationships/hyperlink" Target="https://www4.unfccc.int/sites/submissions/INDC/Published%20Documents/San%20Marino/1/SAN%20MARINO%20INDC%20EN.pdf" TargetMode="External"/><Relationship Id="rId92" Type="http://schemas.openxmlformats.org/officeDocument/2006/relationships/hyperlink" Target="https://www4.unfccc.int/sites/submissions/INDC/Published%20Documents/Benin/1/INDC%20BENIN%20%20Version%20finale%20revue%20septembre%202015.pdf" TargetMode="External"/><Relationship Id="rId213" Type="http://schemas.openxmlformats.org/officeDocument/2006/relationships/hyperlink" Target="https://unfccc.int/sites/default/files/NDC/2022-06/EU_NDC_Submission_December%202020.pdf" TargetMode="External"/><Relationship Id="rId234" Type="http://schemas.openxmlformats.org/officeDocument/2006/relationships/hyperlink" Target="https://unfccc.int/sites/default/files/NDC/2022-06/EU_NDC_Submission_December%202020.pdf" TargetMode="External"/><Relationship Id="rId2" Type="http://schemas.openxmlformats.org/officeDocument/2006/relationships/hyperlink" Target="https://www4.unfccc.int/sites/submissions/INDC/Published%20Documents/Timor-Leste%20(East%20Timor)/1/INDC%20%20TL_Final_Scanned_copy20Feb-2017.compressed.pdf" TargetMode="External"/><Relationship Id="rId29" Type="http://schemas.openxmlformats.org/officeDocument/2006/relationships/hyperlink" Target="https://www4.unfccc.int/sites/submissions/INDC/Published%20Documents/Guyana/1/Guyana's%20revised%20iNDC%20-%20Final.pdf" TargetMode="External"/><Relationship Id="rId255" Type="http://schemas.openxmlformats.org/officeDocument/2006/relationships/hyperlink" Target="https://unfccc.int/sites/default/files/NDC/2022-06/INDC_KIRIBATI.pdf" TargetMode="External"/><Relationship Id="rId276" Type="http://schemas.openxmlformats.org/officeDocument/2006/relationships/hyperlink" Target="https://unfccc.int/sites/default/files/NDC/2022-06/Second%20NDC%20Report%20Oman.pdf" TargetMode="External"/><Relationship Id="rId297" Type="http://schemas.openxmlformats.org/officeDocument/2006/relationships/hyperlink" Target="https://unfccc.int/sites/default/files/NDC/2022-06/Tunisia%20Update%20NDC-french.pdf" TargetMode="External"/><Relationship Id="rId40" Type="http://schemas.openxmlformats.org/officeDocument/2006/relationships/hyperlink" Target="https://www4.unfccc.int/sites/submissions/INDC/Published%20Documents/Iraq/1/INDC-Iraq.pdf" TargetMode="External"/><Relationship Id="rId115" Type="http://schemas.openxmlformats.org/officeDocument/2006/relationships/hyperlink" Target="https://www4.unfccc.int/sites/submissions/INDC/Published%20Documents/Mauritius/1/Final%20INDC%20for%20Mauritius%2028%20Sept%202015.pdf" TargetMode="External"/><Relationship Id="rId136" Type="http://schemas.openxmlformats.org/officeDocument/2006/relationships/hyperlink" Target="https://www4.unfccc.int/sites/submissions/INDC/Published%20Documents/Colombia/1/Colombia%20iNDC%20Unofficial%20translation%20Eng.pdf" TargetMode="External"/><Relationship Id="rId157" Type="http://schemas.openxmlformats.org/officeDocument/2006/relationships/hyperlink" Target="https://www4.unfccc.int/sites/submissions/INDC/Published%20Documents/Mexico/1/MEXICO%20INDC%2003.30.2015.pdf" TargetMode="External"/><Relationship Id="rId178" Type="http://schemas.openxmlformats.org/officeDocument/2006/relationships/hyperlink" Target="https://unfccc.int/sites/default/files/NDC/2022-06/NDC_submission_20210826revised.pdf" TargetMode="External"/><Relationship Id="rId301" Type="http://schemas.openxmlformats.org/officeDocument/2006/relationships/hyperlink" Target="https://unfccc.int/sites/default/files/NDC/2022-06/Timor-Leste%20First%20NDC.pdf" TargetMode="External"/><Relationship Id="rId322" Type="http://schemas.openxmlformats.org/officeDocument/2006/relationships/hyperlink" Target="https://unfccc.int/sites/default/files/NDC/2022-06/Samoa%27s%20Second%20NDC%20for%20UNFCCC%20Submission.pdf" TargetMode="External"/><Relationship Id="rId343" Type="http://schemas.openxmlformats.org/officeDocument/2006/relationships/hyperlink" Target="https://unfccc.int/sites/default/files/NDC/2022-06/MD_Updated_NDC_final_version_EN.pdf" TargetMode="External"/><Relationship Id="rId61" Type="http://schemas.openxmlformats.org/officeDocument/2006/relationships/hyperlink" Target="https://www4.unfccc.int/sites/submissions/INDC/Published%20Documents/Algeria/1/Algeria%20-%20INDC%20(English%20unofficial%20translation)%20September%2003,2015.pdf" TargetMode="External"/><Relationship Id="rId82" Type="http://schemas.openxmlformats.org/officeDocument/2006/relationships/hyperlink" Target="https://www4.unfccc.int/sites/submissions/INDC/Published%20Documents/Turkmenistan/1/INDC_Turkmenistan.pdf" TargetMode="External"/><Relationship Id="rId199" Type="http://schemas.openxmlformats.org/officeDocument/2006/relationships/hyperlink" Target="https://unfccc.int/sites/default/files/NDC/2022-06/CDN_Congo.pdf" TargetMode="External"/><Relationship Id="rId203" Type="http://schemas.openxmlformats.org/officeDocument/2006/relationships/hyperlink" Target="https://unfccc.int/sites/default/files/NDC/2022-06/CPDN%20Djibouti_9%20-%20CPDN%20-%20Format%20pour%20soumission%20CCNUCC.pdf" TargetMode="External"/><Relationship Id="rId19" Type="http://schemas.openxmlformats.org/officeDocument/2006/relationships/hyperlink" Target="https://www4.unfccc.int/sites/submissions/INDC/Published%20Documents/Jamaica/1/Jamaica's%20INDC_2015-11-25.pdf" TargetMode="External"/><Relationship Id="rId224" Type="http://schemas.openxmlformats.org/officeDocument/2006/relationships/hyperlink" Target="https://unfccc.int/sites/default/files/NDC/2022-06/EU_NDC_Submission_December%202020.pdf" TargetMode="External"/><Relationship Id="rId245" Type="http://schemas.openxmlformats.org/officeDocument/2006/relationships/hyperlink" Target="https://unfccc.int/sites/default/files/NDC/2022-06/GrenadaSecondNDC2020%20-%2001-12-20.pdf" TargetMode="External"/><Relationship Id="rId266" Type="http://schemas.openxmlformats.org/officeDocument/2006/relationships/hyperlink" Target="https://unfccc.int/sites/default/files/NDC/2022-06/NDC%202020%20of%20Lao%20PDR%20%28English%29%2C%2009%20April%202021%20%281%29.pdf" TargetMode="External"/><Relationship Id="rId287" Type="http://schemas.openxmlformats.org/officeDocument/2006/relationships/hyperlink" Target="https://unfccc.int/sites/default/files/NDC/2022-06/Uzbekistan_Updated%20NDC_2021_RU.pdf" TargetMode="External"/><Relationship Id="rId30" Type="http://schemas.openxmlformats.org/officeDocument/2006/relationships/hyperlink" Target="https://www4.unfccc.int/sites/submissions/INDC/Published%20Documents/Iran/1/INDC%20Iran%20Final%20Text.pdf" TargetMode="External"/><Relationship Id="rId105" Type="http://schemas.openxmlformats.org/officeDocument/2006/relationships/hyperlink" Target="https://www4.unfccc.int/sites/submissions/INDC/Published%20Documents/Namibia/1/INDC%20of%20Namibia%20Final%20pdf.pdf" TargetMode="External"/><Relationship Id="rId126" Type="http://schemas.openxmlformats.org/officeDocument/2006/relationships/hyperlink" Target="https://www4.unfccc.int/sites/submissions/INDC/Published%20Documents/Eritrea/1/ERITREA'S%20INDC%20REPORT%20SEP2015.pdf" TargetMode="External"/><Relationship Id="rId147" Type="http://schemas.openxmlformats.org/officeDocument/2006/relationships/hyperlink" Target="https://www4.unfccc.int/sites/submissions/INDC/Published%20Documents/China/1/China's%20INDC%20-%20on%2030%20June%202015.pdf" TargetMode="External"/><Relationship Id="rId168" Type="http://schemas.openxmlformats.org/officeDocument/2006/relationships/hyperlink" Target="https://unfccc.int/sites/default/files/NDC/2022-06/Alg%C3%A9rie%20-INDC-%2003%20septembre%202015.pdf" TargetMode="External"/><Relationship Id="rId312" Type="http://schemas.openxmlformats.org/officeDocument/2006/relationships/hyperlink" Target="https://unfccc.int/sites/default/files/NDC/2022-06/Final%20Updated%20NDC%20for%20Somalia%202021.pdf" TargetMode="External"/><Relationship Id="rId333" Type="http://schemas.openxmlformats.org/officeDocument/2006/relationships/hyperlink" Target="https://unfccc.int/sites/default/files/NDC/2022-06/CDN1%20Actualizada%20Rep%C3%BAblica%20de%20Panam%C3%A1.pdf" TargetMode="External"/><Relationship Id="rId354" Type="http://schemas.openxmlformats.org/officeDocument/2006/relationships/vmlDrawing" Target="../drawings/vmlDrawing1.vml"/><Relationship Id="rId51" Type="http://schemas.openxmlformats.org/officeDocument/2006/relationships/hyperlink" Target="https://www4.unfccc.int/sites/submissions/INDC/Published%20Documents/Antigua%20and%20Barbuda/1/INDC_Antigua_Barbuda.pdf" TargetMode="External"/><Relationship Id="rId72" Type="http://schemas.openxmlformats.org/officeDocument/2006/relationships/hyperlink" Target="https://www4.unfccc.int/sites/submissions/INDC/Published%20Documents/Turkey/1/The_INDC_of_TURKEY_v.15.19.30.pdf" TargetMode="External"/><Relationship Id="rId93" Type="http://schemas.openxmlformats.org/officeDocument/2006/relationships/hyperlink" Target="https://www4.unfccc.int/sites/submissions/INDC/Published%20Documents/Lebanon/1/Republic%20of%20Lebanon%20-%20INDC%20-%20September%202015.pdf" TargetMode="External"/><Relationship Id="rId189" Type="http://schemas.openxmlformats.org/officeDocument/2006/relationships/hyperlink" Target="https://unfccc.int/sites/default/files/NDC/2022-06/CDN%20r%C3%A9vis%C3%A9e%20CMR%20finale%20sept%202021.pdf" TargetMode="External"/><Relationship Id="rId3" Type="http://schemas.openxmlformats.org/officeDocument/2006/relationships/hyperlink" Target="https://www4.unfccc.int/sites/submissions/INDC/Published%20Documents/Pakistan/1/Pak-INDC.pdf" TargetMode="External"/><Relationship Id="rId214" Type="http://schemas.openxmlformats.org/officeDocument/2006/relationships/hyperlink" Target="https://unfccc.int/sites/default/files/NDC/2022-06/EU_NDC_Submission_December%202020.pdf" TargetMode="External"/><Relationship Id="rId235" Type="http://schemas.openxmlformats.org/officeDocument/2006/relationships/hyperlink" Target="https://unfccc.int/sites/default/files/NDC/2022-06/EU_NDC_Submission_December%202020.pdf" TargetMode="External"/><Relationship Id="rId256" Type="http://schemas.openxmlformats.org/officeDocument/2006/relationships/hyperlink" Target="https://unfccc.int/sites/default/files/NDC/2022-06/2019.09.19_DPRK%20letter%20to%20SG%20special%20envoy%20for%20NDC.pdf" TargetMode="External"/><Relationship Id="rId277" Type="http://schemas.openxmlformats.org/officeDocument/2006/relationships/hyperlink" Target="https://unfccc.int/sites/default/files/NDC/2022-06/CDN_Niger_R%C3%A9vis%C3%A9e_2021.pdf" TargetMode="External"/><Relationship Id="rId298" Type="http://schemas.openxmlformats.org/officeDocument/2006/relationships/hyperlink" Target="https://unfccc.int/sites/default/files/NDC/2022-06/Trinidad%20and%20Tobago%20Final%20INDC.pdf" TargetMode="External"/><Relationship Id="rId116" Type="http://schemas.openxmlformats.org/officeDocument/2006/relationships/hyperlink" Target="https://www4.unfccc.int/sites/submissions/INDC/Published%20Documents/Brazil/1/BRAZIL%20iNDC%20english%20FINAL.pdf" TargetMode="External"/><Relationship Id="rId137" Type="http://schemas.openxmlformats.org/officeDocument/2006/relationships/hyperlink" Target="https://www4.unfccc.int/sites/submissions/INDC/Published%20Documents/Dominican%20Republic/1/INDC-DR%20August%202015%20(unofficial%20translation).pdf" TargetMode="External"/><Relationship Id="rId158" Type="http://schemas.openxmlformats.org/officeDocument/2006/relationships/hyperlink" Target="https://www4.unfccc.int/sites/submissions/INDC/Published%20Documents/Norway/1/Norway%20INDC%2026MAR2015.pdf" TargetMode="External"/><Relationship Id="rId302" Type="http://schemas.openxmlformats.org/officeDocument/2006/relationships/hyperlink" Target="https://unfccc.int/sites/default/files/NDC/2022-06/Thailand%20Updated%20NDC.pdf" TargetMode="External"/><Relationship Id="rId323" Type="http://schemas.openxmlformats.org/officeDocument/2006/relationships/hyperlink" Target="https://unfccc.int/sites/default/files/NDC/2022-06/Saint%20Vincent%20and%20the%20Grenadines_NDC.pdf" TargetMode="External"/><Relationship Id="rId344" Type="http://schemas.openxmlformats.org/officeDocument/2006/relationships/hyperlink" Target="https://unfccc.int/sites/default/files/NDC/2022-06/MALI%20First%20NDC%20update.pdf" TargetMode="External"/><Relationship Id="rId20" Type="http://schemas.openxmlformats.org/officeDocument/2006/relationships/hyperlink" Target="https://www4.unfccc.int/sites/submissions/INDC/Published%20Documents/Niue/1/Niue%20INDC%20Final.pdf" TargetMode="External"/><Relationship Id="rId41" Type="http://schemas.openxmlformats.org/officeDocument/2006/relationships/hyperlink" Target="https://www4.unfccc.int/sites/submissions/INDC/Published%20Documents/Saudi%20Arabia/1/KSA-INDCs%20English.pdf" TargetMode="External"/><Relationship Id="rId62" Type="http://schemas.openxmlformats.org/officeDocument/2006/relationships/hyperlink" Target="https://www4.unfccc.int/sites/submissions/INDC/Published%20Documents/Paraguay/1/Documento%20INDC%20Paraguay%2001-10-15.pdf" TargetMode="External"/><Relationship Id="rId83" Type="http://schemas.openxmlformats.org/officeDocument/2006/relationships/hyperlink" Target="https://www4.unfccc.int/sites/submissions/INDC/Published%20Documents/Solomon%20Islands/1/SOLOMON%20ISLANDS%20INDC.pdf" TargetMode="External"/><Relationship Id="rId179" Type="http://schemas.openxmlformats.org/officeDocument/2006/relationships/hyperlink" Target="https://unfccc.int/sites/default/files/NDC/2022-06/2021%20Barbados%20NDC%20update%20-%2021%20July%202021.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24851"/>
  </sheetPr>
  <dimension ref="A1:AU265"/>
  <sheetViews>
    <sheetView tabSelected="1" zoomScaleNormal="100" workbookViewId="0">
      <selection sqref="A1:G1"/>
    </sheetView>
  </sheetViews>
  <sheetFormatPr defaultRowHeight="13.2"/>
  <cols>
    <col min="1" max="1" width="10.109375" customWidth="1"/>
    <col min="2" max="2" width="12.77734375" customWidth="1"/>
    <col min="3" max="6" width="25.44140625" customWidth="1"/>
    <col min="7" max="7" width="22.6640625" customWidth="1"/>
  </cols>
  <sheetData>
    <row r="1" spans="1:34" ht="266.39999999999998" customHeight="1">
      <c r="A1" s="667"/>
      <c r="B1" s="667"/>
      <c r="C1" s="667"/>
      <c r="D1" s="667"/>
      <c r="E1" s="667"/>
      <c r="F1" s="667"/>
      <c r="G1" s="667"/>
      <c r="H1" s="59"/>
      <c r="I1" s="59"/>
      <c r="J1" s="59"/>
      <c r="K1" s="59"/>
      <c r="L1" s="59"/>
      <c r="M1" s="59"/>
      <c r="N1" s="59"/>
      <c r="O1" s="59"/>
      <c r="P1" s="59"/>
      <c r="Q1" s="59"/>
      <c r="R1" s="59"/>
      <c r="S1" s="59"/>
      <c r="T1" s="59"/>
      <c r="U1" s="59"/>
      <c r="V1" s="59"/>
      <c r="W1" s="59"/>
      <c r="X1" s="59"/>
      <c r="Y1" s="59"/>
      <c r="Z1" s="59"/>
      <c r="AA1" s="59"/>
      <c r="AB1" s="59"/>
      <c r="AC1" s="59"/>
      <c r="AD1" s="59"/>
      <c r="AE1" s="59"/>
      <c r="AF1" s="59"/>
      <c r="AG1" s="59"/>
      <c r="AH1" s="59"/>
    </row>
    <row r="2" spans="1:34" ht="18" customHeight="1">
      <c r="A2" s="668" t="s">
        <v>1989</v>
      </c>
      <c r="B2" s="668"/>
      <c r="C2" s="668"/>
      <c r="D2" s="668"/>
      <c r="E2" s="668"/>
      <c r="F2" s="668"/>
      <c r="G2" s="668"/>
      <c r="H2" s="59"/>
      <c r="I2" s="59"/>
      <c r="J2" s="59"/>
      <c r="K2" s="59"/>
      <c r="L2" s="59"/>
      <c r="M2" s="59"/>
      <c r="N2" s="59"/>
      <c r="O2" s="59"/>
      <c r="P2" s="59"/>
      <c r="Q2" s="59"/>
      <c r="R2" s="59"/>
      <c r="S2" s="59"/>
      <c r="T2" s="59"/>
      <c r="U2" s="59"/>
      <c r="V2" s="59"/>
      <c r="W2" s="59"/>
      <c r="X2" s="59"/>
      <c r="Y2" s="59"/>
      <c r="Z2" s="59"/>
      <c r="AA2" s="59"/>
      <c r="AB2" s="59"/>
      <c r="AC2" s="59"/>
      <c r="AD2" s="59"/>
      <c r="AE2" s="59"/>
      <c r="AF2" s="59"/>
      <c r="AG2" s="59"/>
      <c r="AH2" s="59"/>
    </row>
    <row r="3" spans="1:34" ht="16.5" customHeight="1">
      <c r="A3" s="123">
        <f>Analytics!J31</f>
        <v>193</v>
      </c>
      <c r="B3" s="216" t="s">
        <v>274</v>
      </c>
      <c r="C3" s="216"/>
      <c r="D3" s="216"/>
      <c r="E3" s="57"/>
      <c r="F3" s="58"/>
      <c r="G3" s="58"/>
      <c r="H3" s="59"/>
      <c r="I3" s="59"/>
      <c r="J3" s="59"/>
      <c r="K3" s="59"/>
      <c r="L3" s="59"/>
      <c r="M3" s="59"/>
      <c r="N3" s="59"/>
      <c r="O3" s="59"/>
      <c r="P3" s="59"/>
      <c r="Q3" s="59"/>
      <c r="R3" s="59"/>
      <c r="S3" s="59"/>
      <c r="T3" s="59"/>
      <c r="U3" s="59"/>
      <c r="V3" s="59"/>
      <c r="W3" s="59"/>
      <c r="X3" s="59"/>
      <c r="Y3" s="59"/>
      <c r="Z3" s="59"/>
      <c r="AA3" s="59"/>
      <c r="AB3" s="59"/>
      <c r="AC3" s="59"/>
      <c r="AD3" s="59"/>
      <c r="AE3" s="59"/>
      <c r="AF3" s="59"/>
      <c r="AG3" s="59"/>
      <c r="AH3" s="59"/>
    </row>
    <row r="4" spans="1:34" ht="14.25" customHeight="1">
      <c r="A4" s="123">
        <f>Analytics!J32</f>
        <v>194</v>
      </c>
      <c r="B4" s="216" t="s">
        <v>856</v>
      </c>
      <c r="C4" s="216"/>
      <c r="D4" s="216"/>
      <c r="E4" s="57"/>
      <c r="F4" s="57"/>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row>
    <row r="5" spans="1:34" s="201" customFormat="1" ht="14.25" customHeight="1">
      <c r="A5" s="123">
        <f>Analytics!J33</f>
        <v>13</v>
      </c>
      <c r="B5" s="216" t="s">
        <v>2186</v>
      </c>
      <c r="C5" s="216"/>
      <c r="D5" s="216"/>
      <c r="E5" s="200"/>
      <c r="F5" s="200"/>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row>
    <row r="6" spans="1:34" ht="15" customHeight="1">
      <c r="A6" s="172">
        <f>Analytics!J42</f>
        <v>193</v>
      </c>
      <c r="B6" s="669" t="s">
        <v>301</v>
      </c>
      <c r="C6" s="669"/>
      <c r="D6" s="669"/>
      <c r="E6" s="43"/>
      <c r="F6" s="58"/>
      <c r="G6" s="58"/>
      <c r="I6" s="59"/>
      <c r="J6" s="59"/>
      <c r="K6" s="59"/>
      <c r="L6" s="59"/>
      <c r="M6" s="59"/>
      <c r="N6" s="59"/>
      <c r="O6" s="59"/>
      <c r="P6" s="59"/>
      <c r="Q6" s="59"/>
      <c r="R6" s="59"/>
      <c r="S6" s="59"/>
      <c r="T6" s="59"/>
      <c r="U6" s="59"/>
      <c r="V6" s="59"/>
      <c r="W6" s="59"/>
      <c r="X6" s="59"/>
      <c r="Y6" s="59"/>
      <c r="Z6" s="59"/>
      <c r="AA6" s="59"/>
      <c r="AB6" s="59"/>
      <c r="AC6" s="59"/>
      <c r="AD6" s="59"/>
      <c r="AE6" s="59"/>
      <c r="AF6" s="59"/>
      <c r="AG6" s="59"/>
      <c r="AH6" s="59"/>
    </row>
    <row r="7" spans="1:34" ht="17.25" customHeight="1">
      <c r="A7" s="641" t="s">
        <v>136</v>
      </c>
      <c r="B7" s="641"/>
      <c r="C7" s="641"/>
      <c r="D7" s="641"/>
      <c r="E7" s="641"/>
      <c r="F7" s="641"/>
      <c r="G7" s="641"/>
      <c r="H7" s="59"/>
      <c r="J7" s="59"/>
      <c r="K7" s="59"/>
      <c r="L7" s="59"/>
      <c r="M7" s="59"/>
      <c r="N7" s="59"/>
      <c r="O7" s="59"/>
      <c r="P7" s="59"/>
      <c r="Q7" s="59"/>
      <c r="R7" s="59"/>
      <c r="S7" s="59"/>
      <c r="T7" s="59"/>
      <c r="U7" s="59"/>
      <c r="V7" s="59"/>
      <c r="W7" s="59"/>
      <c r="X7" s="59"/>
      <c r="Y7" s="59"/>
      <c r="Z7" s="59"/>
      <c r="AA7" s="59"/>
      <c r="AB7" s="59"/>
      <c r="AC7" s="59"/>
      <c r="AD7" s="59"/>
      <c r="AE7" s="59"/>
      <c r="AF7" s="59"/>
      <c r="AG7" s="59"/>
      <c r="AH7" s="59"/>
    </row>
    <row r="8" spans="1:34" ht="73.2" customHeight="1">
      <c r="A8" s="633" t="s">
        <v>1937</v>
      </c>
      <c r="B8" s="634"/>
      <c r="C8" s="634"/>
      <c r="D8" s="634"/>
      <c r="E8" s="634"/>
      <c r="F8" s="634"/>
      <c r="G8" s="634"/>
      <c r="H8" s="59"/>
      <c r="I8" s="59"/>
      <c r="J8" s="59"/>
      <c r="K8" s="59"/>
      <c r="L8" s="59"/>
      <c r="M8" s="59"/>
      <c r="N8" s="59"/>
      <c r="O8" s="59"/>
      <c r="P8" s="59"/>
      <c r="Q8" s="59"/>
      <c r="R8" s="59"/>
      <c r="S8" s="59"/>
      <c r="T8" s="59"/>
      <c r="U8" s="59"/>
      <c r="V8" s="59"/>
      <c r="W8" s="59"/>
      <c r="X8" s="59"/>
      <c r="Y8" s="59"/>
      <c r="Z8" s="59"/>
      <c r="AA8" s="59"/>
      <c r="AB8" s="59"/>
      <c r="AC8" s="59"/>
      <c r="AD8" s="59"/>
      <c r="AE8" s="59"/>
      <c r="AF8" s="59"/>
      <c r="AG8" s="59"/>
      <c r="AH8" s="59"/>
    </row>
    <row r="9" spans="1:34" ht="18" customHeight="1">
      <c r="A9" s="641" t="s">
        <v>341</v>
      </c>
      <c r="B9" s="641"/>
      <c r="C9" s="641"/>
      <c r="D9" s="641"/>
      <c r="E9" s="641"/>
      <c r="F9" s="641"/>
      <c r="G9" s="641"/>
      <c r="H9" s="59"/>
      <c r="I9" s="59"/>
      <c r="J9" s="59"/>
      <c r="K9" s="59"/>
      <c r="L9" s="59"/>
      <c r="M9" s="59"/>
      <c r="N9" s="59"/>
      <c r="O9" s="59"/>
      <c r="P9" s="59"/>
      <c r="Q9" s="59"/>
      <c r="R9" s="59"/>
      <c r="S9" s="59"/>
      <c r="T9" s="59"/>
      <c r="U9" s="59"/>
      <c r="V9" s="59"/>
      <c r="W9" s="59"/>
      <c r="X9" s="59"/>
      <c r="Y9" s="59"/>
      <c r="Z9" s="59"/>
      <c r="AA9" s="59"/>
      <c r="AB9" s="59"/>
      <c r="AC9" s="59"/>
      <c r="AD9" s="59"/>
      <c r="AE9" s="59"/>
      <c r="AF9" s="59"/>
      <c r="AG9" s="59"/>
      <c r="AH9" s="59"/>
    </row>
    <row r="10" spans="1:34" ht="20.399999999999999" customHeight="1">
      <c r="A10" s="665" t="s">
        <v>298</v>
      </c>
      <c r="B10" s="665"/>
      <c r="C10" s="642" t="s">
        <v>1933</v>
      </c>
      <c r="D10" s="642"/>
      <c r="E10" s="642"/>
      <c r="F10" s="642"/>
      <c r="G10" s="642"/>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row>
    <row r="11" spans="1:34" ht="32.4" customHeight="1">
      <c r="A11" s="665" t="s">
        <v>299</v>
      </c>
      <c r="B11" s="665"/>
      <c r="C11" s="642" t="s">
        <v>1934</v>
      </c>
      <c r="D11" s="642"/>
      <c r="E11" s="642"/>
      <c r="F11" s="642"/>
      <c r="G11" s="642"/>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row>
    <row r="12" spans="1:34" ht="16.8" customHeight="1">
      <c r="A12" s="665" t="s">
        <v>420</v>
      </c>
      <c r="B12" s="665"/>
      <c r="C12" s="642" t="s">
        <v>1935</v>
      </c>
      <c r="D12" s="642"/>
      <c r="E12" s="642"/>
      <c r="F12" s="642"/>
      <c r="G12" s="642"/>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row>
    <row r="13" spans="1:34" ht="19.5" customHeight="1">
      <c r="A13" s="641" t="s">
        <v>229</v>
      </c>
      <c r="B13" s="641"/>
      <c r="C13" s="641"/>
      <c r="D13" s="641"/>
      <c r="E13" s="641"/>
      <c r="F13" s="641"/>
      <c r="G13" s="641"/>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row>
    <row r="14" spans="1:34" ht="12.75" customHeight="1">
      <c r="A14" s="649" t="s">
        <v>218</v>
      </c>
      <c r="B14" s="649"/>
      <c r="C14" s="649"/>
      <c r="D14" s="649"/>
      <c r="E14" s="649"/>
      <c r="F14" s="649"/>
      <c r="G14" s="64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row>
    <row r="15" spans="1:34" ht="31.8" customHeight="1">
      <c r="A15" s="650" t="s">
        <v>296</v>
      </c>
      <c r="B15" s="650"/>
      <c r="C15" s="650"/>
      <c r="D15" s="650"/>
      <c r="E15" s="650"/>
      <c r="F15" s="650"/>
      <c r="G15" s="650"/>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row>
    <row r="16" spans="1:34" ht="15.75" customHeight="1">
      <c r="A16" s="649" t="s">
        <v>141</v>
      </c>
      <c r="B16" s="649"/>
      <c r="C16" s="649"/>
      <c r="D16" s="649"/>
      <c r="E16" s="649"/>
      <c r="F16" s="649"/>
      <c r="G16" s="64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row>
    <row r="17" spans="1:34" ht="43.8" customHeight="1">
      <c r="A17" s="650" t="s">
        <v>142</v>
      </c>
      <c r="B17" s="650"/>
      <c r="C17" s="650"/>
      <c r="D17" s="650"/>
      <c r="E17" s="650"/>
      <c r="F17" s="650"/>
      <c r="G17" s="650"/>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row>
    <row r="18" spans="1:34" ht="17.25" customHeight="1">
      <c r="A18" s="666" t="s">
        <v>86</v>
      </c>
      <c r="B18" s="666"/>
      <c r="C18" s="666"/>
      <c r="D18" s="666"/>
      <c r="E18" s="666"/>
      <c r="F18" s="666"/>
      <c r="G18" s="666"/>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row>
    <row r="19" spans="1:34" ht="27" customHeight="1">
      <c r="A19" s="650" t="s">
        <v>297</v>
      </c>
      <c r="B19" s="650"/>
      <c r="C19" s="650"/>
      <c r="D19" s="650"/>
      <c r="E19" s="650"/>
      <c r="F19" s="650"/>
      <c r="G19" s="650"/>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row>
    <row r="20" spans="1:34" ht="16.5" customHeight="1">
      <c r="A20" s="664" t="s">
        <v>87</v>
      </c>
      <c r="B20" s="649"/>
      <c r="C20" s="649"/>
      <c r="D20" s="649"/>
      <c r="E20" s="649"/>
      <c r="F20" s="649"/>
      <c r="G20" s="64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row>
    <row r="21" spans="1:34" ht="43.2" customHeight="1">
      <c r="A21" s="651" t="s">
        <v>1938</v>
      </c>
      <c r="B21" s="650"/>
      <c r="C21" s="650"/>
      <c r="D21" s="650"/>
      <c r="E21" s="650"/>
      <c r="F21" s="650"/>
      <c r="G21" s="650"/>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row>
    <row r="22" spans="1:34" s="535" customFormat="1" ht="19.5" customHeight="1">
      <c r="A22" s="641" t="s">
        <v>1770</v>
      </c>
      <c r="B22" s="641"/>
      <c r="C22" s="641"/>
      <c r="D22" s="641"/>
      <c r="E22" s="641"/>
      <c r="F22" s="641"/>
      <c r="G22" s="641"/>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row>
    <row r="23" spans="1:34" s="535" customFormat="1" ht="12.75" customHeight="1">
      <c r="A23" s="649" t="s">
        <v>1771</v>
      </c>
      <c r="B23" s="649"/>
      <c r="C23" s="649"/>
      <c r="D23" s="649"/>
      <c r="E23" s="649"/>
      <c r="F23" s="649"/>
      <c r="G23" s="64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row>
    <row r="24" spans="1:34" s="535" customFormat="1" ht="27.6" customHeight="1">
      <c r="A24" s="650" t="s">
        <v>1772</v>
      </c>
      <c r="B24" s="650"/>
      <c r="C24" s="650"/>
      <c r="D24" s="650"/>
      <c r="E24" s="650"/>
      <c r="F24" s="650"/>
      <c r="G24" s="650"/>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row>
    <row r="25" spans="1:34" ht="21.75" customHeight="1">
      <c r="A25" s="641" t="s">
        <v>230</v>
      </c>
      <c r="B25" s="641"/>
      <c r="C25" s="641"/>
      <c r="D25" s="641"/>
      <c r="E25" s="641"/>
      <c r="F25" s="641"/>
      <c r="G25" s="641"/>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row>
    <row r="26" spans="1:34" ht="14.25" customHeight="1">
      <c r="A26" s="664" t="s">
        <v>306</v>
      </c>
      <c r="B26" s="649"/>
      <c r="C26" s="649"/>
      <c r="D26" s="649"/>
      <c r="E26" s="649"/>
      <c r="F26" s="649"/>
      <c r="G26" s="64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row>
    <row r="27" spans="1:34" ht="39" customHeight="1">
      <c r="A27" s="651" t="s">
        <v>303</v>
      </c>
      <c r="B27" s="650"/>
      <c r="C27" s="650"/>
      <c r="D27" s="650"/>
      <c r="E27" s="650"/>
      <c r="F27" s="650"/>
      <c r="G27" s="650"/>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row>
    <row r="28" spans="1:34" ht="43.2" customHeight="1">
      <c r="A28" s="651" t="s">
        <v>317</v>
      </c>
      <c r="B28" s="650"/>
      <c r="C28" s="650"/>
      <c r="D28" s="650"/>
      <c r="E28" s="650"/>
      <c r="F28" s="650"/>
      <c r="G28" s="650"/>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row>
    <row r="29" spans="1:34" ht="15" customHeight="1">
      <c r="A29" s="664" t="s">
        <v>172</v>
      </c>
      <c r="B29" s="649"/>
      <c r="C29" s="649"/>
      <c r="D29" s="649"/>
      <c r="E29" s="649"/>
      <c r="F29" s="649"/>
      <c r="G29" s="64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row>
    <row r="30" spans="1:34" ht="30" customHeight="1">
      <c r="A30" s="651" t="s">
        <v>304</v>
      </c>
      <c r="B30" s="650"/>
      <c r="C30" s="650"/>
      <c r="D30" s="650"/>
      <c r="E30" s="650"/>
      <c r="F30" s="650"/>
      <c r="G30" s="650"/>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row>
    <row r="31" spans="1:34" ht="20.25" customHeight="1">
      <c r="A31" s="641" t="s">
        <v>214</v>
      </c>
      <c r="B31" s="641"/>
      <c r="C31" s="641"/>
      <c r="D31" s="641"/>
      <c r="E31" s="641"/>
      <c r="F31" s="641"/>
      <c r="G31" s="641"/>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row>
    <row r="32" spans="1:34" ht="13.5" customHeight="1">
      <c r="A32" s="664" t="s">
        <v>231</v>
      </c>
      <c r="B32" s="649"/>
      <c r="C32" s="649"/>
      <c r="D32" s="649"/>
      <c r="E32" s="649"/>
      <c r="F32" s="649"/>
      <c r="G32" s="64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row>
    <row r="33" spans="1:34" ht="16.8" customHeight="1">
      <c r="A33" s="651" t="s">
        <v>300</v>
      </c>
      <c r="B33" s="650"/>
      <c r="C33" s="650"/>
      <c r="D33" s="650"/>
      <c r="E33" s="650"/>
      <c r="F33" s="650"/>
      <c r="G33" s="650"/>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row>
    <row r="34" spans="1:34" ht="15" customHeight="1">
      <c r="A34" s="664" t="s">
        <v>143</v>
      </c>
      <c r="B34" s="649"/>
      <c r="C34" s="649"/>
      <c r="D34" s="649"/>
      <c r="E34" s="649"/>
      <c r="F34" s="649"/>
      <c r="G34" s="64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row>
    <row r="35" spans="1:34" ht="99.6" customHeight="1">
      <c r="A35" s="651" t="s">
        <v>307</v>
      </c>
      <c r="B35" s="650"/>
      <c r="C35" s="650"/>
      <c r="D35" s="650"/>
      <c r="E35" s="650"/>
      <c r="F35" s="650"/>
      <c r="G35" s="650"/>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row>
    <row r="36" spans="1:34" ht="20.25" customHeight="1">
      <c r="A36" s="641" t="s">
        <v>308</v>
      </c>
      <c r="B36" s="641"/>
      <c r="C36" s="641"/>
      <c r="D36" s="641"/>
      <c r="E36" s="641"/>
      <c r="F36" s="641"/>
      <c r="G36" s="641"/>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row>
    <row r="37" spans="1:34" ht="27" customHeight="1">
      <c r="A37" s="633" t="s">
        <v>2195</v>
      </c>
      <c r="B37" s="634"/>
      <c r="C37" s="634"/>
      <c r="D37" s="634"/>
      <c r="E37" s="634"/>
      <c r="F37" s="634"/>
      <c r="G37" s="634"/>
      <c r="H37" s="59"/>
      <c r="I37" s="193"/>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row>
    <row r="38" spans="1:34" ht="19.5" customHeight="1">
      <c r="A38" s="652" t="s">
        <v>232</v>
      </c>
      <c r="B38" s="652"/>
      <c r="C38" s="652"/>
      <c r="D38" s="652"/>
      <c r="E38" s="652"/>
      <c r="F38" s="652"/>
      <c r="G38" s="652"/>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row>
    <row r="39" spans="1:34" ht="29.25" customHeight="1">
      <c r="A39" s="77" t="s">
        <v>207</v>
      </c>
      <c r="B39" s="77" t="s">
        <v>208</v>
      </c>
      <c r="C39" s="653" t="s">
        <v>209</v>
      </c>
      <c r="D39" s="653"/>
      <c r="E39" s="653"/>
      <c r="F39" s="653"/>
      <c r="G39" s="77" t="s">
        <v>305</v>
      </c>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row>
    <row r="40" spans="1:34" s="586" customFormat="1" ht="55.2" customHeight="1">
      <c r="A40" s="413">
        <v>7.7</v>
      </c>
      <c r="B40" s="422" t="s">
        <v>1990</v>
      </c>
      <c r="C40" s="646" t="s">
        <v>2197</v>
      </c>
      <c r="D40" s="647"/>
      <c r="E40" s="647"/>
      <c r="F40" s="648"/>
      <c r="G40" s="414" t="s">
        <v>1578</v>
      </c>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row>
    <row r="41" spans="1:34" s="522" customFormat="1" ht="57.6" customHeight="1">
      <c r="A41" s="413">
        <v>7.6</v>
      </c>
      <c r="B41" s="422" t="s">
        <v>1579</v>
      </c>
      <c r="C41" s="646" t="s">
        <v>1781</v>
      </c>
      <c r="D41" s="647"/>
      <c r="E41" s="647"/>
      <c r="F41" s="648"/>
      <c r="G41" s="414" t="s">
        <v>1578</v>
      </c>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row>
    <row r="42" spans="1:34" s="499" customFormat="1" ht="70.2" customHeight="1">
      <c r="A42" s="413">
        <v>7.5</v>
      </c>
      <c r="B42" s="422" t="s">
        <v>1576</v>
      </c>
      <c r="C42" s="646" t="s">
        <v>1577</v>
      </c>
      <c r="D42" s="647"/>
      <c r="E42" s="647"/>
      <c r="F42" s="648"/>
      <c r="G42" s="414" t="s">
        <v>1578</v>
      </c>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row>
    <row r="43" spans="1:34" s="423" customFormat="1" ht="111.6" customHeight="1">
      <c r="A43" s="413">
        <v>7.4</v>
      </c>
      <c r="B43" s="422" t="s">
        <v>1348</v>
      </c>
      <c r="C43" s="646" t="s">
        <v>1358</v>
      </c>
      <c r="D43" s="647"/>
      <c r="E43" s="647"/>
      <c r="F43" s="648"/>
      <c r="G43" s="414" t="s">
        <v>927</v>
      </c>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row>
    <row r="44" spans="1:34" s="419" customFormat="1" ht="22.2" customHeight="1">
      <c r="A44" s="413">
        <v>7.3</v>
      </c>
      <c r="B44" s="422" t="s">
        <v>976</v>
      </c>
      <c r="C44" s="646" t="s">
        <v>1319</v>
      </c>
      <c r="D44" s="647"/>
      <c r="E44" s="647"/>
      <c r="F44" s="648"/>
      <c r="G44" s="414" t="s">
        <v>968</v>
      </c>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row>
    <row r="45" spans="1:34" s="411" customFormat="1" ht="33" customHeight="1">
      <c r="A45" s="413">
        <v>7.2</v>
      </c>
      <c r="B45" s="380" t="s">
        <v>932</v>
      </c>
      <c r="C45" s="646" t="s">
        <v>948</v>
      </c>
      <c r="D45" s="647"/>
      <c r="E45" s="647"/>
      <c r="F45" s="648"/>
      <c r="G45" s="414" t="s">
        <v>927</v>
      </c>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row>
    <row r="46" spans="1:34" s="400" customFormat="1" ht="24.6" customHeight="1">
      <c r="A46" s="379">
        <v>7.1</v>
      </c>
      <c r="B46" s="380" t="s">
        <v>886</v>
      </c>
      <c r="C46" s="644" t="s">
        <v>915</v>
      </c>
      <c r="D46" s="644"/>
      <c r="E46" s="644"/>
      <c r="F46" s="644"/>
      <c r="G46" s="401" t="s">
        <v>863</v>
      </c>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row>
    <row r="47" spans="1:34" s="393" customFormat="1" ht="27" customHeight="1">
      <c r="A47" s="379">
        <v>7</v>
      </c>
      <c r="B47" s="380" t="s">
        <v>886</v>
      </c>
      <c r="C47" s="644" t="s">
        <v>893</v>
      </c>
      <c r="D47" s="644"/>
      <c r="E47" s="644"/>
      <c r="F47" s="644"/>
      <c r="G47" s="392" t="s">
        <v>883</v>
      </c>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row>
    <row r="48" spans="1:34" s="389" customFormat="1" ht="34.799999999999997" customHeight="1">
      <c r="A48" s="379">
        <v>6.4</v>
      </c>
      <c r="B48" s="380" t="s">
        <v>880</v>
      </c>
      <c r="C48" s="644" t="s">
        <v>884</v>
      </c>
      <c r="D48" s="644"/>
      <c r="E48" s="644"/>
      <c r="F48" s="644"/>
      <c r="G48" s="388" t="s">
        <v>883</v>
      </c>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row>
    <row r="49" spans="1:34" s="387" customFormat="1" ht="44.4" customHeight="1">
      <c r="A49" s="379">
        <v>6.3</v>
      </c>
      <c r="B49" s="380" t="s">
        <v>868</v>
      </c>
      <c r="C49" s="644" t="s">
        <v>885</v>
      </c>
      <c r="D49" s="644"/>
      <c r="E49" s="644"/>
      <c r="F49" s="644"/>
      <c r="G49" s="386" t="s">
        <v>879</v>
      </c>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row>
    <row r="50" spans="1:34" s="384" customFormat="1" ht="28.2" customHeight="1">
      <c r="A50" s="379">
        <v>6.2</v>
      </c>
      <c r="B50" s="380" t="s">
        <v>864</v>
      </c>
      <c r="C50" s="644" t="s">
        <v>869</v>
      </c>
      <c r="D50" s="644"/>
      <c r="E50" s="644"/>
      <c r="F50" s="644"/>
      <c r="G50" s="385" t="s">
        <v>423</v>
      </c>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row>
    <row r="51" spans="1:34" s="377" customFormat="1" ht="30" customHeight="1">
      <c r="A51" s="379">
        <v>6.1</v>
      </c>
      <c r="B51" s="380" t="s">
        <v>861</v>
      </c>
      <c r="C51" s="644" t="s">
        <v>870</v>
      </c>
      <c r="D51" s="644"/>
      <c r="E51" s="644"/>
      <c r="F51" s="644"/>
      <c r="G51" s="376" t="s">
        <v>863</v>
      </c>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row>
    <row r="52" spans="1:34" s="59" customFormat="1" ht="166.2" customHeight="1">
      <c r="A52" s="654"/>
      <c r="B52" s="661"/>
      <c r="C52" s="637" t="s">
        <v>1936</v>
      </c>
      <c r="D52" s="638"/>
      <c r="E52" s="638"/>
      <c r="F52" s="639"/>
      <c r="G52" s="659"/>
    </row>
    <row r="53" spans="1:34" s="59" customFormat="1" ht="196.2" customHeight="1">
      <c r="A53" s="654"/>
      <c r="B53" s="661"/>
      <c r="C53" s="637" t="s">
        <v>872</v>
      </c>
      <c r="D53" s="638"/>
      <c r="E53" s="638"/>
      <c r="F53" s="639"/>
      <c r="G53" s="659"/>
    </row>
    <row r="54" spans="1:34" s="59" customFormat="1" ht="207" customHeight="1">
      <c r="A54" s="655"/>
      <c r="B54" s="662"/>
      <c r="C54" s="656" t="s">
        <v>871</v>
      </c>
      <c r="D54" s="657"/>
      <c r="E54" s="657"/>
      <c r="F54" s="658"/>
      <c r="G54" s="660"/>
    </row>
    <row r="55" spans="1:34" s="189" customFormat="1" ht="75" customHeight="1">
      <c r="A55" s="379">
        <v>5.3</v>
      </c>
      <c r="B55" s="188" t="s">
        <v>444</v>
      </c>
      <c r="C55" s="644" t="s">
        <v>447</v>
      </c>
      <c r="D55" s="644"/>
      <c r="E55" s="644"/>
      <c r="F55" s="644"/>
      <c r="G55" s="187" t="s">
        <v>423</v>
      </c>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row>
    <row r="56" spans="1:34" s="160" customFormat="1" ht="63" customHeight="1">
      <c r="A56" s="379">
        <v>5.2</v>
      </c>
      <c r="B56" s="159" t="s">
        <v>442</v>
      </c>
      <c r="C56" s="644" t="s">
        <v>443</v>
      </c>
      <c r="D56" s="644"/>
      <c r="E56" s="644"/>
      <c r="F56" s="644"/>
      <c r="G56" s="158" t="s">
        <v>423</v>
      </c>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row>
    <row r="57" spans="1:34" ht="58.8" customHeight="1">
      <c r="A57" s="379">
        <v>5.0999999999999996</v>
      </c>
      <c r="B57" s="78" t="s">
        <v>394</v>
      </c>
      <c r="C57" s="644" t="s">
        <v>417</v>
      </c>
      <c r="D57" s="644"/>
      <c r="E57" s="644"/>
      <c r="F57" s="644"/>
      <c r="G57" s="89" t="s">
        <v>233</v>
      </c>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row>
    <row r="58" spans="1:34" s="151" customFormat="1" ht="106.8" customHeight="1">
      <c r="A58" s="379">
        <v>5</v>
      </c>
      <c r="B58" s="150" t="s">
        <v>349</v>
      </c>
      <c r="C58" s="644" t="s">
        <v>938</v>
      </c>
      <c r="D58" s="644"/>
      <c r="E58" s="644"/>
      <c r="F58" s="644"/>
      <c r="G58" s="149" t="s">
        <v>348</v>
      </c>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row>
    <row r="59" spans="1:34" ht="39.6" customHeight="1">
      <c r="A59" s="379">
        <v>4.3</v>
      </c>
      <c r="B59" s="78" t="s">
        <v>271</v>
      </c>
      <c r="C59" s="644" t="s">
        <v>337</v>
      </c>
      <c r="D59" s="644"/>
      <c r="E59" s="644"/>
      <c r="F59" s="644"/>
      <c r="G59" s="79" t="s">
        <v>233</v>
      </c>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row>
    <row r="60" spans="1:34" ht="37.200000000000003" customHeight="1">
      <c r="A60" s="379">
        <v>4.2</v>
      </c>
      <c r="B60" s="78" t="s">
        <v>260</v>
      </c>
      <c r="C60" s="644" t="s">
        <v>269</v>
      </c>
      <c r="D60" s="644"/>
      <c r="E60" s="644"/>
      <c r="F60" s="644"/>
      <c r="G60" s="79" t="s">
        <v>233</v>
      </c>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row>
    <row r="61" spans="1:34" ht="46.5" customHeight="1">
      <c r="A61" s="379">
        <v>4.0999999999999996</v>
      </c>
      <c r="B61" s="78" t="s">
        <v>258</v>
      </c>
      <c r="C61" s="644" t="s">
        <v>257</v>
      </c>
      <c r="D61" s="644"/>
      <c r="E61" s="644"/>
      <c r="F61" s="644"/>
      <c r="G61" s="79" t="s">
        <v>250</v>
      </c>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row>
    <row r="62" spans="1:34" ht="114" customHeight="1">
      <c r="A62" s="379">
        <v>4</v>
      </c>
      <c r="B62" s="78" t="s">
        <v>259</v>
      </c>
      <c r="C62" s="644" t="s">
        <v>242</v>
      </c>
      <c r="D62" s="644"/>
      <c r="E62" s="644"/>
      <c r="F62" s="644"/>
      <c r="G62" s="79" t="s">
        <v>233</v>
      </c>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row>
    <row r="63" spans="1:34" ht="67.8" customHeight="1">
      <c r="A63" s="379">
        <v>3.3</v>
      </c>
      <c r="B63" s="78" t="s">
        <v>261</v>
      </c>
      <c r="C63" s="642" t="s">
        <v>228</v>
      </c>
      <c r="D63" s="642"/>
      <c r="E63" s="642"/>
      <c r="F63" s="642"/>
      <c r="G63" s="79" t="s">
        <v>233</v>
      </c>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row>
    <row r="64" spans="1:34" ht="69.599999999999994" customHeight="1">
      <c r="A64" s="379">
        <v>3.2</v>
      </c>
      <c r="B64" s="78" t="s">
        <v>262</v>
      </c>
      <c r="C64" s="643" t="s">
        <v>222</v>
      </c>
      <c r="D64" s="643"/>
      <c r="E64" s="643"/>
      <c r="F64" s="643"/>
      <c r="G64" s="79" t="s">
        <v>233</v>
      </c>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row>
    <row r="65" spans="1:34" ht="92.25" customHeight="1">
      <c r="A65" s="379">
        <v>3.1</v>
      </c>
      <c r="B65" s="78" t="s">
        <v>263</v>
      </c>
      <c r="C65" s="644" t="s">
        <v>220</v>
      </c>
      <c r="D65" s="644"/>
      <c r="E65" s="644"/>
      <c r="F65" s="644"/>
      <c r="G65" s="79" t="s">
        <v>233</v>
      </c>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row>
    <row r="66" spans="1:34" ht="101.4" customHeight="1">
      <c r="A66" s="379">
        <v>3</v>
      </c>
      <c r="B66" s="78" t="s">
        <v>264</v>
      </c>
      <c r="C66" s="645" t="s">
        <v>221</v>
      </c>
      <c r="D66" s="645"/>
      <c r="E66" s="645"/>
      <c r="F66" s="645"/>
      <c r="G66" s="79" t="s">
        <v>234</v>
      </c>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row>
    <row r="67" spans="1:34" ht="87.6" customHeight="1">
      <c r="A67" s="379">
        <v>2.1</v>
      </c>
      <c r="B67" s="78" t="s">
        <v>265</v>
      </c>
      <c r="C67" s="645" t="s">
        <v>396</v>
      </c>
      <c r="D67" s="645"/>
      <c r="E67" s="645"/>
      <c r="F67" s="645"/>
      <c r="G67" s="79" t="s">
        <v>212</v>
      </c>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row>
    <row r="68" spans="1:34" ht="127.8" customHeight="1">
      <c r="A68" s="379">
        <v>2</v>
      </c>
      <c r="B68" s="78" t="s">
        <v>266</v>
      </c>
      <c r="C68" s="645" t="s">
        <v>397</v>
      </c>
      <c r="D68" s="645"/>
      <c r="E68" s="645"/>
      <c r="F68" s="645"/>
      <c r="G68" s="79" t="s">
        <v>235</v>
      </c>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row>
    <row r="69" spans="1:34" ht="48" customHeight="1">
      <c r="A69" s="379">
        <v>1.1000000000000001</v>
      </c>
      <c r="B69" s="78" t="s">
        <v>267</v>
      </c>
      <c r="C69" s="645" t="s">
        <v>210</v>
      </c>
      <c r="D69" s="645"/>
      <c r="E69" s="645"/>
      <c r="F69" s="645"/>
      <c r="G69" s="79" t="s">
        <v>212</v>
      </c>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row>
    <row r="70" spans="1:34" ht="69.599999999999994" customHeight="1">
      <c r="A70" s="379">
        <v>1</v>
      </c>
      <c r="B70" s="78" t="s">
        <v>268</v>
      </c>
      <c r="C70" s="645" t="s">
        <v>211</v>
      </c>
      <c r="D70" s="645"/>
      <c r="E70" s="645"/>
      <c r="F70" s="645"/>
      <c r="G70" s="79" t="s">
        <v>236</v>
      </c>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row>
    <row r="71" spans="1:34" ht="17.25" customHeight="1">
      <c r="A71" s="640" t="s">
        <v>171</v>
      </c>
      <c r="B71" s="641"/>
      <c r="C71" s="641"/>
      <c r="D71" s="641"/>
      <c r="E71" s="641"/>
      <c r="F71" s="641"/>
      <c r="G71" s="641"/>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row>
    <row r="72" spans="1:34" ht="166.2" customHeight="1">
      <c r="A72" s="663" t="s">
        <v>2196</v>
      </c>
      <c r="B72" s="650"/>
      <c r="C72" s="650"/>
      <c r="D72" s="650"/>
      <c r="E72" s="650"/>
      <c r="F72" s="650"/>
      <c r="G72" s="650"/>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row>
    <row r="73" spans="1:34" ht="14.4">
      <c r="A73" s="640" t="s">
        <v>217</v>
      </c>
      <c r="B73" s="641"/>
      <c r="C73" s="641"/>
      <c r="D73" s="641"/>
      <c r="E73" s="641"/>
      <c r="F73" s="641"/>
      <c r="G73" s="641"/>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row>
    <row r="74" spans="1:34" ht="129.6" customHeight="1">
      <c r="A74" s="651" t="s">
        <v>338</v>
      </c>
      <c r="B74" s="650"/>
      <c r="C74" s="650"/>
      <c r="D74" s="650"/>
      <c r="E74" s="650"/>
      <c r="F74" s="650"/>
      <c r="G74" s="650"/>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row>
    <row r="75" spans="1:34">
      <c r="A75" s="59"/>
      <c r="B75" s="59" t="s">
        <v>295</v>
      </c>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row>
    <row r="76" spans="1:34">
      <c r="A76" s="59"/>
      <c r="B76" s="59"/>
      <c r="C76" s="59"/>
      <c r="D76" s="59"/>
      <c r="E76" s="59"/>
      <c r="F76" s="59"/>
      <c r="G76" s="59"/>
      <c r="H76" s="59"/>
      <c r="I76" s="633"/>
      <c r="J76" s="634"/>
      <c r="K76" s="634"/>
      <c r="L76" s="634"/>
      <c r="M76" s="634"/>
      <c r="N76" s="634"/>
      <c r="O76" s="634"/>
      <c r="P76" s="59"/>
      <c r="Q76" s="59"/>
      <c r="R76" s="59"/>
      <c r="S76" s="59"/>
      <c r="T76" s="59"/>
      <c r="U76" s="59"/>
      <c r="V76" s="59"/>
      <c r="W76" s="59"/>
      <c r="X76" s="59"/>
      <c r="Y76" s="59"/>
      <c r="Z76" s="59"/>
      <c r="AA76" s="59"/>
      <c r="AB76" s="59"/>
      <c r="AC76" s="59"/>
      <c r="AD76" s="59"/>
      <c r="AE76" s="59"/>
      <c r="AF76" s="59"/>
      <c r="AG76" s="59"/>
      <c r="AH76" s="59"/>
    </row>
    <row r="77" spans="1:34">
      <c r="A77" s="59"/>
      <c r="B77" s="59"/>
      <c r="C77" s="59"/>
      <c r="D77" s="59"/>
      <c r="E77" s="59"/>
      <c r="F77" s="59"/>
      <c r="G77" s="59"/>
      <c r="H77" s="59"/>
      <c r="I77" s="635"/>
      <c r="J77" s="636"/>
      <c r="K77" s="636"/>
      <c r="L77" s="636"/>
      <c r="M77" s="636"/>
      <c r="N77" s="636"/>
      <c r="O77" s="636"/>
      <c r="P77" s="59"/>
      <c r="Q77" s="59"/>
      <c r="R77" s="59"/>
      <c r="S77" s="59"/>
      <c r="T77" s="59"/>
      <c r="U77" s="59"/>
      <c r="V77" s="59"/>
      <c r="W77" s="59"/>
      <c r="X77" s="59"/>
      <c r="Y77" s="59"/>
      <c r="Z77" s="59"/>
      <c r="AA77" s="59"/>
      <c r="AB77" s="59"/>
      <c r="AC77" s="59"/>
      <c r="AD77" s="59"/>
      <c r="AE77" s="59"/>
      <c r="AF77" s="59"/>
      <c r="AG77" s="59"/>
      <c r="AH77" s="59"/>
    </row>
    <row r="78" spans="1:34">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row>
    <row r="79" spans="1:34">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row>
    <row r="80" spans="1:34">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row>
    <row r="81" spans="1:34">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row>
    <row r="82" spans="1:34">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row>
    <row r="83" spans="1:34">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row>
    <row r="84" spans="1:3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row>
    <row r="85" spans="1:34">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row>
    <row r="86" spans="1:34">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row>
    <row r="87" spans="1:34">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row>
    <row r="88" spans="1:34">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row>
    <row r="89" spans="1:34">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row>
    <row r="90" spans="1:34">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row>
    <row r="91" spans="1:34">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row>
    <row r="92" spans="1:34">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row>
    <row r="93" spans="1:34">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row>
    <row r="94" spans="1:3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row>
    <row r="95" spans="1:34">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row>
    <row r="96" spans="1:34">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row>
    <row r="97" spans="1:34">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row>
    <row r="98" spans="1:34">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row>
    <row r="99" spans="1:34">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row>
    <row r="100" spans="1:34">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row>
    <row r="101" spans="1:34">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row>
    <row r="102" spans="1:34">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row>
    <row r="103" spans="1:34">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row>
    <row r="104" spans="1:3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row>
    <row r="105" spans="1:34">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row>
    <row r="106" spans="1:34">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row>
    <row r="107" spans="1:34">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row>
    <row r="108" spans="1:34">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row>
    <row r="109" spans="1:34">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row>
    <row r="110" spans="1:34">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row>
    <row r="111" spans="1:34">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row>
    <row r="112" spans="1:34">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row>
    <row r="113" spans="1:34">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row>
    <row r="114" spans="1:3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row>
    <row r="115" spans="1:34">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row>
    <row r="116" spans="1:34">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row>
    <row r="117" spans="1:34">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row>
    <row r="118" spans="1:34">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row>
    <row r="119" spans="1:34">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row>
    <row r="120" spans="1:34">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row>
    <row r="121" spans="1:34">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row>
    <row r="122" spans="1:34">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row>
    <row r="123" spans="1:34">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row>
    <row r="124" spans="1:34">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row>
    <row r="125" spans="1:34">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row>
    <row r="126" spans="1:34">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row>
    <row r="127" spans="1:34">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row>
    <row r="128" spans="1:34">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row>
    <row r="129" spans="1:34">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row>
    <row r="130" spans="1:34">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row>
    <row r="131" spans="1:34">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row>
    <row r="132" spans="1:34">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row>
    <row r="133" spans="1:34">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row>
    <row r="134" spans="1:34">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row>
    <row r="135" spans="1:34">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row>
    <row r="136" spans="1:34">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row>
    <row r="137" spans="1:34">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row>
    <row r="138" spans="1:34">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row>
    <row r="139" spans="1:34">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row>
    <row r="140" spans="1:34">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row>
    <row r="141" spans="1:34">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row>
    <row r="142" spans="1:34">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row>
    <row r="143" spans="1:34">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row>
    <row r="144" spans="1:34">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row>
    <row r="145" spans="1:34">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row>
    <row r="146" spans="1:34">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row>
    <row r="147" spans="1:34">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row>
    <row r="148" spans="1:34">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row>
    <row r="149" spans="1:34">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row>
    <row r="150" spans="1:34">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row>
    <row r="151" spans="1:34">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row>
    <row r="152" spans="1:34">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row>
    <row r="153" spans="1:34">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row>
    <row r="154" spans="1:34">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row>
    <row r="155" spans="1:34">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row>
    <row r="156" spans="1:34">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row>
    <row r="157" spans="1:34">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row>
    <row r="158" spans="1:34">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row>
    <row r="159" spans="1:34">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row>
    <row r="160" spans="1:34">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row>
    <row r="161" spans="1:34">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row>
    <row r="162" spans="1:34">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row>
    <row r="163" spans="1:34">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row>
    <row r="164" spans="1:34">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row>
    <row r="165" spans="1:34">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row>
    <row r="166" spans="1:34">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row>
    <row r="167" spans="1:34">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row>
    <row r="168" spans="1:34">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row>
    <row r="169" spans="1:34">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row>
    <row r="170" spans="1:34">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row>
    <row r="171" spans="1:34">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row>
    <row r="172" spans="1:34">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row>
    <row r="173" spans="1:34">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row>
    <row r="174" spans="1:34">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row>
    <row r="175" spans="1:34">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row>
    <row r="176" spans="1:34">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row>
    <row r="177" spans="1:34">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row>
    <row r="178" spans="1:34">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row>
    <row r="179" spans="1:34">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row>
    <row r="180" spans="1:34">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row>
    <row r="181" spans="1:34">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row>
    <row r="182" spans="1:34">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row>
    <row r="183" spans="1:34">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row>
    <row r="184" spans="1:34">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row>
    <row r="185" spans="1:34">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row>
    <row r="186" spans="1:34">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row>
    <row r="187" spans="1:34">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row>
    <row r="188" spans="1:34">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row>
    <row r="189" spans="1:34">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row>
    <row r="190" spans="1:34">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row>
    <row r="191" spans="1:34">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row>
    <row r="192" spans="1:34">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row>
    <row r="193" spans="1:34">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row>
    <row r="194" spans="1:34">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row>
    <row r="195" spans="1:34">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row>
    <row r="196" spans="1:34">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row>
    <row r="197" spans="1:34">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row>
    <row r="198" spans="1:34">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row>
    <row r="199" spans="1:34">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row>
    <row r="200" spans="1:34">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row>
    <row r="201" spans="1:34">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row>
    <row r="202" spans="1:34">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row>
    <row r="203" spans="1:34">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row>
    <row r="204" spans="1:34">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row>
    <row r="205" spans="1:34">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row>
    <row r="206" spans="1:34">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row>
    <row r="207" spans="1:34">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row>
    <row r="208" spans="1:34">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row>
    <row r="209" spans="1:34">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row>
    <row r="210" spans="1:34">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row>
    <row r="211" spans="1:34">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row>
    <row r="212" spans="1:34">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row>
    <row r="213" spans="1:34">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row>
    <row r="214" spans="1:34">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row>
    <row r="215" spans="1:34">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row>
    <row r="216" spans="1:34">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row>
    <row r="217" spans="1:34">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row>
    <row r="218" spans="1:34">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row>
    <row r="219" spans="1:34">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row>
    <row r="220" spans="1:34">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row>
    <row r="221" spans="1:34">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row>
    <row r="222" spans="1:34">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row>
    <row r="223" spans="1:34">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row>
    <row r="224" spans="1:34">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row>
    <row r="225" spans="1:34">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row>
    <row r="226" spans="1:34">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row>
    <row r="227" spans="1:34">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row>
    <row r="228" spans="1:34">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row>
    <row r="229" spans="1:34">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row>
    <row r="230" spans="1:34">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row>
    <row r="231" spans="1:34">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row>
    <row r="232" spans="1:34">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row>
    <row r="233" spans="1:34">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row>
    <row r="234" spans="1:34">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row>
    <row r="235" spans="1:34">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row>
    <row r="236" spans="1:34">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row>
    <row r="237" spans="1:34">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row>
    <row r="238" spans="1:34">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row>
    <row r="239" spans="1:34">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row>
    <row r="240" spans="1:34">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row>
    <row r="241" spans="1:47">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row>
    <row r="242" spans="1:47">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row>
    <row r="243" spans="1:47">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row>
    <row r="244" spans="1:47">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row>
    <row r="245" spans="1:47">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row>
    <row r="246" spans="1:47">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row>
    <row r="247" spans="1:47">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row>
    <row r="248" spans="1:47">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row>
    <row r="249" spans="1:47">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c r="AK249" s="88"/>
      <c r="AL249" s="88"/>
      <c r="AM249" s="88"/>
      <c r="AN249" s="88"/>
      <c r="AO249" s="88"/>
      <c r="AP249" s="88"/>
      <c r="AQ249" s="88"/>
      <c r="AR249" s="88"/>
      <c r="AS249" s="88"/>
      <c r="AT249" s="88"/>
      <c r="AU249" s="88"/>
    </row>
    <row r="250" spans="1:47">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c r="AK250" s="88"/>
      <c r="AL250" s="88"/>
      <c r="AM250" s="88"/>
      <c r="AN250" s="88"/>
      <c r="AO250" s="88"/>
      <c r="AP250" s="88"/>
      <c r="AQ250" s="88"/>
      <c r="AR250" s="88"/>
      <c r="AS250" s="88"/>
      <c r="AT250" s="88"/>
      <c r="AU250" s="88"/>
    </row>
    <row r="251" spans="1:47">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c r="AK251" s="88"/>
      <c r="AL251" s="88"/>
      <c r="AM251" s="88"/>
      <c r="AN251" s="88"/>
      <c r="AO251" s="88"/>
      <c r="AP251" s="88"/>
      <c r="AQ251" s="88"/>
      <c r="AR251" s="88"/>
      <c r="AS251" s="88"/>
      <c r="AT251" s="88"/>
      <c r="AU251" s="88"/>
    </row>
    <row r="252" spans="1:47">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c r="AK252" s="88"/>
      <c r="AL252" s="88"/>
      <c r="AM252" s="88"/>
      <c r="AN252" s="88"/>
      <c r="AO252" s="88"/>
      <c r="AP252" s="88"/>
      <c r="AQ252" s="88"/>
      <c r="AR252" s="88"/>
      <c r="AS252" s="88"/>
      <c r="AT252" s="88"/>
      <c r="AU252" s="88"/>
    </row>
    <row r="253" spans="1:47">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c r="AK253" s="88"/>
      <c r="AL253" s="88"/>
      <c r="AM253" s="88"/>
      <c r="AN253" s="88"/>
      <c r="AO253" s="88"/>
      <c r="AP253" s="88"/>
      <c r="AQ253" s="88"/>
      <c r="AR253" s="88"/>
      <c r="AS253" s="88"/>
      <c r="AT253" s="88"/>
      <c r="AU253" s="88"/>
    </row>
    <row r="254" spans="1:47">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88"/>
    </row>
    <row r="255" spans="1:47">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c r="AK255" s="88"/>
      <c r="AL255" s="88"/>
      <c r="AM255" s="88"/>
      <c r="AN255" s="88"/>
      <c r="AO255" s="88"/>
      <c r="AP255" s="88"/>
      <c r="AQ255" s="88"/>
      <c r="AR255" s="88"/>
      <c r="AS255" s="88"/>
      <c r="AT255" s="88"/>
      <c r="AU255" s="88"/>
    </row>
    <row r="256" spans="1:47">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c r="AK256" s="88"/>
      <c r="AL256" s="88"/>
      <c r="AM256" s="88"/>
      <c r="AN256" s="88"/>
      <c r="AO256" s="88"/>
      <c r="AP256" s="88"/>
      <c r="AQ256" s="88"/>
      <c r="AR256" s="88"/>
      <c r="AS256" s="88"/>
      <c r="AT256" s="88"/>
      <c r="AU256" s="88"/>
    </row>
    <row r="257" spans="7:47">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c r="AK257" s="88"/>
      <c r="AL257" s="88"/>
      <c r="AM257" s="88"/>
      <c r="AN257" s="88"/>
      <c r="AO257" s="88"/>
      <c r="AP257" s="88"/>
      <c r="AQ257" s="88"/>
      <c r="AR257" s="88"/>
      <c r="AS257" s="88"/>
      <c r="AT257" s="88"/>
      <c r="AU257" s="88"/>
    </row>
    <row r="258" spans="7:47">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88"/>
    </row>
    <row r="259" spans="7:47">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88"/>
    </row>
    <row r="260" spans="7:47">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row>
    <row r="261" spans="7:47">
      <c r="G261" s="88"/>
      <c r="H261" s="88"/>
      <c r="I261" s="88"/>
      <c r="J261" s="88"/>
      <c r="K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88"/>
    </row>
    <row r="262" spans="7:47">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c r="AK262" s="88"/>
      <c r="AL262" s="88"/>
      <c r="AM262" s="88"/>
      <c r="AN262" s="88"/>
      <c r="AO262" s="88"/>
      <c r="AP262" s="88"/>
      <c r="AQ262" s="88"/>
      <c r="AR262" s="88"/>
      <c r="AS262" s="88"/>
      <c r="AT262" s="88"/>
      <c r="AU262" s="88"/>
    </row>
    <row r="263" spans="7:47">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c r="AK263" s="88"/>
      <c r="AL263" s="88"/>
      <c r="AM263" s="88"/>
      <c r="AN263" s="88"/>
      <c r="AO263" s="88"/>
      <c r="AP263" s="88"/>
      <c r="AQ263" s="88"/>
      <c r="AR263" s="88"/>
      <c r="AS263" s="88"/>
      <c r="AT263" s="88"/>
      <c r="AU263" s="88"/>
    </row>
    <row r="264" spans="7:47">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c r="AK264" s="88"/>
      <c r="AL264" s="88"/>
      <c r="AM264" s="88"/>
      <c r="AN264" s="88"/>
      <c r="AO264" s="88"/>
      <c r="AP264" s="88"/>
      <c r="AQ264" s="88"/>
      <c r="AR264" s="88"/>
      <c r="AS264" s="88"/>
      <c r="AT264" s="88"/>
      <c r="AU264" s="88"/>
    </row>
    <row r="265" spans="7:47">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c r="AK265" s="88"/>
      <c r="AL265" s="88"/>
      <c r="AM265" s="88"/>
      <c r="AN265" s="88"/>
      <c r="AO265" s="88"/>
      <c r="AP265" s="88"/>
      <c r="AQ265" s="88"/>
      <c r="AR265" s="88"/>
      <c r="AS265" s="88"/>
      <c r="AT265" s="88"/>
      <c r="AU265" s="88"/>
    </row>
  </sheetData>
  <mergeCells count="79">
    <mergeCell ref="A1:G1"/>
    <mergeCell ref="C51:F51"/>
    <mergeCell ref="A14:G14"/>
    <mergeCell ref="A31:G31"/>
    <mergeCell ref="A32:G32"/>
    <mergeCell ref="A2:G2"/>
    <mergeCell ref="A7:G7"/>
    <mergeCell ref="B6:D6"/>
    <mergeCell ref="A26:G26"/>
    <mergeCell ref="A27:G27"/>
    <mergeCell ref="A8:G8"/>
    <mergeCell ref="A16:G16"/>
    <mergeCell ref="A9:G9"/>
    <mergeCell ref="A30:G30"/>
    <mergeCell ref="A34:G34"/>
    <mergeCell ref="C11:G11"/>
    <mergeCell ref="A33:G33"/>
    <mergeCell ref="A28:G28"/>
    <mergeCell ref="A29:G29"/>
    <mergeCell ref="A10:B10"/>
    <mergeCell ref="C10:G10"/>
    <mergeCell ref="A20:G20"/>
    <mergeCell ref="A19:G19"/>
    <mergeCell ref="A11:B11"/>
    <mergeCell ref="A12:B12"/>
    <mergeCell ref="C12:G12"/>
    <mergeCell ref="A21:G21"/>
    <mergeCell ref="A25:G25"/>
    <mergeCell ref="A13:G13"/>
    <mergeCell ref="A17:G17"/>
    <mergeCell ref="A18:G18"/>
    <mergeCell ref="A15:G15"/>
    <mergeCell ref="C42:F42"/>
    <mergeCell ref="C41:F41"/>
    <mergeCell ref="A74:G74"/>
    <mergeCell ref="C50:F50"/>
    <mergeCell ref="C70:F70"/>
    <mergeCell ref="C61:F61"/>
    <mergeCell ref="C58:F58"/>
    <mergeCell ref="C60:F60"/>
    <mergeCell ref="C57:F57"/>
    <mergeCell ref="A71:G71"/>
    <mergeCell ref="A52:A54"/>
    <mergeCell ref="C69:F69"/>
    <mergeCell ref="C54:F54"/>
    <mergeCell ref="G52:G54"/>
    <mergeCell ref="B52:B54"/>
    <mergeCell ref="A72:G72"/>
    <mergeCell ref="C49:F49"/>
    <mergeCell ref="C46:F46"/>
    <mergeCell ref="C40:F40"/>
    <mergeCell ref="A22:G22"/>
    <mergeCell ref="A23:G23"/>
    <mergeCell ref="A24:G24"/>
    <mergeCell ref="A35:G35"/>
    <mergeCell ref="A36:G36"/>
    <mergeCell ref="A37:G37"/>
    <mergeCell ref="A38:G38"/>
    <mergeCell ref="C48:F48"/>
    <mergeCell ref="C39:F39"/>
    <mergeCell ref="C47:F47"/>
    <mergeCell ref="C45:F45"/>
    <mergeCell ref="C44:F44"/>
    <mergeCell ref="C43:F43"/>
    <mergeCell ref="I76:O76"/>
    <mergeCell ref="I77:O77"/>
    <mergeCell ref="C52:F52"/>
    <mergeCell ref="A73:G73"/>
    <mergeCell ref="C63:F63"/>
    <mergeCell ref="C64:F64"/>
    <mergeCell ref="C65:F65"/>
    <mergeCell ref="C66:F66"/>
    <mergeCell ref="C56:F56"/>
    <mergeCell ref="C55:F55"/>
    <mergeCell ref="C67:F67"/>
    <mergeCell ref="C62:F62"/>
    <mergeCell ref="C53:F53"/>
    <mergeCell ref="C68:F68"/>
    <mergeCell ref="C59:F59"/>
  </mergeCells>
  <phoneticPr fontId="7"/>
  <hyperlinks>
    <hyperlink ref="A10:B10" location="'NDC MASTER SHEET'!A1" display="NDC Master Sheet" xr:uid="{00000000-0004-0000-0000-000000000000}"/>
    <hyperlink ref="A11:B11" location="'NDC Change Tracker'!A1" display="NDC Change Tracker" xr:uid="{00000000-0004-0000-0000-000001000000}"/>
    <hyperlink ref="A12:B12" location="Analytics!A1" display="Analytics" xr:uid="{00000000-0004-0000-0000-000002000000}"/>
  </hyperlinks>
  <pageMargins left="0.25" right="0.25"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24851"/>
  </sheetPr>
  <dimension ref="A1:BQ208"/>
  <sheetViews>
    <sheetView zoomScaleNormal="100" workbookViewId="0">
      <pane xSplit="1" ySplit="4" topLeftCell="B5" activePane="bottomRight" state="frozen"/>
      <selection activeCell="L33" sqref="L33:R33"/>
      <selection pane="topRight" activeCell="L33" sqref="L33:R33"/>
      <selection pane="bottomLeft" activeCell="L33" sqref="L33:R33"/>
      <selection pane="bottomRight" sqref="A1:A4"/>
    </sheetView>
  </sheetViews>
  <sheetFormatPr defaultRowHeight="14.4" outlineLevelRow="1"/>
  <cols>
    <col min="1" max="1" width="14.21875" style="36" customWidth="1"/>
    <col min="2" max="2" width="9.77734375" style="36" customWidth="1"/>
    <col min="3" max="3" width="12.88671875" style="38" customWidth="1"/>
    <col min="4" max="4" width="13.33203125" style="163" customWidth="1"/>
    <col min="5" max="6" width="10" style="163" customWidth="1"/>
    <col min="7" max="7" width="10.33203125" style="163" customWidth="1"/>
    <col min="8" max="8" width="10.77734375" style="170" customWidth="1"/>
    <col min="9" max="9" width="10.77734375" style="171" customWidth="1"/>
    <col min="10" max="10" width="59.21875" style="163" customWidth="1"/>
    <col min="11" max="11" width="63" style="163" customWidth="1"/>
    <col min="12" max="12" width="10.109375" style="1" customWidth="1"/>
    <col min="13" max="18" width="7.77734375" style="9" customWidth="1"/>
    <col min="19" max="25" width="5.77734375" style="9" customWidth="1"/>
    <col min="26" max="26" width="7" style="1" customWidth="1"/>
    <col min="27" max="27" width="5.88671875" style="1" customWidth="1"/>
    <col min="28" max="32" width="5.77734375" style="1" customWidth="1"/>
    <col min="33" max="33" width="10.88671875" style="28" customWidth="1"/>
    <col min="34" max="34" width="10.6640625" style="28" customWidth="1"/>
    <col min="35" max="35" width="10.88671875" style="28" customWidth="1"/>
    <col min="36" max="36" width="42.88671875" customWidth="1"/>
    <col min="37" max="37" width="55.88671875" customWidth="1"/>
    <col min="38" max="38" width="60.88671875" customWidth="1"/>
    <col min="39" max="44" width="9.77734375" style="14" customWidth="1"/>
    <col min="45" max="45" width="9.77734375" style="14" hidden="1" customWidth="1"/>
    <col min="46" max="46" width="11.33203125" style="14" customWidth="1"/>
    <col min="47" max="48" width="11.77734375" style="17" customWidth="1"/>
    <col min="49" max="50" width="11.77734375" style="14" customWidth="1"/>
    <col min="51" max="51" width="11.77734375" customWidth="1"/>
    <col min="52" max="52" width="13.77734375" style="265" customWidth="1"/>
    <col min="53" max="53" width="11.77734375" style="1" customWidth="1"/>
    <col min="54" max="54" width="13.77734375" style="13" customWidth="1"/>
    <col min="55" max="55" width="11.77734375" style="13" customWidth="1"/>
    <col min="56" max="56" width="13.77734375" style="44" customWidth="1"/>
    <col min="57" max="57" width="11.109375" style="1" customWidth="1"/>
    <col min="58" max="58" width="11.77734375" style="17" customWidth="1"/>
    <col min="59" max="59" width="10.6640625" style="246" customWidth="1"/>
    <col min="60" max="60" width="9.109375" style="246" customWidth="1"/>
    <col min="61" max="61" width="10.6640625" style="444" customWidth="1"/>
    <col min="62" max="62" width="9.109375" style="171" customWidth="1"/>
    <col min="63" max="63" width="18.109375" style="1" customWidth="1"/>
    <col min="64" max="64" width="14" customWidth="1"/>
    <col min="65" max="65" width="21.33203125" style="1" customWidth="1"/>
    <col min="66" max="66" width="23.88671875" customWidth="1"/>
  </cols>
  <sheetData>
    <row r="1" spans="1:69" ht="15.75" customHeight="1">
      <c r="A1" s="695" t="s">
        <v>998</v>
      </c>
      <c r="B1" s="708" t="s">
        <v>82</v>
      </c>
      <c r="C1" s="697" t="s">
        <v>272</v>
      </c>
      <c r="D1" s="670"/>
      <c r="E1" s="670"/>
      <c r="F1" s="670"/>
      <c r="G1" s="670"/>
      <c r="H1" s="670"/>
      <c r="I1" s="670"/>
      <c r="J1" s="670"/>
      <c r="K1" s="671"/>
      <c r="L1" s="670" t="s">
        <v>399</v>
      </c>
      <c r="M1" s="670"/>
      <c r="N1" s="670"/>
      <c r="O1" s="670"/>
      <c r="P1" s="670"/>
      <c r="Q1" s="670"/>
      <c r="R1" s="670"/>
      <c r="S1" s="670"/>
      <c r="T1" s="670"/>
      <c r="U1" s="670"/>
      <c r="V1" s="670"/>
      <c r="W1" s="670"/>
      <c r="X1" s="670"/>
      <c r="Y1" s="670"/>
      <c r="Z1" s="670"/>
      <c r="AA1" s="670"/>
      <c r="AB1" s="670"/>
      <c r="AC1" s="670"/>
      <c r="AD1" s="670"/>
      <c r="AE1" s="670"/>
      <c r="AF1" s="671"/>
      <c r="AG1" s="670" t="s">
        <v>351</v>
      </c>
      <c r="AH1" s="670"/>
      <c r="AI1" s="670"/>
      <c r="AJ1" s="671"/>
      <c r="AK1" s="129" t="s">
        <v>352</v>
      </c>
      <c r="AL1" s="670" t="s">
        <v>379</v>
      </c>
      <c r="AM1" s="670"/>
      <c r="AN1" s="670"/>
      <c r="AO1" s="670"/>
      <c r="AP1" s="670"/>
      <c r="AQ1" s="670"/>
      <c r="AR1" s="671"/>
      <c r="AS1" s="601"/>
      <c r="AT1" s="682" t="s">
        <v>273</v>
      </c>
      <c r="AU1" s="670"/>
      <c r="AV1" s="670"/>
      <c r="AW1" s="670"/>
      <c r="AX1" s="670"/>
      <c r="AY1" s="687" t="s">
        <v>384</v>
      </c>
      <c r="AZ1" s="688"/>
      <c r="BA1" s="688"/>
      <c r="BB1" s="688"/>
      <c r="BC1" s="688"/>
      <c r="BD1" s="688"/>
      <c r="BE1" s="688"/>
      <c r="BF1" s="688"/>
      <c r="BG1" s="688"/>
      <c r="BH1" s="688"/>
      <c r="BI1" s="688"/>
      <c r="BJ1" s="688"/>
    </row>
    <row r="2" spans="1:69" s="125" customFormat="1" ht="45" customHeight="1">
      <c r="A2" s="695"/>
      <c r="B2" s="708"/>
      <c r="C2" s="698" t="s">
        <v>86</v>
      </c>
      <c r="D2" s="678"/>
      <c r="E2" s="678"/>
      <c r="F2" s="678"/>
      <c r="G2" s="681"/>
      <c r="H2" s="689" t="s">
        <v>430</v>
      </c>
      <c r="I2" s="691"/>
      <c r="J2" s="699" t="s">
        <v>369</v>
      </c>
      <c r="K2" s="700"/>
      <c r="L2" s="710" t="s">
        <v>353</v>
      </c>
      <c r="M2" s="678" t="s">
        <v>373</v>
      </c>
      <c r="N2" s="678"/>
      <c r="O2" s="678"/>
      <c r="P2" s="678"/>
      <c r="Q2" s="678"/>
      <c r="R2" s="678"/>
      <c r="S2" s="679" t="s">
        <v>448</v>
      </c>
      <c r="T2" s="678"/>
      <c r="U2" s="678"/>
      <c r="V2" s="678"/>
      <c r="W2" s="678"/>
      <c r="X2" s="678"/>
      <c r="Y2" s="702"/>
      <c r="Z2" s="701" t="s">
        <v>969</v>
      </c>
      <c r="AA2" s="699"/>
      <c r="AB2" s="699"/>
      <c r="AC2" s="699"/>
      <c r="AD2" s="699"/>
      <c r="AE2" s="699"/>
      <c r="AF2" s="700"/>
      <c r="AG2" s="706" t="s">
        <v>386</v>
      </c>
      <c r="AH2" s="699"/>
      <c r="AI2" s="707"/>
      <c r="AJ2" s="703" t="s">
        <v>363</v>
      </c>
      <c r="AK2" s="672" t="s">
        <v>362</v>
      </c>
      <c r="AL2" s="675" t="s">
        <v>383</v>
      </c>
      <c r="AM2" s="678" t="s">
        <v>368</v>
      </c>
      <c r="AN2" s="678"/>
      <c r="AO2" s="678"/>
      <c r="AP2" s="678"/>
      <c r="AQ2" s="678"/>
      <c r="AR2" s="678"/>
      <c r="AS2" s="602"/>
      <c r="AT2" s="683" t="s">
        <v>350</v>
      </c>
      <c r="AU2" s="678" t="s">
        <v>375</v>
      </c>
      <c r="AV2" s="681"/>
      <c r="AW2" s="678" t="s">
        <v>378</v>
      </c>
      <c r="AX2" s="681"/>
      <c r="AY2" s="679" t="s">
        <v>275</v>
      </c>
      <c r="AZ2" s="678"/>
      <c r="BA2" s="679" t="s">
        <v>1991</v>
      </c>
      <c r="BB2" s="681"/>
      <c r="BC2" s="679" t="s">
        <v>1992</v>
      </c>
      <c r="BD2" s="680"/>
      <c r="BE2" s="679" t="s">
        <v>894</v>
      </c>
      <c r="BF2" s="686"/>
      <c r="BG2" s="689" t="s">
        <v>891</v>
      </c>
      <c r="BH2" s="690"/>
      <c r="BI2" s="690"/>
      <c r="BJ2" s="691"/>
      <c r="BK2" s="1"/>
      <c r="BM2" s="1"/>
    </row>
    <row r="3" spans="1:69" s="160" customFormat="1" ht="14.25" customHeight="1">
      <c r="A3" s="695"/>
      <c r="B3" s="708"/>
      <c r="C3" s="166"/>
      <c r="D3" s="166"/>
      <c r="E3" s="166"/>
      <c r="F3" s="166"/>
      <c r="G3" s="167"/>
      <c r="H3" s="168"/>
      <c r="I3" s="167"/>
      <c r="J3" s="164"/>
      <c r="K3" s="165"/>
      <c r="L3" s="711"/>
      <c r="M3" s="166"/>
      <c r="N3" s="166"/>
      <c r="O3" s="166"/>
      <c r="P3" s="166"/>
      <c r="Q3" s="166"/>
      <c r="R3" s="166"/>
      <c r="S3" s="168"/>
      <c r="T3" s="166"/>
      <c r="U3" s="166"/>
      <c r="V3" s="166"/>
      <c r="W3" s="166"/>
      <c r="X3" s="166"/>
      <c r="Y3" s="169"/>
      <c r="Z3" s="168"/>
      <c r="AA3" s="166"/>
      <c r="AB3" s="166"/>
      <c r="AC3" s="166"/>
      <c r="AD3" s="166"/>
      <c r="AE3" s="166"/>
      <c r="AF3" s="169"/>
      <c r="AG3" s="161"/>
      <c r="AH3" s="161"/>
      <c r="AI3" s="162"/>
      <c r="AJ3" s="704"/>
      <c r="AK3" s="673"/>
      <c r="AL3" s="676"/>
      <c r="AM3" s="166"/>
      <c r="AN3" s="166"/>
      <c r="AO3" s="166"/>
      <c r="AP3" s="166"/>
      <c r="AQ3" s="166"/>
      <c r="AR3" s="166"/>
      <c r="AS3" s="166"/>
      <c r="AT3" s="684"/>
      <c r="AU3" s="166"/>
      <c r="AV3" s="167"/>
      <c r="AW3" s="166"/>
      <c r="AX3" s="167"/>
      <c r="AY3" s="166"/>
      <c r="AZ3" s="166"/>
      <c r="BA3" s="168"/>
      <c r="BB3" s="167"/>
      <c r="BC3" s="465"/>
      <c r="BD3" s="466"/>
      <c r="BE3" s="168"/>
      <c r="BF3" s="167"/>
      <c r="BG3" s="694" t="s">
        <v>887</v>
      </c>
      <c r="BH3" s="692"/>
      <c r="BI3" s="692" t="s">
        <v>888</v>
      </c>
      <c r="BJ3" s="693"/>
      <c r="BK3" s="1"/>
      <c r="BM3" s="1"/>
    </row>
    <row r="4" spans="1:69" ht="39" customHeight="1" thickBot="1">
      <c r="A4" s="696"/>
      <c r="B4" s="709"/>
      <c r="C4" s="146" t="s">
        <v>206</v>
      </c>
      <c r="D4" s="146" t="s">
        <v>101</v>
      </c>
      <c r="E4" s="147" t="s">
        <v>315</v>
      </c>
      <c r="F4" s="147" t="s">
        <v>0</v>
      </c>
      <c r="G4" s="143" t="s">
        <v>372</v>
      </c>
      <c r="H4" s="145" t="s">
        <v>427</v>
      </c>
      <c r="I4" s="183" t="s">
        <v>428</v>
      </c>
      <c r="J4" s="130" t="s">
        <v>370</v>
      </c>
      <c r="K4" s="182" t="s">
        <v>371</v>
      </c>
      <c r="L4" s="712"/>
      <c r="M4" s="152" t="s">
        <v>387</v>
      </c>
      <c r="N4" s="153" t="s">
        <v>388</v>
      </c>
      <c r="O4" s="153" t="s">
        <v>389</v>
      </c>
      <c r="P4" s="153" t="s">
        <v>390</v>
      </c>
      <c r="Q4" s="153" t="s">
        <v>391</v>
      </c>
      <c r="R4" s="153" t="s">
        <v>392</v>
      </c>
      <c r="S4" s="136" t="s">
        <v>356</v>
      </c>
      <c r="T4" s="137" t="s">
        <v>355</v>
      </c>
      <c r="U4" s="137" t="s">
        <v>357</v>
      </c>
      <c r="V4" s="138" t="s">
        <v>398</v>
      </c>
      <c r="W4" s="138" t="s">
        <v>358</v>
      </c>
      <c r="X4" s="137" t="s">
        <v>359</v>
      </c>
      <c r="Y4" s="139" t="s">
        <v>361</v>
      </c>
      <c r="Z4" s="136" t="s">
        <v>356</v>
      </c>
      <c r="AA4" s="137" t="s">
        <v>355</v>
      </c>
      <c r="AB4" s="137" t="s">
        <v>357</v>
      </c>
      <c r="AC4" s="138" t="s">
        <v>398</v>
      </c>
      <c r="AD4" s="138" t="s">
        <v>358</v>
      </c>
      <c r="AE4" s="138" t="s">
        <v>476</v>
      </c>
      <c r="AF4" s="139" t="s">
        <v>361</v>
      </c>
      <c r="AG4" s="140" t="s">
        <v>370</v>
      </c>
      <c r="AH4" s="148" t="s">
        <v>371</v>
      </c>
      <c r="AI4" s="141" t="s">
        <v>170</v>
      </c>
      <c r="AJ4" s="705"/>
      <c r="AK4" s="674"/>
      <c r="AL4" s="677"/>
      <c r="AM4" s="155" t="s">
        <v>364</v>
      </c>
      <c r="AN4" s="153" t="s">
        <v>365</v>
      </c>
      <c r="AO4" s="153" t="s">
        <v>366</v>
      </c>
      <c r="AP4" s="153" t="s">
        <v>367</v>
      </c>
      <c r="AQ4" s="153" t="s">
        <v>237</v>
      </c>
      <c r="AR4" s="153" t="s">
        <v>382</v>
      </c>
      <c r="AS4" s="152"/>
      <c r="AT4" s="685"/>
      <c r="AU4" s="142" t="s">
        <v>376</v>
      </c>
      <c r="AV4" s="143" t="s">
        <v>377</v>
      </c>
      <c r="AW4" s="142" t="s">
        <v>376</v>
      </c>
      <c r="AX4" s="143" t="s">
        <v>377</v>
      </c>
      <c r="AY4" s="142" t="s">
        <v>380</v>
      </c>
      <c r="AZ4" s="144" t="s">
        <v>385</v>
      </c>
      <c r="BA4" s="145" t="s">
        <v>380</v>
      </c>
      <c r="BB4" s="144" t="s">
        <v>385</v>
      </c>
      <c r="BC4" s="467" t="s">
        <v>380</v>
      </c>
      <c r="BD4" s="468" t="s">
        <v>385</v>
      </c>
      <c r="BE4" s="145" t="s">
        <v>895</v>
      </c>
      <c r="BF4" s="197" t="s">
        <v>896</v>
      </c>
      <c r="BG4" s="145" t="s">
        <v>889</v>
      </c>
      <c r="BH4" s="145" t="s">
        <v>892</v>
      </c>
      <c r="BI4" s="439" t="s">
        <v>890</v>
      </c>
      <c r="BJ4" s="439" t="s">
        <v>892</v>
      </c>
      <c r="BL4" s="1"/>
      <c r="BN4" s="1"/>
      <c r="BO4" s="1"/>
      <c r="BP4" s="1"/>
      <c r="BQ4" s="1"/>
    </row>
    <row r="5" spans="1:69" ht="108" customHeight="1">
      <c r="A5" s="32" t="s">
        <v>491</v>
      </c>
      <c r="B5" s="90" t="s">
        <v>23</v>
      </c>
      <c r="C5" s="293" t="s">
        <v>185</v>
      </c>
      <c r="D5" s="431" t="s">
        <v>1002</v>
      </c>
      <c r="E5" s="230" t="s">
        <v>1</v>
      </c>
      <c r="F5" s="230">
        <v>2030</v>
      </c>
      <c r="G5" s="230" t="s">
        <v>3</v>
      </c>
      <c r="H5" s="173">
        <v>2020</v>
      </c>
      <c r="I5" s="173">
        <v>2030</v>
      </c>
      <c r="J5" s="294" t="s">
        <v>61</v>
      </c>
      <c r="K5" s="295" t="s">
        <v>1084</v>
      </c>
      <c r="L5" s="296" t="s">
        <v>360</v>
      </c>
      <c r="M5" s="296" t="s">
        <v>131</v>
      </c>
      <c r="N5" s="296" t="s">
        <v>131</v>
      </c>
      <c r="O5" s="296" t="s">
        <v>131</v>
      </c>
      <c r="P5" s="296" t="s">
        <v>131</v>
      </c>
      <c r="Q5" s="296" t="s">
        <v>131</v>
      </c>
      <c r="R5" s="297" t="s">
        <v>131</v>
      </c>
      <c r="S5" s="296" t="s">
        <v>131</v>
      </c>
      <c r="T5" s="296" t="s">
        <v>131</v>
      </c>
      <c r="U5" s="296" t="s">
        <v>131</v>
      </c>
      <c r="V5" s="296" t="s">
        <v>3</v>
      </c>
      <c r="W5" s="296" t="s">
        <v>3</v>
      </c>
      <c r="X5" s="296" t="s">
        <v>3</v>
      </c>
      <c r="Y5" s="382" t="s">
        <v>3</v>
      </c>
      <c r="Z5" s="296" t="s">
        <v>452</v>
      </c>
      <c r="AA5" s="296" t="s">
        <v>452</v>
      </c>
      <c r="AB5" s="296" t="s">
        <v>452</v>
      </c>
      <c r="AC5" s="296" t="s">
        <v>452</v>
      </c>
      <c r="AD5" s="296" t="s">
        <v>452</v>
      </c>
      <c r="AE5" s="296" t="s">
        <v>452</v>
      </c>
      <c r="AF5" s="298" t="s">
        <v>3</v>
      </c>
      <c r="AG5" s="232">
        <v>6.62</v>
      </c>
      <c r="AH5" s="232">
        <v>10.785</v>
      </c>
      <c r="AI5" s="232">
        <v>17.405000000000001</v>
      </c>
      <c r="AJ5" s="299" t="s">
        <v>1099</v>
      </c>
      <c r="AK5" s="295" t="s">
        <v>3</v>
      </c>
      <c r="AL5" s="22" t="s">
        <v>102</v>
      </c>
      <c r="AM5" s="115" t="s">
        <v>3</v>
      </c>
      <c r="AN5" s="115" t="s">
        <v>3</v>
      </c>
      <c r="AO5" s="115" t="s">
        <v>3</v>
      </c>
      <c r="AP5" s="115" t="s">
        <v>3</v>
      </c>
      <c r="AQ5" s="115" t="s">
        <v>3</v>
      </c>
      <c r="AR5" s="300" t="s">
        <v>3</v>
      </c>
      <c r="AS5" s="117" t="str">
        <f>IF(COUNTIF(AM5:AR5,"&lt;&gt;*N/A*"),1,"")</f>
        <v/>
      </c>
      <c r="AT5" s="293" t="s">
        <v>203</v>
      </c>
      <c r="AU5" s="301" t="s">
        <v>3</v>
      </c>
      <c r="AV5" s="302">
        <v>41356</v>
      </c>
      <c r="AW5" s="303">
        <v>42482</v>
      </c>
      <c r="AX5" s="303">
        <v>42781</v>
      </c>
      <c r="AY5" s="304">
        <v>42283</v>
      </c>
      <c r="AZ5" s="305" t="s">
        <v>733</v>
      </c>
      <c r="BA5" s="304">
        <v>42697</v>
      </c>
      <c r="BB5" s="603" t="s">
        <v>1997</v>
      </c>
      <c r="BC5" s="394" t="s">
        <v>3</v>
      </c>
      <c r="BD5" s="394" t="s">
        <v>3</v>
      </c>
      <c r="BE5" s="173" t="s">
        <v>899</v>
      </c>
      <c r="BF5" s="404" t="s">
        <v>900</v>
      </c>
      <c r="BG5" s="396" t="s">
        <v>3</v>
      </c>
      <c r="BH5" s="394" t="s">
        <v>3</v>
      </c>
      <c r="BI5" s="177">
        <v>2019</v>
      </c>
      <c r="BJ5" s="446">
        <v>1</v>
      </c>
      <c r="BK5"/>
      <c r="BM5"/>
    </row>
    <row r="6" spans="1:69" ht="91.95" customHeight="1">
      <c r="A6" s="32" t="s">
        <v>490</v>
      </c>
      <c r="B6" s="93" t="s">
        <v>438</v>
      </c>
      <c r="C6" s="293" t="s">
        <v>1717</v>
      </c>
      <c r="D6" s="306">
        <v>0.20899999999999999</v>
      </c>
      <c r="E6" s="307" t="s">
        <v>1</v>
      </c>
      <c r="F6" s="307">
        <v>2030</v>
      </c>
      <c r="G6" s="230" t="s">
        <v>3</v>
      </c>
      <c r="H6" s="176">
        <v>2021</v>
      </c>
      <c r="I6" s="176">
        <v>2030</v>
      </c>
      <c r="J6" s="24" t="s">
        <v>1740</v>
      </c>
      <c r="K6" s="308" t="s">
        <v>3</v>
      </c>
      <c r="L6" s="293" t="s">
        <v>354</v>
      </c>
      <c r="M6" s="293" t="s">
        <v>131</v>
      </c>
      <c r="N6" s="293" t="s">
        <v>1705</v>
      </c>
      <c r="O6" s="293" t="s">
        <v>1705</v>
      </c>
      <c r="P6" s="293" t="s">
        <v>1705</v>
      </c>
      <c r="Q6" s="293" t="s">
        <v>1705</v>
      </c>
      <c r="R6" s="309" t="s">
        <v>1705</v>
      </c>
      <c r="S6" s="293" t="s">
        <v>131</v>
      </c>
      <c r="T6" s="293" t="s">
        <v>1705</v>
      </c>
      <c r="U6" s="293" t="s">
        <v>1705</v>
      </c>
      <c r="V6" s="293" t="s">
        <v>471</v>
      </c>
      <c r="W6" s="293" t="s">
        <v>1706</v>
      </c>
      <c r="X6" s="293" t="s">
        <v>3</v>
      </c>
      <c r="Y6" s="310" t="s">
        <v>3</v>
      </c>
      <c r="Z6" s="293">
        <v>4.9000000000000004</v>
      </c>
      <c r="AA6" s="293">
        <v>3.1</v>
      </c>
      <c r="AB6" s="293">
        <v>0.9</v>
      </c>
      <c r="AC6" s="293">
        <v>0.1</v>
      </c>
      <c r="AD6" s="296" t="s">
        <v>452</v>
      </c>
      <c r="AE6" s="296" t="s">
        <v>452</v>
      </c>
      <c r="AF6" s="298" t="s">
        <v>3</v>
      </c>
      <c r="AG6" s="311" t="s">
        <v>3</v>
      </c>
      <c r="AH6" s="311" t="s">
        <v>3</v>
      </c>
      <c r="AI6" s="311" t="s">
        <v>3</v>
      </c>
      <c r="AJ6" s="312" t="s">
        <v>3</v>
      </c>
      <c r="AK6" s="308" t="s">
        <v>1741</v>
      </c>
      <c r="AL6" s="22" t="s">
        <v>1742</v>
      </c>
      <c r="AM6" s="115" t="s">
        <v>131</v>
      </c>
      <c r="AN6" s="115" t="s">
        <v>3</v>
      </c>
      <c r="AO6" s="115" t="s">
        <v>3</v>
      </c>
      <c r="AP6" s="115" t="s">
        <v>3</v>
      </c>
      <c r="AQ6" s="115" t="s">
        <v>3</v>
      </c>
      <c r="AR6" s="116" t="s">
        <v>3</v>
      </c>
      <c r="AS6" s="117">
        <f t="shared" ref="AS6:AS69" si="0">IF(COUNTIF(AM6:AR6,"&lt;&gt;*N/A*"),1,"")</f>
        <v>1</v>
      </c>
      <c r="AT6" s="30" t="s">
        <v>203</v>
      </c>
      <c r="AU6" s="301" t="s">
        <v>3</v>
      </c>
      <c r="AV6" s="302">
        <v>38443</v>
      </c>
      <c r="AW6" s="120">
        <v>42482</v>
      </c>
      <c r="AX6" s="120">
        <v>42634</v>
      </c>
      <c r="AY6" s="302">
        <v>42271</v>
      </c>
      <c r="AZ6" s="305" t="s">
        <v>811</v>
      </c>
      <c r="BA6" s="321">
        <v>44481</v>
      </c>
      <c r="BB6" s="603" t="s">
        <v>1998</v>
      </c>
      <c r="BC6" s="394" t="s">
        <v>3</v>
      </c>
      <c r="BD6" s="394" t="s">
        <v>3</v>
      </c>
      <c r="BE6" s="173" t="s">
        <v>899</v>
      </c>
      <c r="BF6" s="404" t="s">
        <v>900</v>
      </c>
      <c r="BG6" s="396" t="s">
        <v>3</v>
      </c>
      <c r="BH6" s="394" t="s">
        <v>3</v>
      </c>
      <c r="BI6" s="177">
        <v>2021</v>
      </c>
      <c r="BJ6" s="446">
        <v>1</v>
      </c>
      <c r="BK6"/>
      <c r="BM6"/>
    </row>
    <row r="7" spans="1:69" ht="126.45" customHeight="1">
      <c r="A7" s="32" t="s">
        <v>492</v>
      </c>
      <c r="B7" s="203" t="s">
        <v>182</v>
      </c>
      <c r="C7" s="293" t="s">
        <v>185</v>
      </c>
      <c r="D7" s="293" t="s">
        <v>1003</v>
      </c>
      <c r="E7" s="293" t="s">
        <v>1</v>
      </c>
      <c r="F7" s="293">
        <v>2030</v>
      </c>
      <c r="G7" s="230" t="s">
        <v>3</v>
      </c>
      <c r="H7" s="177">
        <v>2021</v>
      </c>
      <c r="I7" s="177">
        <v>2030</v>
      </c>
      <c r="J7" s="22" t="s">
        <v>27</v>
      </c>
      <c r="K7" s="314" t="s">
        <v>108</v>
      </c>
      <c r="L7" s="30" t="s">
        <v>360</v>
      </c>
      <c r="M7" s="30" t="s">
        <v>131</v>
      </c>
      <c r="N7" s="30" t="s">
        <v>131</v>
      </c>
      <c r="O7" s="30" t="s">
        <v>131</v>
      </c>
      <c r="P7" s="30" t="s">
        <v>131</v>
      </c>
      <c r="Q7" s="30" t="s">
        <v>131</v>
      </c>
      <c r="R7" s="315" t="s">
        <v>131</v>
      </c>
      <c r="S7" s="30" t="s">
        <v>131</v>
      </c>
      <c r="T7" s="30" t="s">
        <v>131</v>
      </c>
      <c r="U7" s="30" t="s">
        <v>131</v>
      </c>
      <c r="V7" s="30" t="s">
        <v>3</v>
      </c>
      <c r="W7" s="30" t="s">
        <v>3</v>
      </c>
      <c r="X7" s="30" t="s">
        <v>3</v>
      </c>
      <c r="Y7" s="298" t="s">
        <v>3</v>
      </c>
      <c r="Z7" s="30">
        <v>158.4</v>
      </c>
      <c r="AA7" s="30">
        <v>73.8</v>
      </c>
      <c r="AB7" s="30">
        <v>8.8000000000000007</v>
      </c>
      <c r="AC7" s="30">
        <v>0.3</v>
      </c>
      <c r="AD7" s="30" t="s">
        <v>3</v>
      </c>
      <c r="AE7" s="30">
        <v>0.4</v>
      </c>
      <c r="AF7" s="298" t="s">
        <v>3</v>
      </c>
      <c r="AG7" s="311" t="s">
        <v>3</v>
      </c>
      <c r="AH7" s="311" t="s">
        <v>3</v>
      </c>
      <c r="AI7" s="311" t="s">
        <v>3</v>
      </c>
      <c r="AJ7" s="316" t="s">
        <v>3</v>
      </c>
      <c r="AK7" s="314" t="s">
        <v>3</v>
      </c>
      <c r="AL7" s="21" t="s">
        <v>3</v>
      </c>
      <c r="AM7" s="115" t="s">
        <v>3</v>
      </c>
      <c r="AN7" s="115" t="s">
        <v>3</v>
      </c>
      <c r="AO7" s="115" t="s">
        <v>3</v>
      </c>
      <c r="AP7" s="115" t="s">
        <v>3</v>
      </c>
      <c r="AQ7" s="115" t="s">
        <v>3</v>
      </c>
      <c r="AR7" s="116" t="s">
        <v>3</v>
      </c>
      <c r="AS7" s="117" t="str">
        <f t="shared" si="0"/>
        <v/>
      </c>
      <c r="AT7" s="30" t="s">
        <v>203</v>
      </c>
      <c r="AU7" s="301" t="s">
        <v>3</v>
      </c>
      <c r="AV7" s="302">
        <v>38399</v>
      </c>
      <c r="AW7" s="120">
        <v>42482</v>
      </c>
      <c r="AX7" s="120">
        <v>42663</v>
      </c>
      <c r="AY7" s="303">
        <v>42251</v>
      </c>
      <c r="AZ7" s="317" t="s">
        <v>742</v>
      </c>
      <c r="BA7" s="302">
        <v>42663</v>
      </c>
      <c r="BB7" s="604" t="s">
        <v>1999</v>
      </c>
      <c r="BC7" s="394" t="s">
        <v>3</v>
      </c>
      <c r="BD7" s="394" t="s">
        <v>3</v>
      </c>
      <c r="BE7" s="173" t="s">
        <v>897</v>
      </c>
      <c r="BF7" s="404" t="s">
        <v>471</v>
      </c>
      <c r="BG7" s="396" t="s">
        <v>3</v>
      </c>
      <c r="BH7" s="394" t="s">
        <v>3</v>
      </c>
      <c r="BI7" s="177" t="s">
        <v>3</v>
      </c>
      <c r="BJ7" s="446" t="s">
        <v>3</v>
      </c>
      <c r="BK7"/>
      <c r="BM7"/>
    </row>
    <row r="8" spans="1:69" ht="103.5" customHeight="1">
      <c r="A8" s="32" t="s">
        <v>493</v>
      </c>
      <c r="B8" s="94" t="s">
        <v>76</v>
      </c>
      <c r="C8" s="293" t="s">
        <v>185</v>
      </c>
      <c r="D8" s="318" t="s">
        <v>1063</v>
      </c>
      <c r="E8" s="307" t="s">
        <v>1</v>
      </c>
      <c r="F8" s="293" t="s">
        <v>988</v>
      </c>
      <c r="G8" s="230" t="s">
        <v>3</v>
      </c>
      <c r="H8" s="173" t="s">
        <v>989</v>
      </c>
      <c r="I8" s="173" t="s">
        <v>988</v>
      </c>
      <c r="J8" s="24" t="s">
        <v>990</v>
      </c>
      <c r="K8" s="308" t="s">
        <v>3</v>
      </c>
      <c r="L8" s="293" t="s">
        <v>360</v>
      </c>
      <c r="M8" s="293" t="s">
        <v>131</v>
      </c>
      <c r="N8" s="293" t="s">
        <v>991</v>
      </c>
      <c r="O8" s="293" t="s">
        <v>991</v>
      </c>
      <c r="P8" s="293" t="s">
        <v>991</v>
      </c>
      <c r="Q8" s="293" t="s">
        <v>991</v>
      </c>
      <c r="R8" s="309" t="s">
        <v>3</v>
      </c>
      <c r="S8" s="293" t="s">
        <v>131</v>
      </c>
      <c r="T8" s="293" t="s">
        <v>131</v>
      </c>
      <c r="U8" s="293" t="s">
        <v>131</v>
      </c>
      <c r="V8" s="30" t="s">
        <v>991</v>
      </c>
      <c r="W8" s="30" t="s">
        <v>991</v>
      </c>
      <c r="X8" s="30" t="s">
        <v>131</v>
      </c>
      <c r="Y8" s="298" t="s">
        <v>3</v>
      </c>
      <c r="Z8" s="293" t="s">
        <v>452</v>
      </c>
      <c r="AA8" s="293" t="s">
        <v>452</v>
      </c>
      <c r="AB8" s="293" t="s">
        <v>452</v>
      </c>
      <c r="AC8" s="293" t="s">
        <v>452</v>
      </c>
      <c r="AD8" s="293" t="s">
        <v>452</v>
      </c>
      <c r="AE8" s="293" t="s">
        <v>452</v>
      </c>
      <c r="AF8" s="298" t="s">
        <v>3</v>
      </c>
      <c r="AG8" s="311" t="s">
        <v>3</v>
      </c>
      <c r="AH8" s="311" t="s">
        <v>3</v>
      </c>
      <c r="AI8" s="311" t="s">
        <v>3</v>
      </c>
      <c r="AJ8" s="312" t="s">
        <v>3</v>
      </c>
      <c r="AK8" s="308" t="s">
        <v>992</v>
      </c>
      <c r="AL8" s="22" t="s">
        <v>993</v>
      </c>
      <c r="AM8" s="115" t="s">
        <v>991</v>
      </c>
      <c r="AN8" s="115" t="s">
        <v>3</v>
      </c>
      <c r="AO8" s="115" t="s">
        <v>3</v>
      </c>
      <c r="AP8" s="115" t="s">
        <v>3</v>
      </c>
      <c r="AQ8" s="115" t="s">
        <v>3</v>
      </c>
      <c r="AR8" s="116" t="s">
        <v>3</v>
      </c>
      <c r="AS8" s="117">
        <f t="shared" si="0"/>
        <v>1</v>
      </c>
      <c r="AT8" s="30" t="s">
        <v>203</v>
      </c>
      <c r="AU8" s="301" t="s">
        <v>3</v>
      </c>
      <c r="AV8" s="301" t="s">
        <v>3</v>
      </c>
      <c r="AW8" s="120">
        <v>42482</v>
      </c>
      <c r="AX8" s="120">
        <v>42818</v>
      </c>
      <c r="AY8" s="302">
        <v>42124</v>
      </c>
      <c r="AZ8" s="317" t="s">
        <v>839</v>
      </c>
      <c r="BA8" s="321">
        <v>43971</v>
      </c>
      <c r="BB8" s="603" t="s">
        <v>2000</v>
      </c>
      <c r="BC8" s="394" t="s">
        <v>3</v>
      </c>
      <c r="BD8" s="394" t="s">
        <v>3</v>
      </c>
      <c r="BE8" s="176" t="s">
        <v>898</v>
      </c>
      <c r="BF8" s="404" t="s">
        <v>860</v>
      </c>
      <c r="BG8" s="396" t="s">
        <v>3</v>
      </c>
      <c r="BH8" s="394" t="s">
        <v>3</v>
      </c>
      <c r="BI8" s="440">
        <v>2021</v>
      </c>
      <c r="BJ8" s="447">
        <v>4</v>
      </c>
      <c r="BK8"/>
      <c r="BM8"/>
    </row>
    <row r="9" spans="1:69" ht="117" customHeight="1">
      <c r="A9" s="425" t="s">
        <v>494</v>
      </c>
      <c r="B9" s="92" t="s">
        <v>180</v>
      </c>
      <c r="C9" s="230" t="s">
        <v>185</v>
      </c>
      <c r="D9" s="319" t="s">
        <v>1413</v>
      </c>
      <c r="E9" s="230" t="s">
        <v>1</v>
      </c>
      <c r="F9" s="230">
        <v>2025</v>
      </c>
      <c r="G9" s="230" t="s">
        <v>3</v>
      </c>
      <c r="H9" s="432" t="s">
        <v>1412</v>
      </c>
      <c r="I9" s="432" t="s">
        <v>1414</v>
      </c>
      <c r="J9" s="320" t="s">
        <v>1415</v>
      </c>
      <c r="K9" s="314" t="s">
        <v>1416</v>
      </c>
      <c r="L9" s="30" t="s">
        <v>360</v>
      </c>
      <c r="M9" s="30" t="s">
        <v>131</v>
      </c>
      <c r="N9" s="30" t="s">
        <v>131</v>
      </c>
      <c r="O9" s="30" t="s">
        <v>991</v>
      </c>
      <c r="P9" s="30" t="s">
        <v>1406</v>
      </c>
      <c r="Q9" s="30" t="s">
        <v>131</v>
      </c>
      <c r="R9" s="315" t="s">
        <v>131</v>
      </c>
      <c r="S9" s="30" t="s">
        <v>131</v>
      </c>
      <c r="T9" s="30" t="s">
        <v>131</v>
      </c>
      <c r="U9" s="30" t="s">
        <v>131</v>
      </c>
      <c r="V9" s="30" t="s">
        <v>3</v>
      </c>
      <c r="W9" s="30" t="s">
        <v>3</v>
      </c>
      <c r="X9" s="30" t="s">
        <v>3</v>
      </c>
      <c r="Y9" s="298" t="s">
        <v>3</v>
      </c>
      <c r="Z9" s="30">
        <v>31.7</v>
      </c>
      <c r="AA9" s="30">
        <v>82</v>
      </c>
      <c r="AB9" s="30">
        <v>32.6</v>
      </c>
      <c r="AC9" s="30">
        <v>0</v>
      </c>
      <c r="AD9" s="30" t="s">
        <v>3</v>
      </c>
      <c r="AE9" s="30" t="s">
        <v>3</v>
      </c>
      <c r="AF9" s="298" t="s">
        <v>3</v>
      </c>
      <c r="AG9" s="231">
        <v>44</v>
      </c>
      <c r="AH9" s="232">
        <v>144</v>
      </c>
      <c r="AI9" s="232">
        <f>AG9+AH9</f>
        <v>188</v>
      </c>
      <c r="AJ9" s="316" t="s">
        <v>1417</v>
      </c>
      <c r="AK9" s="314" t="s">
        <v>3</v>
      </c>
      <c r="AL9" s="24" t="s">
        <v>251</v>
      </c>
      <c r="AM9" s="117" t="s">
        <v>131</v>
      </c>
      <c r="AN9" s="115" t="s">
        <v>3</v>
      </c>
      <c r="AO9" s="115" t="s">
        <v>3</v>
      </c>
      <c r="AP9" s="115" t="s">
        <v>3</v>
      </c>
      <c r="AQ9" s="115" t="s">
        <v>3</v>
      </c>
      <c r="AR9" s="116" t="s">
        <v>3</v>
      </c>
      <c r="AS9" s="117">
        <f t="shared" si="0"/>
        <v>1</v>
      </c>
      <c r="AT9" s="30" t="s">
        <v>203</v>
      </c>
      <c r="AU9" s="301" t="s">
        <v>3</v>
      </c>
      <c r="AV9" s="302">
        <v>39210</v>
      </c>
      <c r="AW9" s="120">
        <v>42482</v>
      </c>
      <c r="AX9" s="120">
        <v>44151</v>
      </c>
      <c r="AY9" s="303">
        <v>42337</v>
      </c>
      <c r="AZ9" s="305" t="s">
        <v>691</v>
      </c>
      <c r="BA9" s="321">
        <v>44347</v>
      </c>
      <c r="BB9" s="603" t="s">
        <v>2001</v>
      </c>
      <c r="BC9" s="394" t="s">
        <v>3</v>
      </c>
      <c r="BD9" s="394" t="s">
        <v>3</v>
      </c>
      <c r="BE9" s="176" t="s">
        <v>912</v>
      </c>
      <c r="BF9" s="404" t="s">
        <v>424</v>
      </c>
      <c r="BG9" s="396" t="s">
        <v>3</v>
      </c>
      <c r="BH9" s="394" t="s">
        <v>3</v>
      </c>
      <c r="BI9" s="402" t="s">
        <v>3</v>
      </c>
      <c r="BJ9" s="403" t="s">
        <v>3</v>
      </c>
      <c r="BK9"/>
      <c r="BM9"/>
    </row>
    <row r="10" spans="1:69" ht="132" customHeight="1">
      <c r="A10" s="32" t="s">
        <v>495</v>
      </c>
      <c r="B10" s="95" t="s">
        <v>439</v>
      </c>
      <c r="C10" s="293" t="s">
        <v>189</v>
      </c>
      <c r="D10" s="293" t="s">
        <v>1603</v>
      </c>
      <c r="E10" s="307" t="s">
        <v>1001</v>
      </c>
      <c r="F10" s="293">
        <v>2030</v>
      </c>
      <c r="G10" s="230" t="s">
        <v>3</v>
      </c>
      <c r="H10" s="177">
        <v>2021</v>
      </c>
      <c r="I10" s="177">
        <v>2030</v>
      </c>
      <c r="J10" s="24" t="s">
        <v>1604</v>
      </c>
      <c r="K10" s="308" t="s">
        <v>1759</v>
      </c>
      <c r="L10" s="293" t="s">
        <v>360</v>
      </c>
      <c r="M10" s="293" t="s">
        <v>131</v>
      </c>
      <c r="N10" s="293" t="s">
        <v>131</v>
      </c>
      <c r="O10" s="293" t="s">
        <v>131</v>
      </c>
      <c r="P10" s="293" t="s">
        <v>131</v>
      </c>
      <c r="Q10" s="293" t="s">
        <v>131</v>
      </c>
      <c r="R10" s="309" t="s">
        <v>3</v>
      </c>
      <c r="S10" s="293" t="s">
        <v>131</v>
      </c>
      <c r="T10" s="293" t="s">
        <v>131</v>
      </c>
      <c r="U10" s="293" t="s">
        <v>131</v>
      </c>
      <c r="V10" s="293" t="s">
        <v>1591</v>
      </c>
      <c r="W10" s="293" t="s">
        <v>3</v>
      </c>
      <c r="X10" s="293" t="s">
        <v>3</v>
      </c>
      <c r="Y10" s="310" t="s">
        <v>3</v>
      </c>
      <c r="Z10" s="293" t="s">
        <v>452</v>
      </c>
      <c r="AA10" s="293" t="s">
        <v>452</v>
      </c>
      <c r="AB10" s="293" t="s">
        <v>452</v>
      </c>
      <c r="AC10" s="293" t="s">
        <v>452</v>
      </c>
      <c r="AD10" s="293" t="s">
        <v>452</v>
      </c>
      <c r="AE10" s="293" t="s">
        <v>452</v>
      </c>
      <c r="AF10" s="298" t="s">
        <v>3</v>
      </c>
      <c r="AG10" s="322" t="s">
        <v>1591</v>
      </c>
      <c r="AH10" s="322" t="s">
        <v>1591</v>
      </c>
      <c r="AI10" s="322">
        <v>1.7</v>
      </c>
      <c r="AJ10" s="312" t="s">
        <v>1605</v>
      </c>
      <c r="AK10" s="308" t="s">
        <v>1591</v>
      </c>
      <c r="AL10" s="22" t="s">
        <v>1606</v>
      </c>
      <c r="AM10" s="115" t="s">
        <v>1591</v>
      </c>
      <c r="AN10" s="115" t="s">
        <v>967</v>
      </c>
      <c r="AO10" s="115" t="s">
        <v>3</v>
      </c>
      <c r="AP10" s="115" t="s">
        <v>3</v>
      </c>
      <c r="AQ10" s="115" t="s">
        <v>1591</v>
      </c>
      <c r="AR10" s="116" t="s">
        <v>3</v>
      </c>
      <c r="AS10" s="117">
        <f t="shared" si="0"/>
        <v>1</v>
      </c>
      <c r="AT10" s="30" t="s">
        <v>203</v>
      </c>
      <c r="AU10" s="302">
        <v>35870</v>
      </c>
      <c r="AV10" s="302">
        <v>36102</v>
      </c>
      <c r="AW10" s="120">
        <v>42482</v>
      </c>
      <c r="AX10" s="120">
        <v>42634</v>
      </c>
      <c r="AY10" s="302">
        <v>42296</v>
      </c>
      <c r="AZ10" s="305" t="s">
        <v>732</v>
      </c>
      <c r="BA10" s="321">
        <v>44445</v>
      </c>
      <c r="BB10" s="603" t="s">
        <v>2002</v>
      </c>
      <c r="BC10" s="394" t="s">
        <v>3</v>
      </c>
      <c r="BD10" s="394" t="s">
        <v>3</v>
      </c>
      <c r="BE10" s="174" t="s">
        <v>899</v>
      </c>
      <c r="BF10" s="404" t="s">
        <v>424</v>
      </c>
      <c r="BG10" s="396" t="s">
        <v>3</v>
      </c>
      <c r="BH10" s="394" t="s">
        <v>3</v>
      </c>
      <c r="BI10" s="402">
        <v>2020</v>
      </c>
      <c r="BJ10" s="403">
        <v>1</v>
      </c>
      <c r="BK10"/>
      <c r="BM10"/>
    </row>
    <row r="11" spans="1:69" ht="168" customHeight="1">
      <c r="A11" s="383" t="s">
        <v>496</v>
      </c>
      <c r="B11" s="95" t="s">
        <v>181</v>
      </c>
      <c r="C11" s="293" t="s">
        <v>1286</v>
      </c>
      <c r="D11" s="293" t="s">
        <v>1805</v>
      </c>
      <c r="E11" s="307" t="s">
        <v>424</v>
      </c>
      <c r="F11" s="307">
        <v>2030</v>
      </c>
      <c r="G11" s="230" t="s">
        <v>3</v>
      </c>
      <c r="H11" s="452">
        <v>2021</v>
      </c>
      <c r="I11" s="173">
        <v>2030</v>
      </c>
      <c r="J11" s="24" t="s">
        <v>1804</v>
      </c>
      <c r="K11" s="308" t="s">
        <v>424</v>
      </c>
      <c r="L11" s="293" t="s">
        <v>360</v>
      </c>
      <c r="M11" s="293" t="s">
        <v>131</v>
      </c>
      <c r="N11" s="293" t="s">
        <v>131</v>
      </c>
      <c r="O11" s="293" t="s">
        <v>131</v>
      </c>
      <c r="P11" s="293" t="s">
        <v>131</v>
      </c>
      <c r="Q11" s="293" t="s">
        <v>131</v>
      </c>
      <c r="R11" s="309" t="s">
        <v>131</v>
      </c>
      <c r="S11" s="293" t="s">
        <v>131</v>
      </c>
      <c r="T11" s="293" t="s">
        <v>131</v>
      </c>
      <c r="U11" s="293" t="s">
        <v>131</v>
      </c>
      <c r="V11" s="293" t="s">
        <v>131</v>
      </c>
      <c r="W11" s="293" t="s">
        <v>131</v>
      </c>
      <c r="X11" s="293" t="s">
        <v>1266</v>
      </c>
      <c r="Y11" s="310" t="s">
        <v>3</v>
      </c>
      <c r="Z11" s="293">
        <v>203</v>
      </c>
      <c r="AA11" s="293">
        <v>121.6</v>
      </c>
      <c r="AB11" s="293">
        <v>54.2</v>
      </c>
      <c r="AC11" s="293">
        <v>0.4</v>
      </c>
      <c r="AD11" s="293">
        <v>0</v>
      </c>
      <c r="AE11" s="293">
        <v>0.4</v>
      </c>
      <c r="AF11" s="298" t="s">
        <v>3</v>
      </c>
      <c r="AG11" s="322" t="s">
        <v>3</v>
      </c>
      <c r="AH11" s="322" t="s">
        <v>3</v>
      </c>
      <c r="AI11" s="322" t="s">
        <v>3</v>
      </c>
      <c r="AJ11" s="312" t="s">
        <v>3</v>
      </c>
      <c r="AK11" s="308"/>
      <c r="AL11" s="22" t="s">
        <v>1287</v>
      </c>
      <c r="AM11" s="115" t="s">
        <v>1792</v>
      </c>
      <c r="AN11" s="115" t="s">
        <v>3</v>
      </c>
      <c r="AO11" s="115" t="s">
        <v>3</v>
      </c>
      <c r="AP11" s="115" t="s">
        <v>3</v>
      </c>
      <c r="AQ11" s="115" t="s">
        <v>3</v>
      </c>
      <c r="AR11" s="116" t="s">
        <v>3</v>
      </c>
      <c r="AS11" s="117" t="str">
        <f t="shared" si="0"/>
        <v/>
      </c>
      <c r="AT11" s="30" t="s">
        <v>203</v>
      </c>
      <c r="AU11" s="302">
        <v>35870</v>
      </c>
      <c r="AV11" s="302">
        <v>37162</v>
      </c>
      <c r="AW11" s="120">
        <v>42482</v>
      </c>
      <c r="AX11" s="120">
        <v>42634</v>
      </c>
      <c r="AY11" s="302">
        <v>42278</v>
      </c>
      <c r="AZ11" s="317" t="s">
        <v>738</v>
      </c>
      <c r="BA11" s="302">
        <v>42691</v>
      </c>
      <c r="BB11" s="605" t="s">
        <v>424</v>
      </c>
      <c r="BC11" s="302">
        <v>44502</v>
      </c>
      <c r="BD11" s="486" t="s">
        <v>2003</v>
      </c>
      <c r="BE11" s="174" t="s">
        <v>898</v>
      </c>
      <c r="BF11" s="404" t="s">
        <v>424</v>
      </c>
      <c r="BG11" s="396" t="s">
        <v>3</v>
      </c>
      <c r="BH11" s="394" t="s">
        <v>3</v>
      </c>
      <c r="BI11" s="440">
        <v>2021</v>
      </c>
      <c r="BJ11" s="447">
        <v>4</v>
      </c>
      <c r="BK11"/>
      <c r="BM11"/>
    </row>
    <row r="12" spans="1:69" ht="168" customHeight="1">
      <c r="A12" s="425" t="s">
        <v>502</v>
      </c>
      <c r="B12" s="93" t="s">
        <v>183</v>
      </c>
      <c r="C12" s="293" t="s">
        <v>873</v>
      </c>
      <c r="D12" s="319">
        <v>0.4</v>
      </c>
      <c r="E12" s="230">
        <v>1990</v>
      </c>
      <c r="F12" s="230">
        <v>2030</v>
      </c>
      <c r="G12" s="230" t="s">
        <v>3</v>
      </c>
      <c r="H12" s="176">
        <v>2021</v>
      </c>
      <c r="I12" s="176">
        <v>2030</v>
      </c>
      <c r="J12" s="294" t="s">
        <v>1395</v>
      </c>
      <c r="K12" s="295" t="s">
        <v>114</v>
      </c>
      <c r="L12" s="296" t="s">
        <v>360</v>
      </c>
      <c r="M12" s="296" t="s">
        <v>131</v>
      </c>
      <c r="N12" s="296" t="s">
        <v>1393</v>
      </c>
      <c r="O12" s="296" t="s">
        <v>131</v>
      </c>
      <c r="P12" s="296" t="s">
        <v>131</v>
      </c>
      <c r="Q12" s="296" t="s">
        <v>131</v>
      </c>
      <c r="R12" s="297" t="s">
        <v>1393</v>
      </c>
      <c r="S12" s="296" t="s">
        <v>131</v>
      </c>
      <c r="T12" s="296" t="s">
        <v>131</v>
      </c>
      <c r="U12" s="296" t="s">
        <v>131</v>
      </c>
      <c r="V12" s="296" t="s">
        <v>131</v>
      </c>
      <c r="W12" s="293" t="s">
        <v>3</v>
      </c>
      <c r="X12" s="293" t="s">
        <v>1393</v>
      </c>
      <c r="Y12" s="310" t="s">
        <v>3</v>
      </c>
      <c r="Z12" s="296">
        <v>4.9000000000000004</v>
      </c>
      <c r="AA12" s="296">
        <v>2.2000000000000002</v>
      </c>
      <c r="AB12" s="296">
        <v>0.8</v>
      </c>
      <c r="AC12" s="296">
        <v>0.6</v>
      </c>
      <c r="AD12" s="293" t="s">
        <v>3</v>
      </c>
      <c r="AE12" s="293" t="s">
        <v>3</v>
      </c>
      <c r="AF12" s="298" t="s">
        <v>3</v>
      </c>
      <c r="AG12" s="311" t="s">
        <v>3</v>
      </c>
      <c r="AH12" s="311" t="s">
        <v>3</v>
      </c>
      <c r="AI12" s="311" t="s">
        <v>3</v>
      </c>
      <c r="AJ12" s="299" t="s">
        <v>3</v>
      </c>
      <c r="AK12" s="295" t="s">
        <v>3</v>
      </c>
      <c r="AL12" s="22" t="s">
        <v>1396</v>
      </c>
      <c r="AM12" s="115" t="s">
        <v>131</v>
      </c>
      <c r="AN12" s="115" t="s">
        <v>3</v>
      </c>
      <c r="AO12" s="115" t="s">
        <v>1393</v>
      </c>
      <c r="AP12" s="115" t="s">
        <v>3</v>
      </c>
      <c r="AQ12" s="115" t="s">
        <v>3</v>
      </c>
      <c r="AR12" s="116" t="s">
        <v>3</v>
      </c>
      <c r="AS12" s="117">
        <f t="shared" si="0"/>
        <v>1</v>
      </c>
      <c r="AT12" s="30" t="s">
        <v>203</v>
      </c>
      <c r="AU12" s="301" t="s">
        <v>3</v>
      </c>
      <c r="AV12" s="302">
        <v>37736</v>
      </c>
      <c r="AW12" s="120">
        <v>42633</v>
      </c>
      <c r="AX12" s="120">
        <v>42817</v>
      </c>
      <c r="AY12" s="304">
        <v>42276</v>
      </c>
      <c r="AZ12" s="305" t="s">
        <v>789</v>
      </c>
      <c r="BA12" s="321">
        <v>44321</v>
      </c>
      <c r="BB12" s="603" t="s">
        <v>2004</v>
      </c>
      <c r="BC12" s="394" t="s">
        <v>3</v>
      </c>
      <c r="BD12" s="394" t="s">
        <v>3</v>
      </c>
      <c r="BE12" s="176" t="s">
        <v>899</v>
      </c>
      <c r="BF12" s="404" t="s">
        <v>424</v>
      </c>
      <c r="BG12" s="396" t="s">
        <v>3</v>
      </c>
      <c r="BH12" s="394" t="s">
        <v>3</v>
      </c>
      <c r="BI12" s="441">
        <v>2021</v>
      </c>
      <c r="BJ12" s="447">
        <v>3</v>
      </c>
      <c r="BK12"/>
      <c r="BM12"/>
    </row>
    <row r="13" spans="1:69" ht="172.5" customHeight="1">
      <c r="A13" s="32" t="s">
        <v>497</v>
      </c>
      <c r="B13" s="97" t="s">
        <v>25</v>
      </c>
      <c r="C13" s="293" t="s">
        <v>1795</v>
      </c>
      <c r="D13" s="24" t="s">
        <v>1921</v>
      </c>
      <c r="E13" s="307">
        <v>2005</v>
      </c>
      <c r="F13" s="24" t="s">
        <v>1796</v>
      </c>
      <c r="G13" s="230" t="s">
        <v>131</v>
      </c>
      <c r="H13" s="177">
        <v>2021</v>
      </c>
      <c r="I13" s="24" t="s">
        <v>1796</v>
      </c>
      <c r="J13" s="24" t="s">
        <v>1922</v>
      </c>
      <c r="K13" s="585" t="s">
        <v>1320</v>
      </c>
      <c r="L13" s="293" t="s">
        <v>360</v>
      </c>
      <c r="M13" s="293" t="s">
        <v>131</v>
      </c>
      <c r="N13" s="293" t="s">
        <v>131</v>
      </c>
      <c r="O13" s="293" t="s">
        <v>131</v>
      </c>
      <c r="P13" s="293" t="s">
        <v>131</v>
      </c>
      <c r="Q13" s="293" t="s">
        <v>131</v>
      </c>
      <c r="R13" s="309" t="s">
        <v>131</v>
      </c>
      <c r="S13" s="293" t="s">
        <v>131</v>
      </c>
      <c r="T13" s="293" t="s">
        <v>131</v>
      </c>
      <c r="U13" s="293" t="s">
        <v>131</v>
      </c>
      <c r="V13" s="293" t="s">
        <v>131</v>
      </c>
      <c r="W13" s="293" t="s">
        <v>131</v>
      </c>
      <c r="X13" s="293" t="s">
        <v>131</v>
      </c>
      <c r="Y13" s="310" t="s">
        <v>131</v>
      </c>
      <c r="Z13" s="293">
        <v>396.5</v>
      </c>
      <c r="AA13" s="293">
        <v>142.6</v>
      </c>
      <c r="AB13" s="293">
        <v>69.7</v>
      </c>
      <c r="AC13" s="293">
        <v>9.6</v>
      </c>
      <c r="AD13" s="293">
        <v>0.4</v>
      </c>
      <c r="AE13" s="293">
        <v>0.6</v>
      </c>
      <c r="AF13" s="298" t="s">
        <v>3</v>
      </c>
      <c r="AG13" s="322" t="s">
        <v>3</v>
      </c>
      <c r="AH13" s="322" t="s">
        <v>3</v>
      </c>
      <c r="AI13" s="322" t="s">
        <v>3</v>
      </c>
      <c r="AJ13" s="312" t="s">
        <v>3</v>
      </c>
      <c r="AK13" s="308" t="s">
        <v>3</v>
      </c>
      <c r="AL13" s="22" t="s">
        <v>1923</v>
      </c>
      <c r="AM13" s="115" t="s">
        <v>3</v>
      </c>
      <c r="AN13" s="115" t="s">
        <v>3</v>
      </c>
      <c r="AO13" s="115" t="s">
        <v>3</v>
      </c>
      <c r="AP13" s="115" t="s">
        <v>1924</v>
      </c>
      <c r="AQ13" s="115" t="s">
        <v>3</v>
      </c>
      <c r="AR13" s="116" t="s">
        <v>3</v>
      </c>
      <c r="AS13" s="117">
        <f t="shared" si="0"/>
        <v>1</v>
      </c>
      <c r="AT13" s="30" t="s">
        <v>205</v>
      </c>
      <c r="AU13" s="302">
        <v>35914</v>
      </c>
      <c r="AV13" s="302">
        <v>39428</v>
      </c>
      <c r="AW13" s="120">
        <v>42482</v>
      </c>
      <c r="AX13" s="120">
        <v>42683</v>
      </c>
      <c r="AY13" s="302">
        <v>42227</v>
      </c>
      <c r="AZ13" s="305" t="s">
        <v>825</v>
      </c>
      <c r="BA13" s="302">
        <v>44729</v>
      </c>
      <c r="BB13" s="603" t="s">
        <v>2005</v>
      </c>
      <c r="BC13" s="394" t="s">
        <v>3</v>
      </c>
      <c r="BD13" s="394" t="s">
        <v>3</v>
      </c>
      <c r="BE13" s="176" t="s">
        <v>899</v>
      </c>
      <c r="BF13" s="404" t="s">
        <v>424</v>
      </c>
      <c r="BG13" s="397">
        <v>2019</v>
      </c>
      <c r="BH13" s="395">
        <v>4</v>
      </c>
      <c r="BI13" s="177" t="s">
        <v>3</v>
      </c>
      <c r="BJ13" s="446" t="s">
        <v>3</v>
      </c>
      <c r="BK13"/>
      <c r="BM13"/>
    </row>
    <row r="14" spans="1:69" ht="80.55" customHeight="1">
      <c r="A14" s="31" t="s">
        <v>498</v>
      </c>
      <c r="B14" s="93" t="s">
        <v>183</v>
      </c>
      <c r="C14" s="230" t="s">
        <v>186</v>
      </c>
      <c r="D14" s="319">
        <v>0.35</v>
      </c>
      <c r="E14" s="293">
        <v>1990</v>
      </c>
      <c r="F14" s="230">
        <v>2030</v>
      </c>
      <c r="G14" s="230" t="s">
        <v>3</v>
      </c>
      <c r="H14" s="176" t="s">
        <v>424</v>
      </c>
      <c r="I14" s="176">
        <v>2030</v>
      </c>
      <c r="J14" s="46" t="s">
        <v>60</v>
      </c>
      <c r="K14" s="308" t="s">
        <v>3</v>
      </c>
      <c r="L14" s="293" t="s">
        <v>360</v>
      </c>
      <c r="M14" s="293" t="s">
        <v>131</v>
      </c>
      <c r="N14" s="293" t="s">
        <v>131</v>
      </c>
      <c r="O14" s="293" t="s">
        <v>131</v>
      </c>
      <c r="P14" s="293" t="s">
        <v>131</v>
      </c>
      <c r="Q14" s="293" t="s">
        <v>131</v>
      </c>
      <c r="R14" s="309" t="s">
        <v>3</v>
      </c>
      <c r="S14" s="296" t="s">
        <v>131</v>
      </c>
      <c r="T14" s="296" t="s">
        <v>131</v>
      </c>
      <c r="U14" s="296" t="s">
        <v>131</v>
      </c>
      <c r="V14" s="296" t="s">
        <v>131</v>
      </c>
      <c r="W14" s="293" t="s">
        <v>3</v>
      </c>
      <c r="X14" s="293" t="s">
        <v>3</v>
      </c>
      <c r="Y14" s="310" t="s">
        <v>3</v>
      </c>
      <c r="Z14" s="296">
        <v>32.4</v>
      </c>
      <c r="AA14" s="296">
        <v>19.2</v>
      </c>
      <c r="AB14" s="296">
        <v>2.7</v>
      </c>
      <c r="AC14" s="296">
        <v>0.1</v>
      </c>
      <c r="AD14" s="293">
        <v>0.1</v>
      </c>
      <c r="AE14" s="293" t="s">
        <v>3</v>
      </c>
      <c r="AF14" s="298" t="s">
        <v>3</v>
      </c>
      <c r="AG14" s="311" t="s">
        <v>3</v>
      </c>
      <c r="AH14" s="311" t="s">
        <v>3</v>
      </c>
      <c r="AI14" s="311" t="s">
        <v>3</v>
      </c>
      <c r="AJ14" s="312" t="s">
        <v>3</v>
      </c>
      <c r="AK14" s="308" t="s">
        <v>3</v>
      </c>
      <c r="AL14" s="21" t="s">
        <v>3</v>
      </c>
      <c r="AM14" s="115" t="s">
        <v>3</v>
      </c>
      <c r="AN14" s="115" t="s">
        <v>3</v>
      </c>
      <c r="AO14" s="115" t="s">
        <v>3</v>
      </c>
      <c r="AP14" s="115" t="s">
        <v>3</v>
      </c>
      <c r="AQ14" s="115" t="s">
        <v>3</v>
      </c>
      <c r="AR14" s="116" t="s">
        <v>3</v>
      </c>
      <c r="AS14" s="117" t="str">
        <f t="shared" si="0"/>
        <v/>
      </c>
      <c r="AT14" s="30" t="s">
        <v>203</v>
      </c>
      <c r="AU14" s="301" t="s">
        <v>3</v>
      </c>
      <c r="AV14" s="302">
        <v>36797</v>
      </c>
      <c r="AW14" s="120">
        <v>42482</v>
      </c>
      <c r="AX14" s="120">
        <v>42744</v>
      </c>
      <c r="AY14" s="324">
        <v>42276</v>
      </c>
      <c r="AZ14" s="317" t="s">
        <v>782</v>
      </c>
      <c r="BA14" s="324">
        <v>42744</v>
      </c>
      <c r="BB14" s="603" t="s">
        <v>2006</v>
      </c>
      <c r="BC14" s="394" t="s">
        <v>3</v>
      </c>
      <c r="BD14" s="394" t="s">
        <v>3</v>
      </c>
      <c r="BE14" s="176" t="s">
        <v>899</v>
      </c>
      <c r="BF14" s="404" t="s">
        <v>424</v>
      </c>
      <c r="BG14" s="396" t="s">
        <v>3</v>
      </c>
      <c r="BH14" s="394" t="s">
        <v>3</v>
      </c>
      <c r="BI14" s="440">
        <v>2018</v>
      </c>
      <c r="BJ14" s="447">
        <v>2</v>
      </c>
      <c r="BK14"/>
      <c r="BM14"/>
    </row>
    <row r="15" spans="1:69" ht="120" customHeight="1">
      <c r="A15" s="32" t="s">
        <v>499</v>
      </c>
      <c r="B15" s="95" t="s">
        <v>181</v>
      </c>
      <c r="C15" s="293" t="s">
        <v>185</v>
      </c>
      <c r="D15" s="318">
        <v>0.3</v>
      </c>
      <c r="E15" s="307" t="s">
        <v>1</v>
      </c>
      <c r="F15" s="307">
        <v>2030</v>
      </c>
      <c r="G15" s="230" t="s">
        <v>3</v>
      </c>
      <c r="H15" s="173">
        <v>2020</v>
      </c>
      <c r="I15" s="173">
        <v>2030</v>
      </c>
      <c r="J15" s="24" t="s">
        <v>63</v>
      </c>
      <c r="K15" s="308" t="s">
        <v>113</v>
      </c>
      <c r="L15" s="293" t="s">
        <v>360</v>
      </c>
      <c r="M15" s="293" t="s">
        <v>131</v>
      </c>
      <c r="N15" s="293" t="s">
        <v>3</v>
      </c>
      <c r="O15" s="293" t="s">
        <v>131</v>
      </c>
      <c r="P15" s="293" t="s">
        <v>3</v>
      </c>
      <c r="Q15" s="293" t="s">
        <v>131</v>
      </c>
      <c r="R15" s="309" t="s">
        <v>3</v>
      </c>
      <c r="S15" s="293" t="s">
        <v>131</v>
      </c>
      <c r="T15" s="293" t="s">
        <v>131</v>
      </c>
      <c r="U15" s="293" t="s">
        <v>131</v>
      </c>
      <c r="V15" s="293" t="s">
        <v>3</v>
      </c>
      <c r="W15" s="293" t="s">
        <v>3</v>
      </c>
      <c r="X15" s="293" t="s">
        <v>3</v>
      </c>
      <c r="Y15" s="310" t="s">
        <v>3</v>
      </c>
      <c r="Z15" s="293" t="s">
        <v>452</v>
      </c>
      <c r="AA15" s="293" t="s">
        <v>452</v>
      </c>
      <c r="AB15" s="293" t="s">
        <v>452</v>
      </c>
      <c r="AC15" s="293" t="s">
        <v>452</v>
      </c>
      <c r="AD15" s="293" t="s">
        <v>452</v>
      </c>
      <c r="AE15" s="293" t="s">
        <v>452</v>
      </c>
      <c r="AF15" s="298" t="s">
        <v>3</v>
      </c>
      <c r="AG15" s="322">
        <v>0.9</v>
      </c>
      <c r="AH15" s="322" t="s">
        <v>3</v>
      </c>
      <c r="AI15" s="322">
        <v>0.9</v>
      </c>
      <c r="AJ15" s="312" t="s">
        <v>112</v>
      </c>
      <c r="AK15" s="308" t="s">
        <v>3</v>
      </c>
      <c r="AL15" s="22" t="s">
        <v>64</v>
      </c>
      <c r="AM15" s="115" t="s">
        <v>132</v>
      </c>
      <c r="AN15" s="115" t="s">
        <v>3</v>
      </c>
      <c r="AO15" s="115" t="s">
        <v>3</v>
      </c>
      <c r="AP15" s="115" t="s">
        <v>3</v>
      </c>
      <c r="AQ15" s="115" t="s">
        <v>3</v>
      </c>
      <c r="AR15" s="116" t="s">
        <v>3</v>
      </c>
      <c r="AS15" s="117">
        <f t="shared" si="0"/>
        <v>1</v>
      </c>
      <c r="AT15" s="30" t="s">
        <v>203</v>
      </c>
      <c r="AU15" s="301" t="s">
        <v>3</v>
      </c>
      <c r="AV15" s="302">
        <v>36259</v>
      </c>
      <c r="AW15" s="120">
        <v>42482</v>
      </c>
      <c r="AX15" s="120">
        <v>42604</v>
      </c>
      <c r="AY15" s="302">
        <v>42326</v>
      </c>
      <c r="AZ15" s="305" t="s">
        <v>711</v>
      </c>
      <c r="BA15" s="303">
        <v>42604</v>
      </c>
      <c r="BB15" s="603" t="s">
        <v>2007</v>
      </c>
      <c r="BC15" s="394" t="s">
        <v>3</v>
      </c>
      <c r="BD15" s="394" t="s">
        <v>3</v>
      </c>
      <c r="BE15" s="176" t="s">
        <v>899</v>
      </c>
      <c r="BF15" s="404" t="s">
        <v>424</v>
      </c>
      <c r="BG15" s="396" t="s">
        <v>3</v>
      </c>
      <c r="BH15" s="394" t="s">
        <v>3</v>
      </c>
      <c r="BI15" s="402" t="s">
        <v>3</v>
      </c>
      <c r="BJ15" s="403" t="s">
        <v>3</v>
      </c>
      <c r="BK15"/>
      <c r="BM15"/>
    </row>
    <row r="16" spans="1:69" ht="80.55" customHeight="1">
      <c r="A16" s="31" t="s">
        <v>500</v>
      </c>
      <c r="B16" s="203" t="s">
        <v>182</v>
      </c>
      <c r="C16" s="230" t="s">
        <v>1728</v>
      </c>
      <c r="D16" s="230" t="s">
        <v>3</v>
      </c>
      <c r="E16" s="230" t="s">
        <v>3</v>
      </c>
      <c r="F16" s="230">
        <v>2030</v>
      </c>
      <c r="G16" s="230" t="s">
        <v>3</v>
      </c>
      <c r="H16" s="175" t="s">
        <v>424</v>
      </c>
      <c r="I16" s="175" t="s">
        <v>424</v>
      </c>
      <c r="J16" s="46" t="s">
        <v>1747</v>
      </c>
      <c r="K16" s="308" t="s">
        <v>1748</v>
      </c>
      <c r="L16" s="293" t="s">
        <v>354</v>
      </c>
      <c r="M16" s="293" t="s">
        <v>131</v>
      </c>
      <c r="N16" s="293" t="s">
        <v>3</v>
      </c>
      <c r="O16" s="293" t="s">
        <v>3</v>
      </c>
      <c r="P16" s="293" t="s">
        <v>3</v>
      </c>
      <c r="Q16" s="293" t="s">
        <v>3</v>
      </c>
      <c r="R16" s="309" t="s">
        <v>3</v>
      </c>
      <c r="S16" s="293" t="s">
        <v>3</v>
      </c>
      <c r="T16" s="293" t="s">
        <v>3</v>
      </c>
      <c r="U16" s="293" t="s">
        <v>3</v>
      </c>
      <c r="V16" s="293" t="s">
        <v>3</v>
      </c>
      <c r="W16" s="293" t="s">
        <v>3</v>
      </c>
      <c r="X16" s="293" t="s">
        <v>3</v>
      </c>
      <c r="Y16" s="310" t="s">
        <v>3</v>
      </c>
      <c r="Z16" s="293">
        <v>33.1</v>
      </c>
      <c r="AA16" s="293">
        <v>5.9</v>
      </c>
      <c r="AB16" s="293">
        <v>0.2</v>
      </c>
      <c r="AC16" s="293" t="s">
        <v>3</v>
      </c>
      <c r="AD16" s="293">
        <v>0.1</v>
      </c>
      <c r="AE16" s="293" t="s">
        <v>3</v>
      </c>
      <c r="AF16" s="298" t="s">
        <v>3</v>
      </c>
      <c r="AG16" s="311" t="s">
        <v>3</v>
      </c>
      <c r="AH16" s="311" t="s">
        <v>3</v>
      </c>
      <c r="AI16" s="311" t="s">
        <v>3</v>
      </c>
      <c r="AJ16" s="312" t="s">
        <v>3</v>
      </c>
      <c r="AK16" s="308" t="s">
        <v>1749</v>
      </c>
      <c r="AL16" s="22" t="s">
        <v>1750</v>
      </c>
      <c r="AM16" s="115" t="s">
        <v>1751</v>
      </c>
      <c r="AN16" s="115" t="s">
        <v>3</v>
      </c>
      <c r="AO16" s="115" t="s">
        <v>967</v>
      </c>
      <c r="AP16" s="115" t="s">
        <v>3</v>
      </c>
      <c r="AQ16" s="115" t="s">
        <v>3</v>
      </c>
      <c r="AR16" s="116" t="s">
        <v>3</v>
      </c>
      <c r="AS16" s="117">
        <f t="shared" si="0"/>
        <v>1</v>
      </c>
      <c r="AT16" s="30" t="s">
        <v>203</v>
      </c>
      <c r="AU16" s="301" t="s">
        <v>3</v>
      </c>
      <c r="AV16" s="302">
        <v>38748</v>
      </c>
      <c r="AW16" s="120">
        <v>42482</v>
      </c>
      <c r="AX16" s="120">
        <v>42727</v>
      </c>
      <c r="AY16" s="325">
        <v>42332</v>
      </c>
      <c r="AZ16" s="317" t="s">
        <v>699</v>
      </c>
      <c r="BA16" s="321">
        <v>44487</v>
      </c>
      <c r="BB16" s="603" t="s">
        <v>2008</v>
      </c>
      <c r="BC16" s="394" t="s">
        <v>3</v>
      </c>
      <c r="BD16" s="394" t="s">
        <v>3</v>
      </c>
      <c r="BE16" s="176" t="s">
        <v>899</v>
      </c>
      <c r="BF16" s="404" t="s">
        <v>424</v>
      </c>
      <c r="BG16" s="396" t="s">
        <v>3</v>
      </c>
      <c r="BH16" s="394" t="s">
        <v>3</v>
      </c>
      <c r="BI16" s="402" t="s">
        <v>3</v>
      </c>
      <c r="BJ16" s="403" t="s">
        <v>3</v>
      </c>
      <c r="BK16"/>
      <c r="BM16"/>
    </row>
    <row r="17" spans="1:65" ht="103.95" customHeight="1">
      <c r="A17" s="31" t="s">
        <v>501</v>
      </c>
      <c r="B17" s="90" t="s">
        <v>23</v>
      </c>
      <c r="C17" s="230" t="s">
        <v>717</v>
      </c>
      <c r="D17" s="230" t="s">
        <v>1587</v>
      </c>
      <c r="E17" s="230" t="s">
        <v>1</v>
      </c>
      <c r="F17" s="230">
        <v>2030</v>
      </c>
      <c r="G17" s="230" t="s">
        <v>3</v>
      </c>
      <c r="H17" s="173">
        <v>2021</v>
      </c>
      <c r="I17" s="173">
        <v>2030</v>
      </c>
      <c r="J17" s="320" t="s">
        <v>1588</v>
      </c>
      <c r="K17" s="314" t="s">
        <v>1589</v>
      </c>
      <c r="L17" s="30" t="s">
        <v>360</v>
      </c>
      <c r="M17" s="30" t="s">
        <v>131</v>
      </c>
      <c r="N17" s="30" t="s">
        <v>471</v>
      </c>
      <c r="O17" s="30" t="s">
        <v>1590</v>
      </c>
      <c r="P17" s="30" t="s">
        <v>471</v>
      </c>
      <c r="Q17" s="30" t="s">
        <v>471</v>
      </c>
      <c r="R17" s="315" t="s">
        <v>1590</v>
      </c>
      <c r="S17" s="30" t="s">
        <v>131</v>
      </c>
      <c r="T17" s="30" t="s">
        <v>131</v>
      </c>
      <c r="U17" s="30" t="s">
        <v>131</v>
      </c>
      <c r="V17" s="30" t="s">
        <v>131</v>
      </c>
      <c r="W17" s="30" t="s">
        <v>1591</v>
      </c>
      <c r="X17" s="30" t="s">
        <v>1591</v>
      </c>
      <c r="Y17" s="298" t="s">
        <v>3</v>
      </c>
      <c r="Z17" s="30">
        <v>79.7</v>
      </c>
      <c r="AA17" s="30">
        <v>122</v>
      </c>
      <c r="AB17" s="30">
        <v>19.399999999999999</v>
      </c>
      <c r="AC17" s="30" t="s">
        <v>3</v>
      </c>
      <c r="AD17" s="30" t="s">
        <v>3</v>
      </c>
      <c r="AE17" s="30" t="s">
        <v>3</v>
      </c>
      <c r="AF17" s="298" t="s">
        <v>3</v>
      </c>
      <c r="AG17" s="232" t="s">
        <v>3</v>
      </c>
      <c r="AH17" s="232" t="s">
        <v>1591</v>
      </c>
      <c r="AI17" s="232" t="s">
        <v>1591</v>
      </c>
      <c r="AJ17" s="316" t="s">
        <v>1592</v>
      </c>
      <c r="AK17" s="314" t="s">
        <v>1593</v>
      </c>
      <c r="AL17" s="22" t="s">
        <v>1594</v>
      </c>
      <c r="AM17" s="115" t="s">
        <v>132</v>
      </c>
      <c r="AN17" s="115" t="s">
        <v>3</v>
      </c>
      <c r="AO17" s="115" t="s">
        <v>3</v>
      </c>
      <c r="AP17" s="115" t="s">
        <v>3</v>
      </c>
      <c r="AQ17" s="115" t="s">
        <v>3</v>
      </c>
      <c r="AR17" s="116" t="s">
        <v>3</v>
      </c>
      <c r="AS17" s="117">
        <f t="shared" si="0"/>
        <v>1</v>
      </c>
      <c r="AT17" s="30" t="s">
        <v>203</v>
      </c>
      <c r="AU17" s="301" t="s">
        <v>3</v>
      </c>
      <c r="AV17" s="302">
        <v>37186</v>
      </c>
      <c r="AW17" s="120">
        <v>42482</v>
      </c>
      <c r="AX17" s="120">
        <v>42634</v>
      </c>
      <c r="AY17" s="326">
        <v>42272</v>
      </c>
      <c r="AZ17" s="305" t="s">
        <v>806</v>
      </c>
      <c r="BA17" s="321">
        <v>44434</v>
      </c>
      <c r="BB17" s="603" t="s">
        <v>2009</v>
      </c>
      <c r="BC17" s="394" t="s">
        <v>3</v>
      </c>
      <c r="BD17" s="394" t="s">
        <v>3</v>
      </c>
      <c r="BE17" s="176" t="s">
        <v>899</v>
      </c>
      <c r="BF17" s="404" t="s">
        <v>424</v>
      </c>
      <c r="BG17" s="396" t="s">
        <v>3</v>
      </c>
      <c r="BH17" s="394" t="s">
        <v>3</v>
      </c>
      <c r="BI17" s="402" t="s">
        <v>3</v>
      </c>
      <c r="BJ17" s="403" t="s">
        <v>3</v>
      </c>
      <c r="BK17"/>
      <c r="BM17"/>
    </row>
    <row r="18" spans="1:65" ht="103.5" customHeight="1">
      <c r="A18" s="32" t="s">
        <v>503</v>
      </c>
      <c r="B18" s="95" t="s">
        <v>181</v>
      </c>
      <c r="C18" s="293" t="s">
        <v>873</v>
      </c>
      <c r="D18" s="293" t="s">
        <v>1528</v>
      </c>
      <c r="E18" s="307">
        <v>2008</v>
      </c>
      <c r="F18" s="293" t="s">
        <v>6</v>
      </c>
      <c r="G18" s="230" t="s">
        <v>3</v>
      </c>
      <c r="H18" s="177">
        <v>2021</v>
      </c>
      <c r="I18" s="177">
        <v>2030</v>
      </c>
      <c r="J18" s="24" t="s">
        <v>1529</v>
      </c>
      <c r="K18" s="308" t="s">
        <v>1530</v>
      </c>
      <c r="L18" s="293" t="s">
        <v>360</v>
      </c>
      <c r="M18" s="293" t="s">
        <v>131</v>
      </c>
      <c r="N18" s="293" t="s">
        <v>131</v>
      </c>
      <c r="O18" s="293" t="s">
        <v>131</v>
      </c>
      <c r="P18" s="293" t="s">
        <v>131</v>
      </c>
      <c r="Q18" s="293" t="s">
        <v>131</v>
      </c>
      <c r="R18" s="309" t="s">
        <v>131</v>
      </c>
      <c r="S18" s="293" t="s">
        <v>131</v>
      </c>
      <c r="T18" s="293" t="s">
        <v>131</v>
      </c>
      <c r="U18" s="293" t="s">
        <v>131</v>
      </c>
      <c r="V18" s="293" t="s">
        <v>131</v>
      </c>
      <c r="W18" s="293" t="s">
        <v>3</v>
      </c>
      <c r="X18" s="293" t="s">
        <v>131</v>
      </c>
      <c r="Y18" s="310" t="s">
        <v>3</v>
      </c>
      <c r="Z18" s="293" t="s">
        <v>452</v>
      </c>
      <c r="AA18" s="293" t="s">
        <v>452</v>
      </c>
      <c r="AB18" s="293" t="s">
        <v>452</v>
      </c>
      <c r="AC18" s="293" t="s">
        <v>452</v>
      </c>
      <c r="AD18" s="293" t="s">
        <v>452</v>
      </c>
      <c r="AE18" s="293" t="s">
        <v>452</v>
      </c>
      <c r="AF18" s="298" t="s">
        <v>3</v>
      </c>
      <c r="AG18" s="322" t="s">
        <v>1519</v>
      </c>
      <c r="AH18" s="322" t="s">
        <v>3</v>
      </c>
      <c r="AI18" s="322" t="s">
        <v>3</v>
      </c>
      <c r="AJ18" s="312" t="s">
        <v>3</v>
      </c>
      <c r="AK18" s="308" t="s">
        <v>1531</v>
      </c>
      <c r="AL18" s="22" t="s">
        <v>1532</v>
      </c>
      <c r="AM18" s="115" t="s">
        <v>1533</v>
      </c>
      <c r="AN18" s="115" t="s">
        <v>3</v>
      </c>
      <c r="AO18" s="115" t="s">
        <v>3</v>
      </c>
      <c r="AP18" s="115" t="s">
        <v>3</v>
      </c>
      <c r="AQ18" s="115" t="s">
        <v>1519</v>
      </c>
      <c r="AR18" s="116" t="s">
        <v>3</v>
      </c>
      <c r="AS18" s="117">
        <f t="shared" si="0"/>
        <v>1</v>
      </c>
      <c r="AT18" s="30" t="s">
        <v>203</v>
      </c>
      <c r="AU18" s="301" t="s">
        <v>3</v>
      </c>
      <c r="AV18" s="302">
        <v>36745</v>
      </c>
      <c r="AW18" s="120">
        <v>42482</v>
      </c>
      <c r="AX18" s="120">
        <v>42482</v>
      </c>
      <c r="AY18" s="302">
        <v>42277</v>
      </c>
      <c r="AZ18" s="305" t="s">
        <v>768</v>
      </c>
      <c r="BA18" s="302">
        <v>44407</v>
      </c>
      <c r="BB18" s="606" t="s">
        <v>2010</v>
      </c>
      <c r="BC18" s="394" t="s">
        <v>3</v>
      </c>
      <c r="BD18" s="394" t="s">
        <v>3</v>
      </c>
      <c r="BE18" s="176" t="s">
        <v>899</v>
      </c>
      <c r="BF18" s="404" t="s">
        <v>424</v>
      </c>
      <c r="BG18" s="396" t="s">
        <v>3</v>
      </c>
      <c r="BH18" s="394" t="s">
        <v>3</v>
      </c>
      <c r="BI18" s="402" t="s">
        <v>3</v>
      </c>
      <c r="BJ18" s="403" t="s">
        <v>3</v>
      </c>
      <c r="BK18"/>
      <c r="BM18"/>
    </row>
    <row r="19" spans="1:65" ht="96" customHeight="1">
      <c r="A19" s="32" t="s">
        <v>504</v>
      </c>
      <c r="B19" s="93" t="s">
        <v>183</v>
      </c>
      <c r="C19" s="293" t="s">
        <v>186</v>
      </c>
      <c r="D19" s="318" t="s">
        <v>1688</v>
      </c>
      <c r="E19" s="307">
        <v>1990</v>
      </c>
      <c r="F19" s="307">
        <v>2030</v>
      </c>
      <c r="G19" s="230" t="s">
        <v>3</v>
      </c>
      <c r="H19" s="177">
        <v>2021</v>
      </c>
      <c r="I19" s="177">
        <v>2030</v>
      </c>
      <c r="J19" s="24" t="s">
        <v>1687</v>
      </c>
      <c r="K19" s="308" t="s">
        <v>1689</v>
      </c>
      <c r="L19" s="293" t="s">
        <v>360</v>
      </c>
      <c r="M19" s="293" t="s">
        <v>131</v>
      </c>
      <c r="N19" s="293" t="s">
        <v>131</v>
      </c>
      <c r="O19" s="293" t="s">
        <v>3</v>
      </c>
      <c r="P19" s="293" t="s">
        <v>131</v>
      </c>
      <c r="Q19" s="293" t="s">
        <v>1669</v>
      </c>
      <c r="R19" s="309" t="s">
        <v>131</v>
      </c>
      <c r="S19" s="293" t="s">
        <v>131</v>
      </c>
      <c r="T19" s="293" t="s">
        <v>131</v>
      </c>
      <c r="U19" s="293" t="s">
        <v>131</v>
      </c>
      <c r="V19" s="293" t="s">
        <v>131</v>
      </c>
      <c r="W19" s="293" t="s">
        <v>131</v>
      </c>
      <c r="X19" s="293" t="s">
        <v>131</v>
      </c>
      <c r="Y19" s="310" t="s">
        <v>3</v>
      </c>
      <c r="Z19" s="293">
        <v>61.7</v>
      </c>
      <c r="AA19" s="293">
        <v>19.8</v>
      </c>
      <c r="AB19" s="293">
        <v>25.1</v>
      </c>
      <c r="AC19" s="293">
        <v>0.7</v>
      </c>
      <c r="AD19" s="293">
        <v>0</v>
      </c>
      <c r="AE19" s="293" t="s">
        <v>3</v>
      </c>
      <c r="AF19" s="298" t="s">
        <v>3</v>
      </c>
      <c r="AG19" s="311" t="s">
        <v>3</v>
      </c>
      <c r="AH19" s="311" t="s">
        <v>3</v>
      </c>
      <c r="AI19" s="311" t="s">
        <v>3</v>
      </c>
      <c r="AJ19" s="312" t="s">
        <v>3</v>
      </c>
      <c r="AK19" s="308" t="s">
        <v>3</v>
      </c>
      <c r="AL19" s="21" t="s">
        <v>3</v>
      </c>
      <c r="AM19" s="115" t="s">
        <v>3</v>
      </c>
      <c r="AN19" s="115" t="s">
        <v>3</v>
      </c>
      <c r="AO19" s="115" t="s">
        <v>3</v>
      </c>
      <c r="AP19" s="115" t="s">
        <v>3</v>
      </c>
      <c r="AQ19" s="115" t="s">
        <v>3</v>
      </c>
      <c r="AR19" s="116" t="s">
        <v>3</v>
      </c>
      <c r="AS19" s="117" t="str">
        <f t="shared" si="0"/>
        <v/>
      </c>
      <c r="AT19" s="30" t="s">
        <v>204</v>
      </c>
      <c r="AU19" s="301" t="s">
        <v>3</v>
      </c>
      <c r="AV19" s="302">
        <v>38590</v>
      </c>
      <c r="AW19" s="120">
        <v>42482</v>
      </c>
      <c r="AX19" s="120">
        <v>42634</v>
      </c>
      <c r="AY19" s="302">
        <v>42272</v>
      </c>
      <c r="AZ19" s="317" t="s">
        <v>803</v>
      </c>
      <c r="BA19" s="321">
        <v>44480</v>
      </c>
      <c r="BB19" s="603" t="s">
        <v>2011</v>
      </c>
      <c r="BC19" s="394" t="s">
        <v>3</v>
      </c>
      <c r="BD19" s="394" t="s">
        <v>3</v>
      </c>
      <c r="BE19" s="176" t="s">
        <v>906</v>
      </c>
      <c r="BF19" s="404" t="s">
        <v>471</v>
      </c>
      <c r="BG19" s="397">
        <v>2020</v>
      </c>
      <c r="BH19" s="395">
        <v>4</v>
      </c>
      <c r="BI19" s="177" t="s">
        <v>3</v>
      </c>
      <c r="BJ19" s="446" t="s">
        <v>3</v>
      </c>
      <c r="BK19"/>
      <c r="BM19"/>
    </row>
    <row r="20" spans="1:65" ht="120" customHeight="1">
      <c r="A20" s="32" t="s">
        <v>505</v>
      </c>
      <c r="B20" s="95" t="s">
        <v>181</v>
      </c>
      <c r="C20" s="293" t="s">
        <v>1595</v>
      </c>
      <c r="D20" s="318" t="s">
        <v>1596</v>
      </c>
      <c r="E20" s="307" t="s">
        <v>1001</v>
      </c>
      <c r="F20" s="307">
        <v>2030</v>
      </c>
      <c r="G20" s="230" t="s">
        <v>3</v>
      </c>
      <c r="H20" s="173">
        <v>2015</v>
      </c>
      <c r="I20" s="173">
        <v>2030</v>
      </c>
      <c r="J20" s="24" t="s">
        <v>1597</v>
      </c>
      <c r="K20" s="308" t="s">
        <v>1598</v>
      </c>
      <c r="L20" s="293" t="s">
        <v>360</v>
      </c>
      <c r="M20" s="293" t="s">
        <v>131</v>
      </c>
      <c r="N20" s="293" t="s">
        <v>1590</v>
      </c>
      <c r="O20" s="293" t="s">
        <v>1590</v>
      </c>
      <c r="P20" s="293" t="s">
        <v>131</v>
      </c>
      <c r="Q20" s="293" t="s">
        <v>131</v>
      </c>
      <c r="R20" s="309" t="s">
        <v>3</v>
      </c>
      <c r="S20" s="293" t="s">
        <v>131</v>
      </c>
      <c r="T20" s="293" t="s">
        <v>131</v>
      </c>
      <c r="U20" s="293" t="s">
        <v>1590</v>
      </c>
      <c r="V20" s="293" t="s">
        <v>3</v>
      </c>
      <c r="W20" s="293" t="s">
        <v>3</v>
      </c>
      <c r="X20" s="293" t="s">
        <v>3</v>
      </c>
      <c r="Y20" s="310" t="s">
        <v>3</v>
      </c>
      <c r="Z20" s="293" t="s">
        <v>452</v>
      </c>
      <c r="AA20" s="293" t="s">
        <v>452</v>
      </c>
      <c r="AB20" s="293" t="s">
        <v>452</v>
      </c>
      <c r="AC20" s="293" t="s">
        <v>452</v>
      </c>
      <c r="AD20" s="293" t="s">
        <v>452</v>
      </c>
      <c r="AE20" s="293" t="s">
        <v>452</v>
      </c>
      <c r="AF20" s="298" t="s">
        <v>3</v>
      </c>
      <c r="AG20" s="322">
        <v>1.24</v>
      </c>
      <c r="AH20" s="322">
        <v>0.14599999999999999</v>
      </c>
      <c r="AI20" s="322">
        <f>AG20+AH20</f>
        <v>1.3859999999999999</v>
      </c>
      <c r="AJ20" s="312" t="s">
        <v>1599</v>
      </c>
      <c r="AK20" s="308" t="s">
        <v>1591</v>
      </c>
      <c r="AL20" s="22" t="s">
        <v>1600</v>
      </c>
      <c r="AM20" s="115" t="s">
        <v>1601</v>
      </c>
      <c r="AN20" s="115" t="s">
        <v>3</v>
      </c>
      <c r="AO20" s="115" t="s">
        <v>967</v>
      </c>
      <c r="AP20" s="115" t="s">
        <v>3</v>
      </c>
      <c r="AQ20" s="115" t="s">
        <v>131</v>
      </c>
      <c r="AR20" s="116" t="s">
        <v>3</v>
      </c>
      <c r="AS20" s="117">
        <f t="shared" si="0"/>
        <v>1</v>
      </c>
      <c r="AT20" s="30" t="s">
        <v>203</v>
      </c>
      <c r="AU20" s="301" t="s">
        <v>3</v>
      </c>
      <c r="AV20" s="302">
        <v>37890</v>
      </c>
      <c r="AW20" s="120">
        <v>42482</v>
      </c>
      <c r="AX20" s="120">
        <v>42482</v>
      </c>
      <c r="AY20" s="302">
        <v>42278</v>
      </c>
      <c r="AZ20" s="305" t="s">
        <v>741</v>
      </c>
      <c r="BA20" s="321">
        <v>44440</v>
      </c>
      <c r="BB20" s="606" t="s">
        <v>2012</v>
      </c>
      <c r="BC20" s="394" t="s">
        <v>3</v>
      </c>
      <c r="BD20" s="394" t="s">
        <v>3</v>
      </c>
      <c r="BE20" s="176" t="s">
        <v>899</v>
      </c>
      <c r="BF20" s="404" t="s">
        <v>424</v>
      </c>
      <c r="BG20" s="396" t="s">
        <v>3</v>
      </c>
      <c r="BH20" s="394" t="s">
        <v>3</v>
      </c>
      <c r="BI20" s="402">
        <v>2021</v>
      </c>
      <c r="BJ20" s="403">
        <v>1</v>
      </c>
      <c r="BK20"/>
      <c r="BM20"/>
    </row>
    <row r="21" spans="1:65" ht="132" customHeight="1">
      <c r="A21" s="31" t="s">
        <v>506</v>
      </c>
      <c r="B21" s="92" t="s">
        <v>180</v>
      </c>
      <c r="C21" s="230" t="s">
        <v>1691</v>
      </c>
      <c r="D21" s="323">
        <v>0.20150000000000001</v>
      </c>
      <c r="E21" s="230" t="s">
        <v>1692</v>
      </c>
      <c r="F21" s="230">
        <v>2030</v>
      </c>
      <c r="G21" s="230" t="s">
        <v>3</v>
      </c>
      <c r="H21" s="177">
        <v>2021</v>
      </c>
      <c r="I21" s="177">
        <v>2030</v>
      </c>
      <c r="J21" s="320" t="s">
        <v>1690</v>
      </c>
      <c r="K21" s="314" t="s">
        <v>253</v>
      </c>
      <c r="L21" s="30" t="s">
        <v>360</v>
      </c>
      <c r="M21" s="30" t="s">
        <v>131</v>
      </c>
      <c r="N21" s="30" t="s">
        <v>131</v>
      </c>
      <c r="O21" s="30" t="s">
        <v>3</v>
      </c>
      <c r="P21" s="30" t="s">
        <v>131</v>
      </c>
      <c r="Q21" s="30" t="s">
        <v>131</v>
      </c>
      <c r="R21" s="315" t="s">
        <v>131</v>
      </c>
      <c r="S21" s="30" t="s">
        <v>131</v>
      </c>
      <c r="T21" s="30" t="s">
        <v>131</v>
      </c>
      <c r="U21" s="30" t="s">
        <v>131</v>
      </c>
      <c r="V21" s="30" t="s">
        <v>1669</v>
      </c>
      <c r="W21" s="30" t="s">
        <v>3</v>
      </c>
      <c r="X21" s="30" t="s">
        <v>3</v>
      </c>
      <c r="Y21" s="298" t="s">
        <v>3</v>
      </c>
      <c r="Z21" s="30">
        <v>5.8</v>
      </c>
      <c r="AA21" s="30">
        <v>6.5</v>
      </c>
      <c r="AB21" s="30">
        <v>2.6</v>
      </c>
      <c r="AC21" s="30" t="s">
        <v>3</v>
      </c>
      <c r="AD21" s="30" t="s">
        <v>3</v>
      </c>
      <c r="AE21" s="30" t="s">
        <v>3</v>
      </c>
      <c r="AF21" s="298" t="s">
        <v>3</v>
      </c>
      <c r="AG21" s="231" t="s">
        <v>1663</v>
      </c>
      <c r="AH21" s="232" t="s">
        <v>1663</v>
      </c>
      <c r="AI21" s="232">
        <v>4.8529999999999998</v>
      </c>
      <c r="AJ21" s="316" t="s">
        <v>1693</v>
      </c>
      <c r="AK21" s="314" t="s">
        <v>1694</v>
      </c>
      <c r="AL21" s="21" t="s">
        <v>3</v>
      </c>
      <c r="AM21" s="115" t="s">
        <v>3</v>
      </c>
      <c r="AN21" s="115" t="s">
        <v>3</v>
      </c>
      <c r="AO21" s="115" t="s">
        <v>3</v>
      </c>
      <c r="AP21" s="115" t="s">
        <v>3</v>
      </c>
      <c r="AQ21" s="115" t="s">
        <v>3</v>
      </c>
      <c r="AR21" s="116" t="s">
        <v>3</v>
      </c>
      <c r="AS21" s="117" t="str">
        <f t="shared" si="0"/>
        <v/>
      </c>
      <c r="AT21" s="30" t="s">
        <v>203</v>
      </c>
      <c r="AU21" s="301" t="s">
        <v>3</v>
      </c>
      <c r="AV21" s="302">
        <v>37312</v>
      </c>
      <c r="AW21" s="120">
        <v>42482</v>
      </c>
      <c r="AX21" s="120">
        <v>42674</v>
      </c>
      <c r="AY21" s="328">
        <v>42277</v>
      </c>
      <c r="AZ21" s="317" t="s">
        <v>773</v>
      </c>
      <c r="BA21" s="321">
        <v>44481</v>
      </c>
      <c r="BB21" s="603" t="s">
        <v>2013</v>
      </c>
      <c r="BC21" s="394" t="s">
        <v>3</v>
      </c>
      <c r="BD21" s="394" t="s">
        <v>3</v>
      </c>
      <c r="BE21" s="176" t="s">
        <v>897</v>
      </c>
      <c r="BF21" s="404" t="s">
        <v>424</v>
      </c>
      <c r="BG21" s="396" t="s">
        <v>3</v>
      </c>
      <c r="BH21" s="394" t="s">
        <v>3</v>
      </c>
      <c r="BI21" s="402">
        <v>2019</v>
      </c>
      <c r="BJ21" s="403">
        <v>1</v>
      </c>
      <c r="BK21" s="283"/>
      <c r="BM21"/>
    </row>
    <row r="22" spans="1:65" ht="96" customHeight="1">
      <c r="A22" s="425" t="s">
        <v>507</v>
      </c>
      <c r="B22" s="90" t="s">
        <v>23</v>
      </c>
      <c r="C22" s="230" t="s">
        <v>1008</v>
      </c>
      <c r="D22" s="230" t="s">
        <v>2</v>
      </c>
      <c r="E22" s="230" t="s">
        <v>3</v>
      </c>
      <c r="F22" s="230" t="s">
        <v>3</v>
      </c>
      <c r="G22" s="230" t="s">
        <v>3</v>
      </c>
      <c r="H22" s="176">
        <v>2021</v>
      </c>
      <c r="I22" s="176">
        <v>2030</v>
      </c>
      <c r="J22" s="329" t="s">
        <v>1428</v>
      </c>
      <c r="K22" s="330" t="s">
        <v>1429</v>
      </c>
      <c r="L22" s="331" t="s">
        <v>360</v>
      </c>
      <c r="M22" s="331" t="s">
        <v>131</v>
      </c>
      <c r="N22" s="331" t="s">
        <v>131</v>
      </c>
      <c r="O22" s="331" t="s">
        <v>131</v>
      </c>
      <c r="P22" s="331" t="s">
        <v>131</v>
      </c>
      <c r="Q22" s="331" t="s">
        <v>131</v>
      </c>
      <c r="R22" s="332" t="s">
        <v>131</v>
      </c>
      <c r="S22" s="331" t="s">
        <v>131</v>
      </c>
      <c r="T22" s="331" t="s">
        <v>471</v>
      </c>
      <c r="U22" s="331" t="s">
        <v>471</v>
      </c>
      <c r="V22" s="331" t="s">
        <v>3</v>
      </c>
      <c r="W22" s="331" t="s">
        <v>3</v>
      </c>
      <c r="X22" s="331" t="s">
        <v>3</v>
      </c>
      <c r="Y22" s="333" t="s">
        <v>3</v>
      </c>
      <c r="Z22" s="293" t="s">
        <v>452</v>
      </c>
      <c r="AA22" s="293" t="s">
        <v>452</v>
      </c>
      <c r="AB22" s="293" t="s">
        <v>452</v>
      </c>
      <c r="AC22" s="293" t="s">
        <v>452</v>
      </c>
      <c r="AD22" s="293" t="s">
        <v>452</v>
      </c>
      <c r="AE22" s="293" t="s">
        <v>452</v>
      </c>
      <c r="AF22" s="298" t="s">
        <v>3</v>
      </c>
      <c r="AG22" s="311" t="s">
        <v>3</v>
      </c>
      <c r="AH22" s="311" t="s">
        <v>3</v>
      </c>
      <c r="AI22" s="311" t="s">
        <v>3</v>
      </c>
      <c r="AJ22" s="334" t="s">
        <v>3</v>
      </c>
      <c r="AK22" s="330" t="s">
        <v>3</v>
      </c>
      <c r="AL22" s="22" t="s">
        <v>1430</v>
      </c>
      <c r="AM22" s="115" t="s">
        <v>131</v>
      </c>
      <c r="AN22" s="115" t="s">
        <v>3</v>
      </c>
      <c r="AO22" s="115" t="s">
        <v>1431</v>
      </c>
      <c r="AP22" s="115" t="s">
        <v>3</v>
      </c>
      <c r="AQ22" s="115" t="s">
        <v>131</v>
      </c>
      <c r="AR22" s="116" t="s">
        <v>3</v>
      </c>
      <c r="AS22" s="117">
        <f t="shared" si="0"/>
        <v>1</v>
      </c>
      <c r="AT22" s="30" t="s">
        <v>203</v>
      </c>
      <c r="AU22" s="301" t="s">
        <v>3</v>
      </c>
      <c r="AV22" s="302">
        <v>37494</v>
      </c>
      <c r="AW22" s="120">
        <v>42482</v>
      </c>
      <c r="AX22" s="120">
        <v>42997</v>
      </c>
      <c r="AY22" s="326">
        <v>42277</v>
      </c>
      <c r="AZ22" s="305" t="s">
        <v>760</v>
      </c>
      <c r="BA22" s="120">
        <v>42997</v>
      </c>
      <c r="BB22" s="607" t="s">
        <v>1993</v>
      </c>
      <c r="BC22" s="321">
        <v>44371</v>
      </c>
      <c r="BD22" s="486" t="s">
        <v>1996</v>
      </c>
      <c r="BE22" s="176" t="s">
        <v>899</v>
      </c>
      <c r="BF22" s="404" t="s">
        <v>424</v>
      </c>
      <c r="BG22" s="396" t="s">
        <v>3</v>
      </c>
      <c r="BH22" s="394" t="s">
        <v>3</v>
      </c>
      <c r="BI22" s="402" t="s">
        <v>3</v>
      </c>
      <c r="BJ22" s="403" t="s">
        <v>3</v>
      </c>
      <c r="BK22" s="49"/>
      <c r="BM22"/>
    </row>
    <row r="23" spans="1:65" ht="156" customHeight="1">
      <c r="A23" s="32" t="s">
        <v>508</v>
      </c>
      <c r="B23" s="204" t="s">
        <v>181</v>
      </c>
      <c r="C23" s="293" t="s">
        <v>189</v>
      </c>
      <c r="D23" s="293" t="s">
        <v>3</v>
      </c>
      <c r="E23" s="307" t="s">
        <v>3</v>
      </c>
      <c r="F23" s="307">
        <v>2030</v>
      </c>
      <c r="G23" s="230" t="s">
        <v>3</v>
      </c>
      <c r="H23" s="173">
        <v>2021</v>
      </c>
      <c r="I23" s="173">
        <v>2030</v>
      </c>
      <c r="J23" s="24" t="s">
        <v>1888</v>
      </c>
      <c r="K23" s="308" t="s">
        <v>1889</v>
      </c>
      <c r="L23" s="293" t="s">
        <v>360</v>
      </c>
      <c r="M23" s="293" t="s">
        <v>131</v>
      </c>
      <c r="N23" s="293" t="s">
        <v>131</v>
      </c>
      <c r="O23" s="293" t="s">
        <v>1890</v>
      </c>
      <c r="P23" s="293" t="s">
        <v>1890</v>
      </c>
      <c r="Q23" s="293" t="s">
        <v>131</v>
      </c>
      <c r="R23" s="309" t="s">
        <v>1890</v>
      </c>
      <c r="S23" s="293" t="s">
        <v>131</v>
      </c>
      <c r="T23" s="293" t="s">
        <v>1890</v>
      </c>
      <c r="U23" s="293" t="s">
        <v>1890</v>
      </c>
      <c r="V23" s="293" t="s">
        <v>1890</v>
      </c>
      <c r="W23" s="293" t="s">
        <v>3</v>
      </c>
      <c r="X23" s="293" t="s">
        <v>3</v>
      </c>
      <c r="Y23" s="310" t="s">
        <v>3</v>
      </c>
      <c r="Z23" s="293">
        <v>19.5</v>
      </c>
      <c r="AA23" s="293">
        <v>29.4</v>
      </c>
      <c r="AB23" s="293">
        <v>9.1</v>
      </c>
      <c r="AC23" s="293" t="s">
        <v>3</v>
      </c>
      <c r="AD23" s="293" t="s">
        <v>3</v>
      </c>
      <c r="AE23" s="293" t="s">
        <v>3</v>
      </c>
      <c r="AF23" s="298" t="s">
        <v>3</v>
      </c>
      <c r="AG23" s="322" t="s">
        <v>3</v>
      </c>
      <c r="AH23" s="322" t="s">
        <v>3</v>
      </c>
      <c r="AI23" s="322" t="s">
        <v>3</v>
      </c>
      <c r="AJ23" s="312" t="s">
        <v>3</v>
      </c>
      <c r="AK23" s="308" t="s">
        <v>3</v>
      </c>
      <c r="AL23" s="22" t="s">
        <v>1891</v>
      </c>
      <c r="AM23" s="115" t="s">
        <v>135</v>
      </c>
      <c r="AN23" s="115" t="s">
        <v>135</v>
      </c>
      <c r="AO23" s="115" t="s">
        <v>135</v>
      </c>
      <c r="AP23" s="117" t="s">
        <v>135</v>
      </c>
      <c r="AQ23" s="115" t="s">
        <v>135</v>
      </c>
      <c r="AR23" s="300" t="s">
        <v>135</v>
      </c>
      <c r="AS23" s="117">
        <f t="shared" si="0"/>
        <v>1</v>
      </c>
      <c r="AT23" s="30" t="s">
        <v>203</v>
      </c>
      <c r="AU23" s="302">
        <v>35985</v>
      </c>
      <c r="AV23" s="302">
        <v>36494</v>
      </c>
      <c r="AW23" s="120">
        <v>42482</v>
      </c>
      <c r="AX23" s="303">
        <v>42648</v>
      </c>
      <c r="AY23" s="302">
        <v>42289</v>
      </c>
      <c r="AZ23" s="317" t="s">
        <v>735</v>
      </c>
      <c r="BA23" s="321">
        <v>44666</v>
      </c>
      <c r="BB23" s="603" t="s">
        <v>1995</v>
      </c>
      <c r="BC23" s="394" t="s">
        <v>3</v>
      </c>
      <c r="BD23" s="394" t="s">
        <v>3</v>
      </c>
      <c r="BE23" s="173" t="s">
        <v>898</v>
      </c>
      <c r="BF23" s="404" t="s">
        <v>424</v>
      </c>
      <c r="BG23" s="396" t="s">
        <v>3</v>
      </c>
      <c r="BH23" s="394" t="s">
        <v>3</v>
      </c>
      <c r="BI23" s="402" t="s">
        <v>3</v>
      </c>
      <c r="BJ23" s="403" t="s">
        <v>3</v>
      </c>
      <c r="BK23"/>
      <c r="BM23"/>
    </row>
    <row r="24" spans="1:65" ht="144" customHeight="1">
      <c r="A24" s="32" t="s">
        <v>509</v>
      </c>
      <c r="B24" s="381" t="s">
        <v>183</v>
      </c>
      <c r="C24" s="293" t="s">
        <v>1007</v>
      </c>
      <c r="D24" s="293" t="s">
        <v>1378</v>
      </c>
      <c r="E24" s="307">
        <v>2014</v>
      </c>
      <c r="F24" s="307" t="s">
        <v>1377</v>
      </c>
      <c r="G24" s="230" t="s">
        <v>3</v>
      </c>
      <c r="H24" s="176">
        <v>2020</v>
      </c>
      <c r="I24" s="176" t="s">
        <v>1377</v>
      </c>
      <c r="J24" s="24" t="s">
        <v>1379</v>
      </c>
      <c r="K24" s="308" t="s">
        <v>1380</v>
      </c>
      <c r="L24" s="293" t="s">
        <v>360</v>
      </c>
      <c r="M24" s="293" t="s">
        <v>131</v>
      </c>
      <c r="N24" s="293" t="s">
        <v>131</v>
      </c>
      <c r="O24" s="293" t="s">
        <v>131</v>
      </c>
      <c r="P24" s="293" t="s">
        <v>131</v>
      </c>
      <c r="Q24" s="293" t="s">
        <v>131</v>
      </c>
      <c r="R24" s="309" t="s">
        <v>131</v>
      </c>
      <c r="S24" s="293" t="s">
        <v>131</v>
      </c>
      <c r="T24" s="293" t="s">
        <v>131</v>
      </c>
      <c r="U24" s="293" t="s">
        <v>131</v>
      </c>
      <c r="V24" s="293" t="s">
        <v>1381</v>
      </c>
      <c r="W24" s="293" t="s">
        <v>3</v>
      </c>
      <c r="X24" s="293" t="s">
        <v>3</v>
      </c>
      <c r="Y24" s="310" t="s">
        <v>3</v>
      </c>
      <c r="Z24" s="293">
        <v>21</v>
      </c>
      <c r="AA24" s="293">
        <v>4.3</v>
      </c>
      <c r="AB24" s="293">
        <v>1.1000000000000001</v>
      </c>
      <c r="AC24" s="293">
        <v>0.7</v>
      </c>
      <c r="AD24" s="293">
        <v>0.1</v>
      </c>
      <c r="AE24" s="293" t="s">
        <v>3</v>
      </c>
      <c r="AF24" s="298" t="s">
        <v>3</v>
      </c>
      <c r="AG24" s="311" t="s">
        <v>3</v>
      </c>
      <c r="AH24" s="311" t="s">
        <v>3</v>
      </c>
      <c r="AI24" s="311" t="s">
        <v>3</v>
      </c>
      <c r="AJ24" s="312" t="s">
        <v>3</v>
      </c>
      <c r="AK24" s="308" t="s">
        <v>3</v>
      </c>
      <c r="AL24" s="22" t="s">
        <v>1382</v>
      </c>
      <c r="AM24" s="115" t="s">
        <v>1383</v>
      </c>
      <c r="AN24" s="115" t="s">
        <v>1384</v>
      </c>
      <c r="AO24" s="115" t="s">
        <v>3</v>
      </c>
      <c r="AP24" s="115" t="s">
        <v>3</v>
      </c>
      <c r="AQ24" s="115" t="s">
        <v>3</v>
      </c>
      <c r="AR24" s="116" t="s">
        <v>3</v>
      </c>
      <c r="AS24" s="117">
        <f t="shared" si="0"/>
        <v>1</v>
      </c>
      <c r="AT24" s="30" t="s">
        <v>203</v>
      </c>
      <c r="AU24" s="301" t="s">
        <v>3</v>
      </c>
      <c r="AV24" s="302">
        <v>39188</v>
      </c>
      <c r="AW24" s="120">
        <v>42482</v>
      </c>
      <c r="AX24" s="120">
        <v>42810</v>
      </c>
      <c r="AY24" s="302">
        <v>42285</v>
      </c>
      <c r="AZ24" s="305" t="s">
        <v>736</v>
      </c>
      <c r="BA24" s="321">
        <v>44306</v>
      </c>
      <c r="BB24" s="603" t="s">
        <v>1994</v>
      </c>
      <c r="BC24" s="394" t="s">
        <v>3</v>
      </c>
      <c r="BD24" s="394" t="s">
        <v>3</v>
      </c>
      <c r="BE24" s="176" t="s">
        <v>899</v>
      </c>
      <c r="BF24" s="404" t="s">
        <v>424</v>
      </c>
      <c r="BG24" s="396" t="s">
        <v>3</v>
      </c>
      <c r="BH24" s="394" t="s">
        <v>3</v>
      </c>
      <c r="BI24" s="440">
        <v>2017</v>
      </c>
      <c r="BJ24" s="447">
        <v>2</v>
      </c>
      <c r="BK24"/>
      <c r="BM24"/>
    </row>
    <row r="25" spans="1:65" ht="115.5" customHeight="1">
      <c r="A25" s="31" t="s">
        <v>510</v>
      </c>
      <c r="B25" s="205" t="s">
        <v>180</v>
      </c>
      <c r="C25" s="230" t="s">
        <v>186</v>
      </c>
      <c r="D25" s="319">
        <v>0.15</v>
      </c>
      <c r="E25" s="230">
        <v>2010</v>
      </c>
      <c r="F25" s="230">
        <v>2030</v>
      </c>
      <c r="G25" s="230" t="s">
        <v>3</v>
      </c>
      <c r="H25" s="175" t="s">
        <v>424</v>
      </c>
      <c r="I25" s="175" t="s">
        <v>424</v>
      </c>
      <c r="J25" s="320" t="s">
        <v>28</v>
      </c>
      <c r="K25" s="314" t="s">
        <v>95</v>
      </c>
      <c r="L25" s="30" t="s">
        <v>360</v>
      </c>
      <c r="M25" s="30" t="s">
        <v>131</v>
      </c>
      <c r="N25" s="30" t="s">
        <v>131</v>
      </c>
      <c r="O25" s="30" t="s">
        <v>131</v>
      </c>
      <c r="P25" s="30" t="s">
        <v>131</v>
      </c>
      <c r="Q25" s="30" t="s">
        <v>3</v>
      </c>
      <c r="R25" s="315" t="s">
        <v>3</v>
      </c>
      <c r="S25" s="30" t="s">
        <v>131</v>
      </c>
      <c r="T25" s="30" t="s">
        <v>131</v>
      </c>
      <c r="U25" s="30" t="s">
        <v>131</v>
      </c>
      <c r="V25" s="30" t="s">
        <v>3</v>
      </c>
      <c r="W25" s="30" t="s">
        <v>3</v>
      </c>
      <c r="X25" s="30" t="s">
        <v>3</v>
      </c>
      <c r="Y25" s="298" t="s">
        <v>3</v>
      </c>
      <c r="Z25" s="30">
        <v>7.1</v>
      </c>
      <c r="AA25" s="30">
        <v>4.3</v>
      </c>
      <c r="AB25" s="30">
        <v>1.9</v>
      </c>
      <c r="AC25" s="30" t="s">
        <v>3</v>
      </c>
      <c r="AD25" s="30" t="s">
        <v>3</v>
      </c>
      <c r="AE25" s="30" t="s">
        <v>3</v>
      </c>
      <c r="AF25" s="298" t="s">
        <v>3</v>
      </c>
      <c r="AG25" s="231">
        <v>18.399999999999999</v>
      </c>
      <c r="AH25" s="232" t="s">
        <v>3</v>
      </c>
      <c r="AI25" s="232">
        <v>18.399999999999999</v>
      </c>
      <c r="AJ25" s="316" t="s">
        <v>94</v>
      </c>
      <c r="AK25" s="314" t="s">
        <v>3</v>
      </c>
      <c r="AL25" s="24" t="s">
        <v>16</v>
      </c>
      <c r="AM25" s="117" t="s">
        <v>131</v>
      </c>
      <c r="AN25" s="115" t="s">
        <v>3</v>
      </c>
      <c r="AO25" s="115" t="s">
        <v>3</v>
      </c>
      <c r="AP25" s="115" t="s">
        <v>3</v>
      </c>
      <c r="AQ25" s="115" t="s">
        <v>3</v>
      </c>
      <c r="AR25" s="116" t="s">
        <v>3</v>
      </c>
      <c r="AS25" s="117">
        <f t="shared" si="0"/>
        <v>1</v>
      </c>
      <c r="AT25" s="30" t="s">
        <v>203</v>
      </c>
      <c r="AU25" s="301" t="s">
        <v>3</v>
      </c>
      <c r="AV25" s="302">
        <v>37841</v>
      </c>
      <c r="AW25" s="120">
        <v>42482</v>
      </c>
      <c r="AX25" s="120">
        <v>42685</v>
      </c>
      <c r="AY25" s="303">
        <v>42278</v>
      </c>
      <c r="AZ25" s="305" t="s">
        <v>744</v>
      </c>
      <c r="BA25" s="303">
        <v>42685</v>
      </c>
      <c r="BB25" s="603" t="s">
        <v>2015</v>
      </c>
      <c r="BC25" s="394" t="s">
        <v>3</v>
      </c>
      <c r="BD25" s="394" t="s">
        <v>3</v>
      </c>
      <c r="BE25" s="176" t="s">
        <v>899</v>
      </c>
      <c r="BF25" s="404" t="s">
        <v>424</v>
      </c>
      <c r="BG25" s="396" t="s">
        <v>3</v>
      </c>
      <c r="BH25" s="394" t="s">
        <v>3</v>
      </c>
      <c r="BI25" s="402">
        <v>2019</v>
      </c>
      <c r="BJ25" s="403">
        <v>1</v>
      </c>
      <c r="BK25"/>
      <c r="BM25"/>
    </row>
    <row r="26" spans="1:65" ht="204" customHeight="1">
      <c r="A26" s="32" t="s">
        <v>511</v>
      </c>
      <c r="B26" s="204" t="s">
        <v>181</v>
      </c>
      <c r="C26" s="293" t="s">
        <v>186</v>
      </c>
      <c r="D26" s="293" t="s">
        <v>1893</v>
      </c>
      <c r="E26" s="307">
        <v>2005</v>
      </c>
      <c r="F26" s="307" t="s">
        <v>1192</v>
      </c>
      <c r="G26" s="230" t="s">
        <v>3</v>
      </c>
      <c r="H26" s="174" t="s">
        <v>1074</v>
      </c>
      <c r="I26" s="174" t="s">
        <v>1074</v>
      </c>
      <c r="J26" s="24" t="s">
        <v>1894</v>
      </c>
      <c r="K26" s="308" t="s">
        <v>424</v>
      </c>
      <c r="L26" s="293" t="s">
        <v>360</v>
      </c>
      <c r="M26" s="293" t="s">
        <v>131</v>
      </c>
      <c r="N26" s="293" t="s">
        <v>131</v>
      </c>
      <c r="O26" s="293" t="s">
        <v>131</v>
      </c>
      <c r="P26" s="293" t="s">
        <v>131</v>
      </c>
      <c r="Q26" s="293" t="s">
        <v>131</v>
      </c>
      <c r="R26" s="309" t="s">
        <v>131</v>
      </c>
      <c r="S26" s="293" t="s">
        <v>131</v>
      </c>
      <c r="T26" s="293" t="s">
        <v>131</v>
      </c>
      <c r="U26" s="293" t="s">
        <v>131</v>
      </c>
      <c r="V26" s="293" t="s">
        <v>131</v>
      </c>
      <c r="W26" s="293" t="s">
        <v>131</v>
      </c>
      <c r="X26" s="293" t="s">
        <v>131</v>
      </c>
      <c r="Y26" s="310" t="s">
        <v>3</v>
      </c>
      <c r="Z26" s="293">
        <v>503.4</v>
      </c>
      <c r="AA26" s="293">
        <v>529.29999999999995</v>
      </c>
      <c r="AB26" s="293">
        <v>196.1</v>
      </c>
      <c r="AC26" s="293">
        <v>3.2</v>
      </c>
      <c r="AD26" s="293">
        <v>1.9</v>
      </c>
      <c r="AE26" s="293">
        <v>1.5</v>
      </c>
      <c r="AF26" s="298" t="s">
        <v>3</v>
      </c>
      <c r="AG26" s="322" t="s">
        <v>3</v>
      </c>
      <c r="AH26" s="322" t="s">
        <v>3</v>
      </c>
      <c r="AI26" s="322" t="s">
        <v>3</v>
      </c>
      <c r="AJ26" s="312" t="s">
        <v>3</v>
      </c>
      <c r="AK26" s="308" t="s">
        <v>1170</v>
      </c>
      <c r="AL26" s="459" t="s">
        <v>1895</v>
      </c>
      <c r="AM26" s="115" t="s">
        <v>132</v>
      </c>
      <c r="AN26" s="115" t="s">
        <v>132</v>
      </c>
      <c r="AO26" s="115" t="s">
        <v>132</v>
      </c>
      <c r="AP26" s="117" t="s">
        <v>246</v>
      </c>
      <c r="AQ26" s="115" t="s">
        <v>3</v>
      </c>
      <c r="AR26" s="116" t="s">
        <v>3</v>
      </c>
      <c r="AS26" s="117">
        <f t="shared" si="0"/>
        <v>1</v>
      </c>
      <c r="AT26" s="30" t="s">
        <v>203</v>
      </c>
      <c r="AU26" s="302">
        <v>35914</v>
      </c>
      <c r="AV26" s="302">
        <v>37491</v>
      </c>
      <c r="AW26" s="120">
        <v>42482</v>
      </c>
      <c r="AX26" s="120">
        <v>42634</v>
      </c>
      <c r="AY26" s="302">
        <v>42275</v>
      </c>
      <c r="AZ26" s="305" t="s">
        <v>797</v>
      </c>
      <c r="BA26" s="321">
        <v>44658</v>
      </c>
      <c r="BB26" s="603" t="s">
        <v>2014</v>
      </c>
      <c r="BC26" s="394" t="s">
        <v>3</v>
      </c>
      <c r="BD26" s="394" t="s">
        <v>3</v>
      </c>
      <c r="BE26" s="176" t="s">
        <v>899</v>
      </c>
      <c r="BF26" s="404" t="s">
        <v>900</v>
      </c>
      <c r="BG26" s="396" t="s">
        <v>3</v>
      </c>
      <c r="BH26" s="394" t="s">
        <v>3</v>
      </c>
      <c r="BI26" s="440">
        <v>2020</v>
      </c>
      <c r="BJ26" s="447">
        <v>4</v>
      </c>
      <c r="BK26"/>
      <c r="BM26"/>
    </row>
    <row r="27" spans="1:65" ht="130.05000000000001" customHeight="1">
      <c r="A27" s="31" t="s">
        <v>512</v>
      </c>
      <c r="B27" s="207" t="s">
        <v>23</v>
      </c>
      <c r="C27" s="230" t="s">
        <v>1294</v>
      </c>
      <c r="D27" s="319">
        <v>0.2</v>
      </c>
      <c r="E27" s="230" t="s">
        <v>1</v>
      </c>
      <c r="F27" s="230">
        <v>2030</v>
      </c>
      <c r="G27" s="230" t="s">
        <v>3</v>
      </c>
      <c r="H27" s="452">
        <v>2021</v>
      </c>
      <c r="I27" s="452">
        <v>2030</v>
      </c>
      <c r="J27" s="320" t="s">
        <v>1302</v>
      </c>
      <c r="K27" s="314" t="s">
        <v>1305</v>
      </c>
      <c r="L27" s="30" t="s">
        <v>1303</v>
      </c>
      <c r="M27" s="30" t="s">
        <v>131</v>
      </c>
      <c r="N27" s="30" t="s">
        <v>1297</v>
      </c>
      <c r="O27" s="30" t="s">
        <v>131</v>
      </c>
      <c r="P27" s="30" t="s">
        <v>1297</v>
      </c>
      <c r="Q27" s="30" t="s">
        <v>131</v>
      </c>
      <c r="R27" s="315" t="s">
        <v>1297</v>
      </c>
      <c r="S27" s="30" t="s">
        <v>1297</v>
      </c>
      <c r="T27" s="30" t="s">
        <v>1297</v>
      </c>
      <c r="U27" s="30" t="s">
        <v>1297</v>
      </c>
      <c r="V27" s="30" t="s">
        <v>3</v>
      </c>
      <c r="W27" s="30" t="s">
        <v>3</v>
      </c>
      <c r="X27" s="30" t="s">
        <v>3</v>
      </c>
      <c r="Y27" s="298" t="s">
        <v>3</v>
      </c>
      <c r="Z27" s="30">
        <v>6.4</v>
      </c>
      <c r="AA27" s="30">
        <v>5.0999999999999996</v>
      </c>
      <c r="AB27" s="30">
        <v>0.1</v>
      </c>
      <c r="AC27" s="30">
        <v>0.4</v>
      </c>
      <c r="AD27" s="30" t="s">
        <v>3</v>
      </c>
      <c r="AE27" s="30" t="s">
        <v>3</v>
      </c>
      <c r="AF27" s="298" t="s">
        <v>3</v>
      </c>
      <c r="AG27" s="335" t="s">
        <v>3</v>
      </c>
      <c r="AH27" s="311" t="s">
        <v>3</v>
      </c>
      <c r="AI27" s="311" t="s">
        <v>3</v>
      </c>
      <c r="AJ27" s="316" t="s">
        <v>3</v>
      </c>
      <c r="AK27" s="314" t="s">
        <v>1298</v>
      </c>
      <c r="AL27" s="22" t="s">
        <v>1304</v>
      </c>
      <c r="AM27" s="115" t="s">
        <v>132</v>
      </c>
      <c r="AN27" s="115" t="s">
        <v>3</v>
      </c>
      <c r="AO27" s="115" t="s">
        <v>3</v>
      </c>
      <c r="AP27" s="115" t="s">
        <v>3</v>
      </c>
      <c r="AQ27" s="115" t="s">
        <v>3</v>
      </c>
      <c r="AR27" s="116" t="s">
        <v>3</v>
      </c>
      <c r="AS27" s="117">
        <f t="shared" si="0"/>
        <v>1</v>
      </c>
      <c r="AT27" s="30" t="s">
        <v>203</v>
      </c>
      <c r="AU27" s="301" t="s">
        <v>3</v>
      </c>
      <c r="AV27" s="302">
        <v>40045</v>
      </c>
      <c r="AW27" s="120">
        <v>42482</v>
      </c>
      <c r="AX27" s="120">
        <v>42634</v>
      </c>
      <c r="AY27" s="303">
        <v>42339</v>
      </c>
      <c r="AZ27" s="305" t="s">
        <v>690</v>
      </c>
      <c r="BA27" s="303">
        <v>44196</v>
      </c>
      <c r="BB27" s="603" t="s">
        <v>2016</v>
      </c>
      <c r="BC27" s="394" t="s">
        <v>3</v>
      </c>
      <c r="BD27" s="394" t="s">
        <v>3</v>
      </c>
      <c r="BE27" s="176" t="s">
        <v>899</v>
      </c>
      <c r="BF27" s="404" t="s">
        <v>424</v>
      </c>
      <c r="BG27" s="396" t="s">
        <v>3</v>
      </c>
      <c r="BH27" s="394" t="s">
        <v>3</v>
      </c>
      <c r="BI27" s="402" t="s">
        <v>3</v>
      </c>
      <c r="BJ27" s="403" t="s">
        <v>3</v>
      </c>
      <c r="BK27" s="283"/>
      <c r="BM27"/>
    </row>
    <row r="28" spans="1:65" ht="120" customHeight="1">
      <c r="A28" s="425" t="s">
        <v>513</v>
      </c>
      <c r="B28" s="205" t="s">
        <v>180</v>
      </c>
      <c r="C28" s="230" t="s">
        <v>1769</v>
      </c>
      <c r="D28" s="230" t="s">
        <v>1658</v>
      </c>
      <c r="E28" s="230" t="s">
        <v>1620</v>
      </c>
      <c r="F28" s="230">
        <v>2030</v>
      </c>
      <c r="G28" s="230" t="s">
        <v>3</v>
      </c>
      <c r="H28" s="175" t="s">
        <v>424</v>
      </c>
      <c r="I28" s="177">
        <v>2030</v>
      </c>
      <c r="J28" s="329" t="s">
        <v>1659</v>
      </c>
      <c r="K28" s="330" t="s">
        <v>109</v>
      </c>
      <c r="L28" s="331" t="s">
        <v>360</v>
      </c>
      <c r="M28" s="30" t="s">
        <v>131</v>
      </c>
      <c r="N28" s="331" t="s">
        <v>131</v>
      </c>
      <c r="O28" s="331" t="s">
        <v>131</v>
      </c>
      <c r="P28" s="331" t="s">
        <v>131</v>
      </c>
      <c r="Q28" s="331" t="s">
        <v>131</v>
      </c>
      <c r="R28" s="332" t="s">
        <v>131</v>
      </c>
      <c r="S28" s="30" t="s">
        <v>131</v>
      </c>
      <c r="T28" s="30" t="s">
        <v>131</v>
      </c>
      <c r="U28" s="30" t="s">
        <v>131</v>
      </c>
      <c r="V28" s="30" t="s">
        <v>3</v>
      </c>
      <c r="W28" s="30" t="s">
        <v>3</v>
      </c>
      <c r="X28" s="30" t="s">
        <v>3</v>
      </c>
      <c r="Y28" s="298" t="s">
        <v>3</v>
      </c>
      <c r="Z28" s="293" t="s">
        <v>452</v>
      </c>
      <c r="AA28" s="293" t="s">
        <v>452</v>
      </c>
      <c r="AB28" s="293" t="s">
        <v>452</v>
      </c>
      <c r="AC28" s="293" t="s">
        <v>452</v>
      </c>
      <c r="AD28" s="293" t="s">
        <v>452</v>
      </c>
      <c r="AE28" s="293" t="s">
        <v>452</v>
      </c>
      <c r="AF28" s="298" t="s">
        <v>3</v>
      </c>
      <c r="AG28" s="231" t="s">
        <v>3</v>
      </c>
      <c r="AH28" s="232" t="s">
        <v>3</v>
      </c>
      <c r="AI28" s="232">
        <v>5.8040000000000003</v>
      </c>
      <c r="AJ28" s="334" t="s">
        <v>1100</v>
      </c>
      <c r="AK28" s="330" t="s">
        <v>3</v>
      </c>
      <c r="AL28" s="24" t="s">
        <v>20</v>
      </c>
      <c r="AM28" s="117" t="s">
        <v>131</v>
      </c>
      <c r="AN28" s="115" t="s">
        <v>3</v>
      </c>
      <c r="AO28" s="115" t="s">
        <v>3</v>
      </c>
      <c r="AP28" s="115" t="s">
        <v>3</v>
      </c>
      <c r="AQ28" s="117" t="s">
        <v>131</v>
      </c>
      <c r="AR28" s="116" t="s">
        <v>3</v>
      </c>
      <c r="AS28" s="117">
        <f t="shared" si="0"/>
        <v>1</v>
      </c>
      <c r="AT28" s="30" t="s">
        <v>203</v>
      </c>
      <c r="AU28" s="301" t="s">
        <v>3</v>
      </c>
      <c r="AV28" s="302">
        <v>38442</v>
      </c>
      <c r="AW28" s="120">
        <v>42482</v>
      </c>
      <c r="AX28" s="120">
        <v>42685</v>
      </c>
      <c r="AY28" s="303">
        <v>42275</v>
      </c>
      <c r="AZ28" s="305" t="s">
        <v>848</v>
      </c>
      <c r="BA28" s="321">
        <v>44478</v>
      </c>
      <c r="BB28" s="603" t="s">
        <v>2017</v>
      </c>
      <c r="BC28" s="394" t="s">
        <v>3</v>
      </c>
      <c r="BD28" s="394" t="s">
        <v>3</v>
      </c>
      <c r="BE28" s="176" t="s">
        <v>897</v>
      </c>
      <c r="BF28" s="404" t="s">
        <v>860</v>
      </c>
      <c r="BG28" s="396" t="s">
        <v>3</v>
      </c>
      <c r="BH28" s="394" t="s">
        <v>3</v>
      </c>
      <c r="BI28" s="402">
        <v>2021</v>
      </c>
      <c r="BJ28" s="403">
        <v>1</v>
      </c>
      <c r="BK28"/>
      <c r="BM28"/>
    </row>
    <row r="29" spans="1:65" ht="120" customHeight="1">
      <c r="A29" s="31" t="s">
        <v>514</v>
      </c>
      <c r="B29" s="205" t="s">
        <v>180</v>
      </c>
      <c r="C29" s="230" t="s">
        <v>1009</v>
      </c>
      <c r="D29" s="230" t="s">
        <v>1645</v>
      </c>
      <c r="E29" s="230" t="s">
        <v>1012</v>
      </c>
      <c r="F29" s="230" t="s">
        <v>1644</v>
      </c>
      <c r="G29" s="230" t="s">
        <v>3</v>
      </c>
      <c r="H29" s="452">
        <v>2021</v>
      </c>
      <c r="I29" s="452">
        <v>2030</v>
      </c>
      <c r="J29" s="320" t="s">
        <v>1647</v>
      </c>
      <c r="K29" s="314" t="s">
        <v>1646</v>
      </c>
      <c r="L29" s="30" t="s">
        <v>360</v>
      </c>
      <c r="M29" s="30" t="s">
        <v>131</v>
      </c>
      <c r="N29" s="30" t="s">
        <v>131</v>
      </c>
      <c r="O29" s="30" t="s">
        <v>1623</v>
      </c>
      <c r="P29" s="30" t="s">
        <v>1623</v>
      </c>
      <c r="Q29" s="30" t="s">
        <v>131</v>
      </c>
      <c r="R29" s="315" t="s">
        <v>1623</v>
      </c>
      <c r="S29" s="30" t="s">
        <v>131</v>
      </c>
      <c r="T29" s="30" t="s">
        <v>131</v>
      </c>
      <c r="U29" s="30" t="s">
        <v>131</v>
      </c>
      <c r="V29" s="30" t="s">
        <v>3</v>
      </c>
      <c r="W29" s="30" t="s">
        <v>3</v>
      </c>
      <c r="X29" s="30" t="s">
        <v>3</v>
      </c>
      <c r="Y29" s="298" t="s">
        <v>3</v>
      </c>
      <c r="Z29" s="293" t="s">
        <v>452</v>
      </c>
      <c r="AA29" s="293" t="s">
        <v>452</v>
      </c>
      <c r="AB29" s="293" t="s">
        <v>452</v>
      </c>
      <c r="AC29" s="293" t="s">
        <v>452</v>
      </c>
      <c r="AD29" s="293" t="s">
        <v>452</v>
      </c>
      <c r="AE29" s="293" t="s">
        <v>452</v>
      </c>
      <c r="AF29" s="298" t="s">
        <v>3</v>
      </c>
      <c r="AG29" s="231" t="s">
        <v>1624</v>
      </c>
      <c r="AH29" s="232" t="s">
        <v>1624</v>
      </c>
      <c r="AI29" s="232" t="s">
        <v>1624</v>
      </c>
      <c r="AJ29" s="316" t="s">
        <v>1624</v>
      </c>
      <c r="AK29" s="314" t="s">
        <v>1648</v>
      </c>
      <c r="AL29" s="22" t="s">
        <v>1649</v>
      </c>
      <c r="AM29" s="115" t="s">
        <v>1624</v>
      </c>
      <c r="AN29" s="115" t="s">
        <v>3</v>
      </c>
      <c r="AO29" s="115" t="s">
        <v>3</v>
      </c>
      <c r="AP29" s="115" t="s">
        <v>3</v>
      </c>
      <c r="AQ29" s="115" t="s">
        <v>3</v>
      </c>
      <c r="AR29" s="116" t="s">
        <v>3</v>
      </c>
      <c r="AS29" s="117" t="str">
        <f t="shared" si="0"/>
        <v/>
      </c>
      <c r="AT29" s="30" t="s">
        <v>203</v>
      </c>
      <c r="AU29" s="302" t="s">
        <v>3</v>
      </c>
      <c r="AV29" s="302">
        <v>37182</v>
      </c>
      <c r="AW29" s="120">
        <v>42482</v>
      </c>
      <c r="AX29" s="120">
        <v>43117</v>
      </c>
      <c r="AY29" s="303">
        <v>42277</v>
      </c>
      <c r="AZ29" s="305" t="s">
        <v>722</v>
      </c>
      <c r="BA29" s="321">
        <v>44474</v>
      </c>
      <c r="BB29" s="603" t="s">
        <v>2018</v>
      </c>
      <c r="BC29" s="394" t="s">
        <v>3</v>
      </c>
      <c r="BD29" s="394" t="s">
        <v>3</v>
      </c>
      <c r="BE29" s="176" t="s">
        <v>897</v>
      </c>
      <c r="BF29" s="404" t="s">
        <v>860</v>
      </c>
      <c r="BG29" s="396" t="s">
        <v>3</v>
      </c>
      <c r="BH29" s="394" t="s">
        <v>3</v>
      </c>
      <c r="BI29" s="402">
        <v>2022</v>
      </c>
      <c r="BJ29" s="403">
        <v>1</v>
      </c>
      <c r="BK29"/>
      <c r="BM29"/>
    </row>
    <row r="30" spans="1:65" ht="108" customHeight="1">
      <c r="A30" s="425" t="s">
        <v>1015</v>
      </c>
      <c r="B30" s="205" t="s">
        <v>180</v>
      </c>
      <c r="C30" s="230" t="s">
        <v>1340</v>
      </c>
      <c r="D30" s="230" t="s">
        <v>1341</v>
      </c>
      <c r="E30" s="230" t="s">
        <v>3</v>
      </c>
      <c r="F30" s="230">
        <v>2030</v>
      </c>
      <c r="G30" s="230" t="s">
        <v>3</v>
      </c>
      <c r="H30" s="176">
        <v>2021</v>
      </c>
      <c r="I30" s="177">
        <v>2030</v>
      </c>
      <c r="J30" s="320" t="s">
        <v>1342</v>
      </c>
      <c r="K30" s="314" t="s">
        <v>1339</v>
      </c>
      <c r="L30" s="30" t="s">
        <v>360</v>
      </c>
      <c r="M30" s="30" t="s">
        <v>131</v>
      </c>
      <c r="N30" s="30" t="s">
        <v>131</v>
      </c>
      <c r="O30" s="30" t="s">
        <v>131</v>
      </c>
      <c r="P30" s="30" t="s">
        <v>131</v>
      </c>
      <c r="Q30" s="30" t="s">
        <v>131</v>
      </c>
      <c r="R30" s="315" t="s">
        <v>1343</v>
      </c>
      <c r="S30" s="30" t="s">
        <v>131</v>
      </c>
      <c r="T30" s="30" t="s">
        <v>131</v>
      </c>
      <c r="U30" s="30" t="s">
        <v>131</v>
      </c>
      <c r="V30" s="30" t="s">
        <v>1343</v>
      </c>
      <c r="W30" s="30" t="s">
        <v>3</v>
      </c>
      <c r="X30" s="30" t="s">
        <v>3</v>
      </c>
      <c r="Y30" s="298" t="s">
        <v>3</v>
      </c>
      <c r="Z30" s="293" t="s">
        <v>452</v>
      </c>
      <c r="AA30" s="293" t="s">
        <v>452</v>
      </c>
      <c r="AB30" s="293" t="s">
        <v>452</v>
      </c>
      <c r="AC30" s="293" t="s">
        <v>452</v>
      </c>
      <c r="AD30" s="293" t="s">
        <v>452</v>
      </c>
      <c r="AE30" s="293" t="s">
        <v>452</v>
      </c>
      <c r="AF30" s="298" t="s">
        <v>3</v>
      </c>
      <c r="AG30" s="311">
        <v>1.1000000000000001</v>
      </c>
      <c r="AH30" s="311">
        <v>1.1000000000000001</v>
      </c>
      <c r="AI30" s="311">
        <v>2.2000000000000002</v>
      </c>
      <c r="AJ30" s="316" t="s">
        <v>1344</v>
      </c>
      <c r="AK30" s="314" t="s">
        <v>1345</v>
      </c>
      <c r="AL30" s="22" t="s">
        <v>1346</v>
      </c>
      <c r="AM30" s="115" t="s">
        <v>131</v>
      </c>
      <c r="AN30" s="115" t="s">
        <v>3</v>
      </c>
      <c r="AO30" s="115" t="s">
        <v>3</v>
      </c>
      <c r="AP30" s="117" t="s">
        <v>3</v>
      </c>
      <c r="AQ30" s="115" t="s">
        <v>3</v>
      </c>
      <c r="AR30" s="116" t="s">
        <v>3</v>
      </c>
      <c r="AS30" s="117">
        <f t="shared" si="0"/>
        <v>1</v>
      </c>
      <c r="AT30" s="30" t="s">
        <v>203</v>
      </c>
      <c r="AU30" s="302" t="s">
        <v>3</v>
      </c>
      <c r="AV30" s="302">
        <v>38758</v>
      </c>
      <c r="AW30" s="120">
        <v>42482</v>
      </c>
      <c r="AX30" s="303">
        <v>42999</v>
      </c>
      <c r="AY30" s="303">
        <v>42277</v>
      </c>
      <c r="AZ30" s="305" t="s">
        <v>766</v>
      </c>
      <c r="BA30" s="321">
        <v>44291</v>
      </c>
      <c r="BB30" s="603" t="s">
        <v>2024</v>
      </c>
      <c r="BC30" s="394" t="s">
        <v>3</v>
      </c>
      <c r="BD30" s="394" t="s">
        <v>3</v>
      </c>
      <c r="BE30" s="176" t="s">
        <v>899</v>
      </c>
      <c r="BF30" s="404" t="s">
        <v>424</v>
      </c>
      <c r="BG30" s="396" t="s">
        <v>3</v>
      </c>
      <c r="BH30" s="394" t="s">
        <v>3</v>
      </c>
      <c r="BI30" s="402" t="s">
        <v>3</v>
      </c>
      <c r="BJ30" s="403" t="s">
        <v>3</v>
      </c>
      <c r="BK30"/>
      <c r="BM30"/>
    </row>
    <row r="31" spans="1:65" ht="132" customHeight="1">
      <c r="A31" s="425" t="s">
        <v>515</v>
      </c>
      <c r="B31" s="207" t="s">
        <v>23</v>
      </c>
      <c r="C31" s="230" t="s">
        <v>1294</v>
      </c>
      <c r="D31" s="431">
        <v>0.41699999999999998</v>
      </c>
      <c r="E31" s="230" t="s">
        <v>1295</v>
      </c>
      <c r="F31" s="230">
        <v>2030</v>
      </c>
      <c r="G31" s="230" t="s">
        <v>3</v>
      </c>
      <c r="H31" s="173">
        <v>2020</v>
      </c>
      <c r="I31" s="173">
        <v>2030</v>
      </c>
      <c r="J31" s="320" t="s">
        <v>1309</v>
      </c>
      <c r="K31" s="314" t="s">
        <v>151</v>
      </c>
      <c r="L31" s="30" t="s">
        <v>360</v>
      </c>
      <c r="M31" s="30" t="s">
        <v>131</v>
      </c>
      <c r="N31" s="30" t="s">
        <v>3</v>
      </c>
      <c r="O31" s="30" t="s">
        <v>131</v>
      </c>
      <c r="P31" s="30" t="s">
        <v>131</v>
      </c>
      <c r="Q31" s="30" t="s">
        <v>131</v>
      </c>
      <c r="R31" s="315" t="s">
        <v>131</v>
      </c>
      <c r="S31" s="30" t="s">
        <v>131</v>
      </c>
      <c r="T31" s="30" t="s">
        <v>131</v>
      </c>
      <c r="U31" s="30" t="s">
        <v>131</v>
      </c>
      <c r="V31" s="30" t="s">
        <v>3</v>
      </c>
      <c r="W31" s="30" t="s">
        <v>3</v>
      </c>
      <c r="X31" s="30" t="s">
        <v>3</v>
      </c>
      <c r="Y31" s="298" t="s">
        <v>3</v>
      </c>
      <c r="Z31" s="30">
        <v>8.6</v>
      </c>
      <c r="AA31" s="30">
        <v>24.5</v>
      </c>
      <c r="AB31" s="30">
        <v>3.4</v>
      </c>
      <c r="AC31" s="30" t="s">
        <v>3</v>
      </c>
      <c r="AD31" s="30" t="s">
        <v>3</v>
      </c>
      <c r="AE31" s="30" t="s">
        <v>3</v>
      </c>
      <c r="AF31" s="298" t="s">
        <v>3</v>
      </c>
      <c r="AG31" s="232">
        <v>5.8</v>
      </c>
      <c r="AH31" s="232">
        <v>2</v>
      </c>
      <c r="AI31" s="232">
        <v>7.8</v>
      </c>
      <c r="AJ31" s="316" t="s">
        <v>1306</v>
      </c>
      <c r="AK31" s="314" t="s">
        <v>1307</v>
      </c>
      <c r="AL31" s="22" t="s">
        <v>1308</v>
      </c>
      <c r="AM31" s="115" t="s">
        <v>131</v>
      </c>
      <c r="AN31" s="115" t="s">
        <v>3</v>
      </c>
      <c r="AO31" s="115" t="s">
        <v>131</v>
      </c>
      <c r="AP31" s="115" t="s">
        <v>3</v>
      </c>
      <c r="AQ31" s="115" t="s">
        <v>1298</v>
      </c>
      <c r="AR31" s="300" t="s">
        <v>1297</v>
      </c>
      <c r="AS31" s="117">
        <f t="shared" si="0"/>
        <v>1</v>
      </c>
      <c r="AT31" s="293" t="s">
        <v>203</v>
      </c>
      <c r="AU31" s="302" t="s">
        <v>3</v>
      </c>
      <c r="AV31" s="302">
        <v>37490</v>
      </c>
      <c r="AW31" s="303">
        <v>42482</v>
      </c>
      <c r="AX31" s="120">
        <v>42772</v>
      </c>
      <c r="AY31" s="326">
        <v>42277</v>
      </c>
      <c r="AZ31" s="305" t="s">
        <v>759</v>
      </c>
      <c r="BA31" s="120">
        <v>44196</v>
      </c>
      <c r="BB31" s="603" t="s">
        <v>2019</v>
      </c>
      <c r="BC31" s="394" t="s">
        <v>3</v>
      </c>
      <c r="BD31" s="394" t="s">
        <v>3</v>
      </c>
      <c r="BE31" s="176" t="s">
        <v>899</v>
      </c>
      <c r="BF31" s="404" t="s">
        <v>424</v>
      </c>
      <c r="BG31" s="396" t="s">
        <v>3</v>
      </c>
      <c r="BH31" s="394" t="s">
        <v>3</v>
      </c>
      <c r="BI31" s="402">
        <v>2020</v>
      </c>
      <c r="BJ31" s="403">
        <v>1</v>
      </c>
      <c r="BK31"/>
      <c r="BM31"/>
    </row>
    <row r="32" spans="1:65" ht="96" customHeight="1">
      <c r="A32" s="427" t="s">
        <v>516</v>
      </c>
      <c r="B32" s="205" t="s">
        <v>180</v>
      </c>
      <c r="C32" s="230" t="s">
        <v>873</v>
      </c>
      <c r="D32" s="319" t="s">
        <v>1681</v>
      </c>
      <c r="E32" s="230">
        <v>2010</v>
      </c>
      <c r="F32" s="230">
        <v>2030</v>
      </c>
      <c r="G32" s="230" t="s">
        <v>3</v>
      </c>
      <c r="H32" s="177">
        <v>2020</v>
      </c>
      <c r="I32" s="177">
        <v>2030</v>
      </c>
      <c r="J32" s="320" t="s">
        <v>1680</v>
      </c>
      <c r="K32" s="314" t="s">
        <v>1682</v>
      </c>
      <c r="L32" s="30" t="s">
        <v>360</v>
      </c>
      <c r="M32" s="30" t="s">
        <v>131</v>
      </c>
      <c r="N32" s="30" t="s">
        <v>131</v>
      </c>
      <c r="O32" s="30" t="s">
        <v>1669</v>
      </c>
      <c r="P32" s="30" t="s">
        <v>131</v>
      </c>
      <c r="Q32" s="30" t="s">
        <v>131</v>
      </c>
      <c r="R32" s="315" t="s">
        <v>1669</v>
      </c>
      <c r="S32" s="30" t="s">
        <v>131</v>
      </c>
      <c r="T32" s="30" t="s">
        <v>131</v>
      </c>
      <c r="U32" s="30" t="s">
        <v>131</v>
      </c>
      <c r="V32" s="30" t="s">
        <v>3</v>
      </c>
      <c r="W32" s="30" t="s">
        <v>3</v>
      </c>
      <c r="X32" s="30" t="s">
        <v>3</v>
      </c>
      <c r="Y32" s="298" t="s">
        <v>3</v>
      </c>
      <c r="Z32" s="30">
        <v>9</v>
      </c>
      <c r="AA32" s="30">
        <v>28.9</v>
      </c>
      <c r="AB32" s="30">
        <v>7.2</v>
      </c>
      <c r="AC32" s="30" t="s">
        <v>3</v>
      </c>
      <c r="AD32" s="30">
        <v>0.1</v>
      </c>
      <c r="AE32" s="30" t="s">
        <v>3</v>
      </c>
      <c r="AF32" s="298" t="s">
        <v>3</v>
      </c>
      <c r="AG32" s="231">
        <v>25.783999999999999</v>
      </c>
      <c r="AH32" s="232">
        <v>31.856000000000002</v>
      </c>
      <c r="AI32" s="232">
        <f>AG32+AH32</f>
        <v>57.64</v>
      </c>
      <c r="AJ32" s="316" t="s">
        <v>1683</v>
      </c>
      <c r="AK32" s="314" t="s">
        <v>1684</v>
      </c>
      <c r="AL32" s="22" t="s">
        <v>1685</v>
      </c>
      <c r="AM32" s="115" t="s">
        <v>1686</v>
      </c>
      <c r="AN32" s="115" t="s">
        <v>3</v>
      </c>
      <c r="AO32" s="115" t="s">
        <v>3</v>
      </c>
      <c r="AP32" s="115" t="s">
        <v>3</v>
      </c>
      <c r="AQ32" s="115" t="s">
        <v>3</v>
      </c>
      <c r="AR32" s="116" t="s">
        <v>3</v>
      </c>
      <c r="AS32" s="117">
        <f t="shared" si="0"/>
        <v>1</v>
      </c>
      <c r="AT32" s="30" t="s">
        <v>203</v>
      </c>
      <c r="AU32" s="302" t="s">
        <v>3</v>
      </c>
      <c r="AV32" s="302">
        <v>37496</v>
      </c>
      <c r="AW32" s="120">
        <v>42482</v>
      </c>
      <c r="AX32" s="120">
        <v>42580</v>
      </c>
      <c r="AY32" s="303">
        <v>42275</v>
      </c>
      <c r="AZ32" s="305" t="s">
        <v>751</v>
      </c>
      <c r="BA32" s="321">
        <v>44480</v>
      </c>
      <c r="BB32" s="603" t="s">
        <v>2020</v>
      </c>
      <c r="BC32" s="394" t="s">
        <v>3</v>
      </c>
      <c r="BD32" s="394" t="s">
        <v>3</v>
      </c>
      <c r="BE32" s="176" t="s">
        <v>897</v>
      </c>
      <c r="BF32" s="404" t="s">
        <v>860</v>
      </c>
      <c r="BG32" s="396" t="s">
        <v>3</v>
      </c>
      <c r="BH32" s="394" t="s">
        <v>3</v>
      </c>
      <c r="BI32" s="402" t="s">
        <v>3</v>
      </c>
      <c r="BJ32" s="403" t="s">
        <v>3</v>
      </c>
      <c r="BK32"/>
      <c r="BM32"/>
    </row>
    <row r="33" spans="1:65" ht="156" customHeight="1">
      <c r="A33" s="32" t="s">
        <v>517</v>
      </c>
      <c r="B33" s="96" t="s">
        <v>24</v>
      </c>
      <c r="C33" s="293" t="s">
        <v>186</v>
      </c>
      <c r="D33" s="318" t="s">
        <v>1432</v>
      </c>
      <c r="E33" s="307">
        <v>2005</v>
      </c>
      <c r="F33" s="307">
        <v>2030</v>
      </c>
      <c r="G33" s="230" t="s">
        <v>3</v>
      </c>
      <c r="H33" s="176">
        <v>2021</v>
      </c>
      <c r="I33" s="176">
        <v>2030</v>
      </c>
      <c r="J33" s="24" t="s">
        <v>1433</v>
      </c>
      <c r="K33" s="308" t="s">
        <v>424</v>
      </c>
      <c r="L33" s="293" t="s">
        <v>360</v>
      </c>
      <c r="M33" s="293" t="s">
        <v>131</v>
      </c>
      <c r="N33" s="293" t="s">
        <v>131</v>
      </c>
      <c r="O33" s="293" t="s">
        <v>131</v>
      </c>
      <c r="P33" s="293" t="s">
        <v>131</v>
      </c>
      <c r="Q33" s="293" t="s">
        <v>131</v>
      </c>
      <c r="R33" s="309" t="s">
        <v>131</v>
      </c>
      <c r="S33" s="293" t="s">
        <v>131</v>
      </c>
      <c r="T33" s="293" t="s">
        <v>131</v>
      </c>
      <c r="U33" s="293" t="s">
        <v>131</v>
      </c>
      <c r="V33" s="293" t="s">
        <v>131</v>
      </c>
      <c r="W33" s="293" t="s">
        <v>131</v>
      </c>
      <c r="X33" s="293" t="s">
        <v>131</v>
      </c>
      <c r="Y33" s="310" t="s">
        <v>131</v>
      </c>
      <c r="Z33" s="293">
        <v>585</v>
      </c>
      <c r="AA33" s="293">
        <v>173.7</v>
      </c>
      <c r="AB33" s="293">
        <v>62.3</v>
      </c>
      <c r="AC33" s="293">
        <v>17.399999999999999</v>
      </c>
      <c r="AD33" s="293">
        <v>2.5</v>
      </c>
      <c r="AE33" s="293">
        <v>4.0999999999999996</v>
      </c>
      <c r="AF33" s="298" t="s">
        <v>3</v>
      </c>
      <c r="AG33" s="322" t="s">
        <v>3</v>
      </c>
      <c r="AH33" s="322" t="s">
        <v>3</v>
      </c>
      <c r="AI33" s="322" t="s">
        <v>3</v>
      </c>
      <c r="AJ33" s="312" t="s">
        <v>3</v>
      </c>
      <c r="AK33" s="308" t="s">
        <v>3</v>
      </c>
      <c r="AL33" s="22" t="s">
        <v>1101</v>
      </c>
      <c r="AM33" s="115" t="s">
        <v>131</v>
      </c>
      <c r="AN33" s="115" t="s">
        <v>131</v>
      </c>
      <c r="AO33" s="115" t="s">
        <v>471</v>
      </c>
      <c r="AP33" s="115" t="s">
        <v>131</v>
      </c>
      <c r="AQ33" s="115" t="s">
        <v>3</v>
      </c>
      <c r="AR33" s="300" t="s">
        <v>3</v>
      </c>
      <c r="AS33" s="117">
        <f t="shared" si="0"/>
        <v>1</v>
      </c>
      <c r="AT33" s="293" t="s">
        <v>205</v>
      </c>
      <c r="AU33" s="302">
        <v>35914</v>
      </c>
      <c r="AV33" s="303" t="s">
        <v>674</v>
      </c>
      <c r="AW33" s="303">
        <v>42482</v>
      </c>
      <c r="AX33" s="303">
        <v>42648</v>
      </c>
      <c r="AY33" s="302">
        <v>42139</v>
      </c>
      <c r="AZ33" s="305" t="s">
        <v>838</v>
      </c>
      <c r="BA33" s="321">
        <v>44389</v>
      </c>
      <c r="BB33" s="603" t="s">
        <v>2021</v>
      </c>
      <c r="BC33" s="394" t="s">
        <v>3</v>
      </c>
      <c r="BD33" s="394" t="s">
        <v>3</v>
      </c>
      <c r="BE33" s="174" t="s">
        <v>907</v>
      </c>
      <c r="BF33" s="405" t="s">
        <v>424</v>
      </c>
      <c r="BG33" s="397">
        <v>2019</v>
      </c>
      <c r="BH33" s="395">
        <v>4</v>
      </c>
      <c r="BI33" s="177" t="s">
        <v>3</v>
      </c>
      <c r="BJ33" s="446" t="s">
        <v>3</v>
      </c>
      <c r="BK33"/>
      <c r="BM33"/>
    </row>
    <row r="34" spans="1:65" ht="115.05" customHeight="1">
      <c r="A34" s="425" t="s">
        <v>518</v>
      </c>
      <c r="B34" s="205" t="s">
        <v>180</v>
      </c>
      <c r="C34" s="230" t="s">
        <v>1868</v>
      </c>
      <c r="D34" s="319" t="s">
        <v>1861</v>
      </c>
      <c r="E34" s="230" t="s">
        <v>1862</v>
      </c>
      <c r="F34" s="230">
        <v>2030</v>
      </c>
      <c r="G34" s="230" t="s">
        <v>3</v>
      </c>
      <c r="H34" s="176">
        <v>2022</v>
      </c>
      <c r="I34" s="176">
        <v>2030</v>
      </c>
      <c r="J34" s="320" t="s">
        <v>1860</v>
      </c>
      <c r="K34" s="314" t="s">
        <v>1864</v>
      </c>
      <c r="L34" s="30" t="s">
        <v>360</v>
      </c>
      <c r="M34" s="30" t="s">
        <v>131</v>
      </c>
      <c r="N34" s="30" t="s">
        <v>131</v>
      </c>
      <c r="O34" s="30" t="s">
        <v>1863</v>
      </c>
      <c r="P34" s="30" t="s">
        <v>131</v>
      </c>
      <c r="Q34" s="30" t="s">
        <v>131</v>
      </c>
      <c r="R34" s="315" t="s">
        <v>131</v>
      </c>
      <c r="S34" s="30" t="s">
        <v>131</v>
      </c>
      <c r="T34" s="30" t="s">
        <v>131</v>
      </c>
      <c r="U34" s="30" t="s">
        <v>131</v>
      </c>
      <c r="V34" s="30" t="s">
        <v>1863</v>
      </c>
      <c r="W34" s="30" t="s">
        <v>3</v>
      </c>
      <c r="X34" s="30" t="s">
        <v>3</v>
      </c>
      <c r="Y34" s="298" t="s">
        <v>3</v>
      </c>
      <c r="Z34" s="293" t="s">
        <v>452</v>
      </c>
      <c r="AA34" s="293" t="s">
        <v>452</v>
      </c>
      <c r="AB34" s="293" t="s">
        <v>452</v>
      </c>
      <c r="AC34" s="293" t="s">
        <v>452</v>
      </c>
      <c r="AD34" s="293" t="s">
        <v>452</v>
      </c>
      <c r="AE34" s="293" t="s">
        <v>452</v>
      </c>
      <c r="AF34" s="298" t="s">
        <v>3</v>
      </c>
      <c r="AG34" s="231">
        <v>1321</v>
      </c>
      <c r="AH34" s="232">
        <v>443</v>
      </c>
      <c r="AI34" s="232">
        <f>SUM(AG34:AH34)</f>
        <v>1764</v>
      </c>
      <c r="AJ34" s="316" t="s">
        <v>1865</v>
      </c>
      <c r="AK34" s="314" t="s">
        <v>1866</v>
      </c>
      <c r="AL34" s="22" t="s">
        <v>1867</v>
      </c>
      <c r="AM34" s="115" t="s">
        <v>1867</v>
      </c>
      <c r="AN34" s="115" t="s">
        <v>3</v>
      </c>
      <c r="AO34" s="115" t="s">
        <v>3</v>
      </c>
      <c r="AP34" s="115" t="s">
        <v>3</v>
      </c>
      <c r="AQ34" s="115" t="s">
        <v>1867</v>
      </c>
      <c r="AR34" s="116" t="s">
        <v>3</v>
      </c>
      <c r="AS34" s="117" t="str">
        <f t="shared" si="0"/>
        <v/>
      </c>
      <c r="AT34" s="30" t="s">
        <v>203</v>
      </c>
      <c r="AU34" s="302" t="s">
        <v>3</v>
      </c>
      <c r="AV34" s="302">
        <v>39525</v>
      </c>
      <c r="AW34" s="120">
        <v>42482</v>
      </c>
      <c r="AX34" s="120">
        <v>42654</v>
      </c>
      <c r="AY34" s="303">
        <v>42275</v>
      </c>
      <c r="AZ34" s="305" t="s">
        <v>798</v>
      </c>
      <c r="BA34" s="321">
        <v>44585</v>
      </c>
      <c r="BB34" s="603" t="s">
        <v>2023</v>
      </c>
      <c r="BC34" s="394" t="s">
        <v>3</v>
      </c>
      <c r="BD34" s="394" t="s">
        <v>3</v>
      </c>
      <c r="BE34" s="176" t="s">
        <v>897</v>
      </c>
      <c r="BF34" s="404" t="s">
        <v>860</v>
      </c>
      <c r="BG34" s="396" t="s">
        <v>3</v>
      </c>
      <c r="BH34" s="394" t="s">
        <v>3</v>
      </c>
      <c r="BI34" s="402" t="s">
        <v>3</v>
      </c>
      <c r="BJ34" s="403" t="s">
        <v>3</v>
      </c>
      <c r="BK34"/>
      <c r="BM34"/>
    </row>
    <row r="35" spans="1:65" ht="144" customHeight="1">
      <c r="A35" s="31" t="s">
        <v>519</v>
      </c>
      <c r="B35" s="205" t="s">
        <v>180</v>
      </c>
      <c r="C35" s="230" t="s">
        <v>1753</v>
      </c>
      <c r="D35" s="230" t="s">
        <v>1755</v>
      </c>
      <c r="E35" s="230">
        <v>2018</v>
      </c>
      <c r="F35" s="230">
        <v>2030</v>
      </c>
      <c r="G35" s="230" t="s">
        <v>3</v>
      </c>
      <c r="H35" s="176">
        <v>2021</v>
      </c>
      <c r="I35" s="176">
        <v>2030</v>
      </c>
      <c r="J35" s="320" t="s">
        <v>1754</v>
      </c>
      <c r="K35" s="314" t="s">
        <v>1756</v>
      </c>
      <c r="L35" s="30" t="s">
        <v>360</v>
      </c>
      <c r="M35" s="30" t="s">
        <v>131</v>
      </c>
      <c r="N35" s="30" t="s">
        <v>131</v>
      </c>
      <c r="O35" s="30" t="s">
        <v>1705</v>
      </c>
      <c r="P35" s="30" t="s">
        <v>131</v>
      </c>
      <c r="Q35" s="30" t="s">
        <v>131</v>
      </c>
      <c r="R35" s="315" t="s">
        <v>3</v>
      </c>
      <c r="S35" s="30" t="s">
        <v>131</v>
      </c>
      <c r="T35" s="30" t="s">
        <v>131</v>
      </c>
      <c r="U35" s="30" t="s">
        <v>131</v>
      </c>
      <c r="V35" s="30" t="s">
        <v>3</v>
      </c>
      <c r="W35" s="30" t="s">
        <v>3</v>
      </c>
      <c r="X35" s="30" t="s">
        <v>3</v>
      </c>
      <c r="Y35" s="298" t="s">
        <v>3</v>
      </c>
      <c r="Z35" s="293" t="s">
        <v>452</v>
      </c>
      <c r="AA35" s="293" t="s">
        <v>452</v>
      </c>
      <c r="AB35" s="293" t="s">
        <v>452</v>
      </c>
      <c r="AC35" s="293" t="s">
        <v>452</v>
      </c>
      <c r="AD35" s="293" t="s">
        <v>452</v>
      </c>
      <c r="AE35" s="293" t="s">
        <v>452</v>
      </c>
      <c r="AF35" s="298" t="s">
        <v>3</v>
      </c>
      <c r="AG35" s="232">
        <v>6.2850000000000001</v>
      </c>
      <c r="AH35" s="232">
        <v>5</v>
      </c>
      <c r="AI35" s="232">
        <f>AG35+AH35</f>
        <v>11.285</v>
      </c>
      <c r="AJ35" s="316" t="s">
        <v>1758</v>
      </c>
      <c r="AK35" s="314" t="s">
        <v>1706</v>
      </c>
      <c r="AL35" s="22" t="s">
        <v>1757</v>
      </c>
      <c r="AM35" s="115" t="s">
        <v>131</v>
      </c>
      <c r="AN35" s="115" t="s">
        <v>3</v>
      </c>
      <c r="AO35" s="115" t="s">
        <v>3</v>
      </c>
      <c r="AP35" s="115" t="s">
        <v>3</v>
      </c>
      <c r="AQ35" s="115" t="s">
        <v>1706</v>
      </c>
      <c r="AR35" s="116" t="s">
        <v>3</v>
      </c>
      <c r="AS35" s="117">
        <f t="shared" si="0"/>
        <v>1</v>
      </c>
      <c r="AT35" s="30" t="s">
        <v>203</v>
      </c>
      <c r="AU35" s="302" t="s">
        <v>3</v>
      </c>
      <c r="AV35" s="302">
        <v>40043</v>
      </c>
      <c r="AW35" s="120">
        <v>42482</v>
      </c>
      <c r="AX35" s="120">
        <v>42747</v>
      </c>
      <c r="AY35" s="303">
        <v>42275</v>
      </c>
      <c r="AZ35" s="305" t="s">
        <v>745</v>
      </c>
      <c r="BA35" s="321">
        <v>44488</v>
      </c>
      <c r="BB35" s="603" t="s">
        <v>2022</v>
      </c>
      <c r="BC35" s="394" t="s">
        <v>3</v>
      </c>
      <c r="BD35" s="394" t="s">
        <v>3</v>
      </c>
      <c r="BE35" s="176" t="s">
        <v>897</v>
      </c>
      <c r="BF35" s="404" t="s">
        <v>860</v>
      </c>
      <c r="BG35" s="396" t="s">
        <v>3</v>
      </c>
      <c r="BH35" s="394" t="s">
        <v>3</v>
      </c>
      <c r="BI35" s="402" t="s">
        <v>3</v>
      </c>
      <c r="BJ35" s="403" t="s">
        <v>3</v>
      </c>
      <c r="BK35"/>
      <c r="BM35"/>
    </row>
    <row r="36" spans="1:65" ht="132" customHeight="1">
      <c r="A36" s="32" t="s">
        <v>520</v>
      </c>
      <c r="B36" s="204" t="s">
        <v>181</v>
      </c>
      <c r="C36" s="293" t="s">
        <v>956</v>
      </c>
      <c r="D36" s="420" t="s">
        <v>1024</v>
      </c>
      <c r="E36" s="307" t="s">
        <v>957</v>
      </c>
      <c r="F36" s="307">
        <v>2030</v>
      </c>
      <c r="G36" s="230" t="s">
        <v>958</v>
      </c>
      <c r="H36" s="412">
        <v>2020</v>
      </c>
      <c r="I36" s="177">
        <v>2030</v>
      </c>
      <c r="J36" s="24" t="s">
        <v>955</v>
      </c>
      <c r="K36" s="308" t="s">
        <v>959</v>
      </c>
      <c r="L36" s="293" t="s">
        <v>360</v>
      </c>
      <c r="M36" s="293" t="s">
        <v>131</v>
      </c>
      <c r="N36" s="293" t="s">
        <v>131</v>
      </c>
      <c r="O36" s="293" t="s">
        <v>131</v>
      </c>
      <c r="P36" s="293" t="s">
        <v>131</v>
      </c>
      <c r="Q36" s="293" t="s">
        <v>3</v>
      </c>
      <c r="R36" s="309" t="s">
        <v>131</v>
      </c>
      <c r="S36" s="293" t="s">
        <v>131</v>
      </c>
      <c r="T36" s="293" t="s">
        <v>131</v>
      </c>
      <c r="U36" s="293" t="s">
        <v>131</v>
      </c>
      <c r="V36" s="293" t="s">
        <v>131</v>
      </c>
      <c r="W36" s="293" t="s">
        <v>131</v>
      </c>
      <c r="X36" s="293" t="s">
        <v>953</v>
      </c>
      <c r="Y36" s="310" t="s">
        <v>953</v>
      </c>
      <c r="Z36" s="293">
        <v>86.7</v>
      </c>
      <c r="AA36" s="293">
        <v>23.1</v>
      </c>
      <c r="AB36" s="293">
        <v>8.1</v>
      </c>
      <c r="AC36" s="293" t="s">
        <v>3</v>
      </c>
      <c r="AD36" s="293" t="s">
        <v>3</v>
      </c>
      <c r="AE36" s="293">
        <v>0</v>
      </c>
      <c r="AF36" s="298" t="s">
        <v>3</v>
      </c>
      <c r="AG36" s="322" t="s">
        <v>3</v>
      </c>
      <c r="AH36" s="322" t="s">
        <v>3</v>
      </c>
      <c r="AI36" s="322" t="s">
        <v>3</v>
      </c>
      <c r="AJ36" s="312" t="s">
        <v>3</v>
      </c>
      <c r="AK36" s="308" t="s">
        <v>3</v>
      </c>
      <c r="AL36" s="22" t="s">
        <v>1347</v>
      </c>
      <c r="AM36" s="115" t="s">
        <v>967</v>
      </c>
      <c r="AN36" s="115" t="s">
        <v>3</v>
      </c>
      <c r="AO36" s="115" t="s">
        <v>3</v>
      </c>
      <c r="AP36" s="117" t="s">
        <v>3</v>
      </c>
      <c r="AQ36" s="115" t="s">
        <v>3</v>
      </c>
      <c r="AR36" s="300" t="s">
        <v>246</v>
      </c>
      <c r="AS36" s="117">
        <f t="shared" si="0"/>
        <v>1</v>
      </c>
      <c r="AT36" s="30" t="s">
        <v>203</v>
      </c>
      <c r="AU36" s="302">
        <v>35963</v>
      </c>
      <c r="AV36" s="302">
        <v>37494</v>
      </c>
      <c r="AW36" s="120">
        <v>42480</v>
      </c>
      <c r="AX36" s="120">
        <v>42776</v>
      </c>
      <c r="AY36" s="302">
        <v>42276</v>
      </c>
      <c r="AZ36" s="305" t="s">
        <v>684</v>
      </c>
      <c r="BA36" s="321">
        <v>43930</v>
      </c>
      <c r="BB36" s="603" t="s">
        <v>2028</v>
      </c>
      <c r="BC36" s="394" t="s">
        <v>3</v>
      </c>
      <c r="BD36" s="394" t="s">
        <v>3</v>
      </c>
      <c r="BE36" s="174" t="s">
        <v>2025</v>
      </c>
      <c r="BF36" s="404" t="s">
        <v>424</v>
      </c>
      <c r="BG36" s="396" t="s">
        <v>3</v>
      </c>
      <c r="BH36" s="394" t="s">
        <v>3</v>
      </c>
      <c r="BI36" s="441">
        <v>2021</v>
      </c>
      <c r="BJ36" s="448">
        <v>4</v>
      </c>
      <c r="BK36"/>
      <c r="BM36"/>
    </row>
    <row r="37" spans="1:65" ht="108" customHeight="1">
      <c r="A37" s="31" t="s">
        <v>521</v>
      </c>
      <c r="B37" s="207" t="s">
        <v>23</v>
      </c>
      <c r="C37" s="230" t="s">
        <v>446</v>
      </c>
      <c r="D37" s="319">
        <v>0.65</v>
      </c>
      <c r="E37" s="230">
        <v>2005</v>
      </c>
      <c r="F37" s="230">
        <v>2030</v>
      </c>
      <c r="G37" s="230" t="s">
        <v>3</v>
      </c>
      <c r="H37" s="173" t="s">
        <v>424</v>
      </c>
      <c r="I37" s="173" t="s">
        <v>424</v>
      </c>
      <c r="J37" s="541" t="s">
        <v>1797</v>
      </c>
      <c r="K37" s="314" t="s">
        <v>1798</v>
      </c>
      <c r="L37" s="30" t="s">
        <v>360</v>
      </c>
      <c r="M37" s="30" t="s">
        <v>131</v>
      </c>
      <c r="N37" s="30" t="s">
        <v>131</v>
      </c>
      <c r="O37" s="30" t="s">
        <v>131</v>
      </c>
      <c r="P37" s="30" t="s">
        <v>131</v>
      </c>
      <c r="Q37" s="30" t="s">
        <v>131</v>
      </c>
      <c r="R37" s="315" t="s">
        <v>131</v>
      </c>
      <c r="S37" s="30" t="s">
        <v>131</v>
      </c>
      <c r="T37" s="30" t="s">
        <v>3</v>
      </c>
      <c r="U37" s="30" t="s">
        <v>1763</v>
      </c>
      <c r="V37" s="30" t="s">
        <v>1763</v>
      </c>
      <c r="W37" s="30" t="s">
        <v>3</v>
      </c>
      <c r="X37" s="30" t="s">
        <v>3</v>
      </c>
      <c r="Y37" s="298" t="s">
        <v>3</v>
      </c>
      <c r="Z37" s="336">
        <v>10699.6</v>
      </c>
      <c r="AA37" s="336">
        <v>1650.4</v>
      </c>
      <c r="AB37" s="30">
        <v>513.4</v>
      </c>
      <c r="AC37" s="30">
        <v>199.1</v>
      </c>
      <c r="AD37" s="30">
        <v>3.8</v>
      </c>
      <c r="AE37" s="30">
        <v>54</v>
      </c>
      <c r="AF37" s="298" t="s">
        <v>3</v>
      </c>
      <c r="AG37" s="311" t="s">
        <v>3</v>
      </c>
      <c r="AH37" s="311" t="s">
        <v>3</v>
      </c>
      <c r="AI37" s="311" t="s">
        <v>3</v>
      </c>
      <c r="AJ37" s="316" t="s">
        <v>3</v>
      </c>
      <c r="AK37" s="314" t="s">
        <v>3</v>
      </c>
      <c r="AL37" s="22" t="s">
        <v>1799</v>
      </c>
      <c r="AM37" s="115" t="s">
        <v>3</v>
      </c>
      <c r="AN37" s="115" t="s">
        <v>3</v>
      </c>
      <c r="AO37" s="115" t="s">
        <v>3</v>
      </c>
      <c r="AP37" s="117" t="s">
        <v>131</v>
      </c>
      <c r="AQ37" s="115" t="s">
        <v>3</v>
      </c>
      <c r="AR37" s="116" t="s">
        <v>3</v>
      </c>
      <c r="AS37" s="117">
        <f t="shared" si="0"/>
        <v>1</v>
      </c>
      <c r="AT37" s="30" t="s">
        <v>203</v>
      </c>
      <c r="AU37" s="302">
        <v>35944</v>
      </c>
      <c r="AV37" s="302">
        <v>37498</v>
      </c>
      <c r="AW37" s="120">
        <v>42482</v>
      </c>
      <c r="AX37" s="303">
        <v>42616</v>
      </c>
      <c r="AY37" s="302">
        <v>42185</v>
      </c>
      <c r="AZ37" s="305" t="s">
        <v>833</v>
      </c>
      <c r="BA37" s="321">
        <v>44497</v>
      </c>
      <c r="BB37" s="603" t="s">
        <v>2026</v>
      </c>
      <c r="BC37" s="394" t="s">
        <v>3</v>
      </c>
      <c r="BD37" s="394" t="s">
        <v>3</v>
      </c>
      <c r="BE37" s="176" t="s">
        <v>2030</v>
      </c>
      <c r="BF37" s="404" t="s">
        <v>471</v>
      </c>
      <c r="BG37" s="396" t="s">
        <v>3</v>
      </c>
      <c r="BH37" s="394" t="s">
        <v>3</v>
      </c>
      <c r="BI37" s="440">
        <v>2019</v>
      </c>
      <c r="BJ37" s="447">
        <v>2</v>
      </c>
      <c r="BK37"/>
      <c r="BM37"/>
    </row>
    <row r="38" spans="1:65" ht="117" customHeight="1">
      <c r="A38" s="32" t="s">
        <v>522</v>
      </c>
      <c r="B38" s="204" t="s">
        <v>181</v>
      </c>
      <c r="C38" s="293" t="s">
        <v>1286</v>
      </c>
      <c r="D38" s="293" t="s">
        <v>1288</v>
      </c>
      <c r="E38" s="307" t="s">
        <v>1269</v>
      </c>
      <c r="F38" s="307">
        <v>2030</v>
      </c>
      <c r="G38" s="230" t="s">
        <v>3</v>
      </c>
      <c r="H38" s="174" t="s">
        <v>424</v>
      </c>
      <c r="I38" s="174" t="s">
        <v>424</v>
      </c>
      <c r="J38" s="24" t="s">
        <v>1292</v>
      </c>
      <c r="K38" s="308" t="s">
        <v>1290</v>
      </c>
      <c r="L38" s="293" t="s">
        <v>360</v>
      </c>
      <c r="M38" s="293" t="s">
        <v>131</v>
      </c>
      <c r="N38" s="293" t="s">
        <v>131</v>
      </c>
      <c r="O38" s="293" t="s">
        <v>131</v>
      </c>
      <c r="P38" s="293" t="s">
        <v>131</v>
      </c>
      <c r="Q38" s="293" t="s">
        <v>131</v>
      </c>
      <c r="R38" s="309" t="s">
        <v>131</v>
      </c>
      <c r="S38" s="293" t="s">
        <v>131</v>
      </c>
      <c r="T38" s="293" t="s">
        <v>131</v>
      </c>
      <c r="U38" s="293" t="s">
        <v>131</v>
      </c>
      <c r="V38" s="293" t="s">
        <v>131</v>
      </c>
      <c r="W38" s="293" t="s">
        <v>131</v>
      </c>
      <c r="X38" s="293" t="s">
        <v>131</v>
      </c>
      <c r="Y38" s="310" t="s">
        <v>3</v>
      </c>
      <c r="Z38" s="293">
        <v>84.7</v>
      </c>
      <c r="AA38" s="293">
        <v>68</v>
      </c>
      <c r="AB38" s="293">
        <v>18.399999999999999</v>
      </c>
      <c r="AC38" s="293" t="s">
        <v>3</v>
      </c>
      <c r="AD38" s="293" t="s">
        <v>3</v>
      </c>
      <c r="AE38" s="293">
        <v>0.1</v>
      </c>
      <c r="AF38" s="298" t="s">
        <v>3</v>
      </c>
      <c r="AG38" s="322" t="s">
        <v>3</v>
      </c>
      <c r="AH38" s="322" t="s">
        <v>3</v>
      </c>
      <c r="AI38" s="322" t="s">
        <v>3</v>
      </c>
      <c r="AJ38" s="312" t="s">
        <v>3</v>
      </c>
      <c r="AK38" s="308" t="s">
        <v>1291</v>
      </c>
      <c r="AL38" s="22" t="s">
        <v>1289</v>
      </c>
      <c r="AM38" s="115" t="s">
        <v>131</v>
      </c>
      <c r="AN38" s="115" t="s">
        <v>3</v>
      </c>
      <c r="AO38" s="115" t="s">
        <v>3</v>
      </c>
      <c r="AP38" s="115" t="s">
        <v>3</v>
      </c>
      <c r="AQ38" s="115" t="s">
        <v>3</v>
      </c>
      <c r="AR38" s="116" t="s">
        <v>3</v>
      </c>
      <c r="AS38" s="117">
        <f t="shared" si="0"/>
        <v>1</v>
      </c>
      <c r="AT38" s="30" t="s">
        <v>203</v>
      </c>
      <c r="AU38" s="302" t="s">
        <v>3</v>
      </c>
      <c r="AV38" s="302">
        <v>37225</v>
      </c>
      <c r="AW38" s="120">
        <v>42482</v>
      </c>
      <c r="AX38" s="120">
        <v>43293</v>
      </c>
      <c r="AY38" s="302">
        <v>42254</v>
      </c>
      <c r="AZ38" s="305" t="s">
        <v>822</v>
      </c>
      <c r="BA38" s="303">
        <v>44195</v>
      </c>
      <c r="BB38" s="603" t="s">
        <v>2027</v>
      </c>
      <c r="BC38" s="394" t="s">
        <v>3</v>
      </c>
      <c r="BD38" s="394" t="s">
        <v>3</v>
      </c>
      <c r="BE38" s="176" t="s">
        <v>901</v>
      </c>
      <c r="BF38" s="404" t="s">
        <v>860</v>
      </c>
      <c r="BG38" s="396" t="s">
        <v>3</v>
      </c>
      <c r="BH38" s="394" t="s">
        <v>3</v>
      </c>
      <c r="BI38" s="440">
        <v>2022</v>
      </c>
      <c r="BJ38" s="447">
        <v>3</v>
      </c>
      <c r="BK38"/>
      <c r="BM38"/>
    </row>
    <row r="39" spans="1:65" ht="96" customHeight="1">
      <c r="A39" s="31" t="s">
        <v>523</v>
      </c>
      <c r="B39" s="205" t="s">
        <v>180</v>
      </c>
      <c r="C39" s="230" t="s">
        <v>1795</v>
      </c>
      <c r="D39" s="319">
        <v>0.23</v>
      </c>
      <c r="E39" s="230" t="s">
        <v>1813</v>
      </c>
      <c r="F39" s="230">
        <v>2030</v>
      </c>
      <c r="G39" s="230" t="s">
        <v>3</v>
      </c>
      <c r="H39" s="176">
        <v>2020</v>
      </c>
      <c r="I39" s="176">
        <v>2030</v>
      </c>
      <c r="J39" s="320" t="s">
        <v>1814</v>
      </c>
      <c r="K39" s="314" t="s">
        <v>1815</v>
      </c>
      <c r="L39" s="30" t="s">
        <v>360</v>
      </c>
      <c r="M39" s="30" t="s">
        <v>131</v>
      </c>
      <c r="N39" s="30" t="s">
        <v>131</v>
      </c>
      <c r="O39" s="30" t="s">
        <v>1802</v>
      </c>
      <c r="P39" s="30" t="s">
        <v>131</v>
      </c>
      <c r="Q39" s="30" t="s">
        <v>131</v>
      </c>
      <c r="R39" s="315" t="s">
        <v>1802</v>
      </c>
      <c r="S39" s="30" t="s">
        <v>131</v>
      </c>
      <c r="T39" s="30" t="s">
        <v>131</v>
      </c>
      <c r="U39" s="30" t="s">
        <v>131</v>
      </c>
      <c r="V39" s="30" t="s">
        <v>3</v>
      </c>
      <c r="W39" s="30" t="s">
        <v>3</v>
      </c>
      <c r="X39" s="30" t="s">
        <v>3</v>
      </c>
      <c r="Y39" s="298" t="s">
        <v>3</v>
      </c>
      <c r="Z39" s="293" t="s">
        <v>452</v>
      </c>
      <c r="AA39" s="293" t="s">
        <v>452</v>
      </c>
      <c r="AB39" s="293" t="s">
        <v>452</v>
      </c>
      <c r="AC39" s="293" t="s">
        <v>452</v>
      </c>
      <c r="AD39" s="293" t="s">
        <v>452</v>
      </c>
      <c r="AE39" s="293" t="s">
        <v>452</v>
      </c>
      <c r="AF39" s="298" t="s">
        <v>3</v>
      </c>
      <c r="AG39" s="231">
        <v>0.90200000000000002</v>
      </c>
      <c r="AH39" s="232">
        <v>0.39900000000000002</v>
      </c>
      <c r="AI39" s="232">
        <f>AG39+AH39</f>
        <v>1.3010000000000002</v>
      </c>
      <c r="AJ39" s="316" t="s">
        <v>1816</v>
      </c>
      <c r="AK39" s="314" t="s">
        <v>254</v>
      </c>
      <c r="AL39" s="21" t="s">
        <v>3</v>
      </c>
      <c r="AM39" s="115" t="s">
        <v>3</v>
      </c>
      <c r="AN39" s="115" t="s">
        <v>3</v>
      </c>
      <c r="AO39" s="115" t="s">
        <v>3</v>
      </c>
      <c r="AP39" s="115" t="s">
        <v>3</v>
      </c>
      <c r="AQ39" s="115" t="s">
        <v>3</v>
      </c>
      <c r="AR39" s="116" t="s">
        <v>3</v>
      </c>
      <c r="AS39" s="117" t="str">
        <f t="shared" si="0"/>
        <v/>
      </c>
      <c r="AT39" s="30" t="s">
        <v>203</v>
      </c>
      <c r="AU39" s="302" t="s">
        <v>3</v>
      </c>
      <c r="AV39" s="302">
        <v>39548</v>
      </c>
      <c r="AW39" s="120">
        <v>42482</v>
      </c>
      <c r="AX39" s="120">
        <v>42697</v>
      </c>
      <c r="AY39" s="328">
        <v>42264</v>
      </c>
      <c r="AZ39" s="317" t="s">
        <v>820</v>
      </c>
      <c r="BA39" s="321">
        <v>44505</v>
      </c>
      <c r="BB39" s="603" t="s">
        <v>2029</v>
      </c>
      <c r="BC39" s="394" t="s">
        <v>3</v>
      </c>
      <c r="BD39" s="394" t="s">
        <v>3</v>
      </c>
      <c r="BE39" s="176" t="s">
        <v>897</v>
      </c>
      <c r="BF39" s="404" t="s">
        <v>860</v>
      </c>
      <c r="BG39" s="396" t="s">
        <v>3</v>
      </c>
      <c r="BH39" s="394" t="s">
        <v>3</v>
      </c>
      <c r="BI39" s="402" t="s">
        <v>3</v>
      </c>
      <c r="BJ39" s="403" t="s">
        <v>3</v>
      </c>
      <c r="BK39"/>
      <c r="BM39"/>
    </row>
    <row r="40" spans="1:65" ht="84" customHeight="1">
      <c r="A40" s="31" t="s">
        <v>2173</v>
      </c>
      <c r="B40" s="92" t="s">
        <v>180</v>
      </c>
      <c r="C40" s="230" t="s">
        <v>186</v>
      </c>
      <c r="D40" s="230" t="s">
        <v>1559</v>
      </c>
      <c r="E40" s="230">
        <v>2017</v>
      </c>
      <c r="F40" s="230" t="s">
        <v>1558</v>
      </c>
      <c r="G40" s="230" t="s">
        <v>3</v>
      </c>
      <c r="H40" s="173">
        <v>2021</v>
      </c>
      <c r="I40" s="173">
        <v>2030</v>
      </c>
      <c r="J40" s="320" t="s">
        <v>1561</v>
      </c>
      <c r="K40" s="314" t="s">
        <v>1560</v>
      </c>
      <c r="L40" s="30" t="s">
        <v>360</v>
      </c>
      <c r="M40" s="30" t="s">
        <v>131</v>
      </c>
      <c r="N40" s="30" t="s">
        <v>131</v>
      </c>
      <c r="O40" s="30" t="s">
        <v>1557</v>
      </c>
      <c r="P40" s="30" t="s">
        <v>131</v>
      </c>
      <c r="Q40" s="30" t="s">
        <v>131</v>
      </c>
      <c r="R40" s="315" t="s">
        <v>131</v>
      </c>
      <c r="S40" s="30" t="s">
        <v>131</v>
      </c>
      <c r="T40" s="30" t="s">
        <v>131</v>
      </c>
      <c r="U40" s="30" t="s">
        <v>131</v>
      </c>
      <c r="V40" s="30" t="s">
        <v>1557</v>
      </c>
      <c r="W40" s="30" t="s">
        <v>1557</v>
      </c>
      <c r="X40" s="30" t="s">
        <v>1557</v>
      </c>
      <c r="Y40" s="298" t="s">
        <v>3</v>
      </c>
      <c r="Z40" s="30">
        <v>5.7</v>
      </c>
      <c r="AA40" s="30">
        <v>11.7</v>
      </c>
      <c r="AB40" s="30">
        <v>2.2000000000000002</v>
      </c>
      <c r="AC40" s="30">
        <v>0</v>
      </c>
      <c r="AD40" s="30" t="s">
        <v>3</v>
      </c>
      <c r="AE40" s="30" t="s">
        <v>3</v>
      </c>
      <c r="AF40" s="298" t="s">
        <v>3</v>
      </c>
      <c r="AG40" s="231">
        <v>4.4000000000000004</v>
      </c>
      <c r="AH40" s="232">
        <v>3.8</v>
      </c>
      <c r="AI40" s="232">
        <f>AG40+AH40</f>
        <v>8.1999999999999993</v>
      </c>
      <c r="AJ40" s="316" t="s">
        <v>1562</v>
      </c>
      <c r="AK40" s="314" t="s">
        <v>3</v>
      </c>
      <c r="AL40" s="22" t="s">
        <v>1563</v>
      </c>
      <c r="AM40" s="115" t="s">
        <v>1564</v>
      </c>
      <c r="AN40" s="115" t="s">
        <v>3</v>
      </c>
      <c r="AO40" s="115" t="s">
        <v>3</v>
      </c>
      <c r="AP40" s="115" t="s">
        <v>3</v>
      </c>
      <c r="AQ40" s="115" t="s">
        <v>3</v>
      </c>
      <c r="AR40" s="116" t="s">
        <v>3</v>
      </c>
      <c r="AS40" s="117">
        <f t="shared" si="0"/>
        <v>1</v>
      </c>
      <c r="AT40" s="30" t="s">
        <v>203</v>
      </c>
      <c r="AU40" s="302" t="s">
        <v>3</v>
      </c>
      <c r="AV40" s="302">
        <v>39125</v>
      </c>
      <c r="AW40" s="120">
        <v>42482</v>
      </c>
      <c r="AX40" s="120">
        <v>42846</v>
      </c>
      <c r="AY40" s="328">
        <v>42276</v>
      </c>
      <c r="AZ40" s="317" t="s">
        <v>781</v>
      </c>
      <c r="BA40" s="321">
        <v>44410</v>
      </c>
      <c r="BB40" s="603" t="s">
        <v>2033</v>
      </c>
      <c r="BC40" s="394" t="s">
        <v>3</v>
      </c>
      <c r="BD40" s="394" t="s">
        <v>3</v>
      </c>
      <c r="BE40" s="176" t="s">
        <v>897</v>
      </c>
      <c r="BF40" s="404" t="s">
        <v>860</v>
      </c>
      <c r="BG40" s="396" t="s">
        <v>3</v>
      </c>
      <c r="BH40" s="394" t="s">
        <v>3</v>
      </c>
      <c r="BI40" s="402" t="s">
        <v>3</v>
      </c>
      <c r="BJ40" s="403" t="s">
        <v>3</v>
      </c>
      <c r="BK40" s="283"/>
      <c r="BM40"/>
    </row>
    <row r="41" spans="1:65" ht="91.95" customHeight="1">
      <c r="A41" s="32" t="s">
        <v>524</v>
      </c>
      <c r="B41" s="97" t="s">
        <v>25</v>
      </c>
      <c r="C41" s="293" t="s">
        <v>189</v>
      </c>
      <c r="D41" s="293" t="s">
        <v>65</v>
      </c>
      <c r="E41" s="307">
        <v>2006</v>
      </c>
      <c r="F41" s="307">
        <v>2020</v>
      </c>
      <c r="G41" s="230" t="s">
        <v>3</v>
      </c>
      <c r="H41" s="175" t="s">
        <v>424</v>
      </c>
      <c r="I41" s="175" t="s">
        <v>424</v>
      </c>
      <c r="J41" s="24" t="s">
        <v>278</v>
      </c>
      <c r="K41" s="308" t="s">
        <v>124</v>
      </c>
      <c r="L41" s="293" t="s">
        <v>360</v>
      </c>
      <c r="M41" s="293" t="s">
        <v>131</v>
      </c>
      <c r="N41" s="293" t="s">
        <v>3</v>
      </c>
      <c r="O41" s="293" t="s">
        <v>131</v>
      </c>
      <c r="P41" s="293" t="s">
        <v>3</v>
      </c>
      <c r="Q41" s="293" t="s">
        <v>3</v>
      </c>
      <c r="R41" s="309" t="s">
        <v>3</v>
      </c>
      <c r="S41" s="293" t="s">
        <v>131</v>
      </c>
      <c r="T41" s="293" t="s">
        <v>3</v>
      </c>
      <c r="U41" s="293" t="s">
        <v>3</v>
      </c>
      <c r="V41" s="293" t="s">
        <v>3</v>
      </c>
      <c r="W41" s="293" t="s">
        <v>3</v>
      </c>
      <c r="X41" s="293" t="s">
        <v>3</v>
      </c>
      <c r="Y41" s="310" t="s">
        <v>3</v>
      </c>
      <c r="Z41" s="293" t="s">
        <v>452</v>
      </c>
      <c r="AA41" s="293" t="s">
        <v>452</v>
      </c>
      <c r="AB41" s="293" t="s">
        <v>452</v>
      </c>
      <c r="AC41" s="293" t="s">
        <v>452</v>
      </c>
      <c r="AD41" s="293" t="s">
        <v>452</v>
      </c>
      <c r="AE41" s="293" t="s">
        <v>452</v>
      </c>
      <c r="AF41" s="298" t="s">
        <v>3</v>
      </c>
      <c r="AG41" s="322" t="s">
        <v>3</v>
      </c>
      <c r="AH41" s="322" t="s">
        <v>3</v>
      </c>
      <c r="AI41" s="322" t="s">
        <v>3</v>
      </c>
      <c r="AJ41" s="312" t="s">
        <v>3</v>
      </c>
      <c r="AK41" s="308" t="s">
        <v>123</v>
      </c>
      <c r="AL41" s="21" t="s">
        <v>3</v>
      </c>
      <c r="AM41" s="115" t="s">
        <v>3</v>
      </c>
      <c r="AN41" s="115" t="s">
        <v>3</v>
      </c>
      <c r="AO41" s="115" t="s">
        <v>3</v>
      </c>
      <c r="AP41" s="115" t="s">
        <v>3</v>
      </c>
      <c r="AQ41" s="115" t="s">
        <v>3</v>
      </c>
      <c r="AR41" s="116" t="s">
        <v>3</v>
      </c>
      <c r="AS41" s="117" t="str">
        <f t="shared" si="0"/>
        <v/>
      </c>
      <c r="AT41" s="30" t="s">
        <v>203</v>
      </c>
      <c r="AU41" s="302">
        <v>36054</v>
      </c>
      <c r="AV41" s="302">
        <v>37130</v>
      </c>
      <c r="AW41" s="120">
        <v>42545</v>
      </c>
      <c r="AX41" s="120">
        <v>42614</v>
      </c>
      <c r="AY41" s="302">
        <v>42328</v>
      </c>
      <c r="AZ41" s="317" t="s">
        <v>708</v>
      </c>
      <c r="BA41" s="302">
        <v>42614</v>
      </c>
      <c r="BB41" s="603" t="s">
        <v>2031</v>
      </c>
      <c r="BC41" s="394" t="s">
        <v>3</v>
      </c>
      <c r="BD41" s="394" t="s">
        <v>3</v>
      </c>
      <c r="BE41" s="176" t="s">
        <v>899</v>
      </c>
      <c r="BF41" s="404" t="s">
        <v>908</v>
      </c>
      <c r="BG41" s="396" t="s">
        <v>3</v>
      </c>
      <c r="BH41" s="394" t="s">
        <v>3</v>
      </c>
      <c r="BI41" s="402" t="s">
        <v>3</v>
      </c>
      <c r="BJ41" s="403" t="s">
        <v>3</v>
      </c>
      <c r="BK41"/>
      <c r="BM41"/>
    </row>
    <row r="42" spans="1:65" ht="195" customHeight="1">
      <c r="A42" s="32" t="s">
        <v>525</v>
      </c>
      <c r="B42" s="95" t="s">
        <v>181</v>
      </c>
      <c r="C42" s="293" t="s">
        <v>1195</v>
      </c>
      <c r="D42" s="318" t="s">
        <v>1205</v>
      </c>
      <c r="E42" s="307" t="s">
        <v>1170</v>
      </c>
      <c r="F42" s="307">
        <v>2030</v>
      </c>
      <c r="G42" s="230" t="s">
        <v>3</v>
      </c>
      <c r="H42" s="176">
        <v>2021</v>
      </c>
      <c r="I42" s="176">
        <v>2030</v>
      </c>
      <c r="J42" s="24" t="s">
        <v>1200</v>
      </c>
      <c r="K42" s="308" t="s">
        <v>1201</v>
      </c>
      <c r="L42" s="293" t="s">
        <v>360</v>
      </c>
      <c r="M42" s="293" t="s">
        <v>131</v>
      </c>
      <c r="N42" s="293" t="s">
        <v>131</v>
      </c>
      <c r="O42" s="293" t="s">
        <v>131</v>
      </c>
      <c r="P42" s="293" t="s">
        <v>131</v>
      </c>
      <c r="Q42" s="293" t="s">
        <v>131</v>
      </c>
      <c r="R42" s="309" t="s">
        <v>131</v>
      </c>
      <c r="S42" s="293" t="s">
        <v>131</v>
      </c>
      <c r="T42" s="293" t="s">
        <v>131</v>
      </c>
      <c r="U42" s="293" t="s">
        <v>131</v>
      </c>
      <c r="V42" s="293" t="s">
        <v>131</v>
      </c>
      <c r="W42" s="293" t="s">
        <v>131</v>
      </c>
      <c r="X42" s="293" t="s">
        <v>131</v>
      </c>
      <c r="Y42" s="310" t="s">
        <v>3</v>
      </c>
      <c r="Z42" s="293">
        <v>7.5</v>
      </c>
      <c r="AA42" s="293">
        <v>3.7</v>
      </c>
      <c r="AB42" s="293">
        <v>1.5</v>
      </c>
      <c r="AC42" s="293">
        <v>0.1</v>
      </c>
      <c r="AD42" s="293" t="s">
        <v>3</v>
      </c>
      <c r="AE42" s="293" t="s">
        <v>3</v>
      </c>
      <c r="AF42" s="298" t="s">
        <v>3</v>
      </c>
      <c r="AG42" s="322" t="s">
        <v>3</v>
      </c>
      <c r="AH42" s="322" t="s">
        <v>3</v>
      </c>
      <c r="AI42" s="322" t="s">
        <v>3</v>
      </c>
      <c r="AJ42" s="312" t="s">
        <v>3</v>
      </c>
      <c r="AK42" s="308" t="s">
        <v>424</v>
      </c>
      <c r="AL42" s="22" t="s">
        <v>1170</v>
      </c>
      <c r="AM42" s="115" t="s">
        <v>131</v>
      </c>
      <c r="AN42" s="115" t="s">
        <v>3</v>
      </c>
      <c r="AO42" s="115" t="s">
        <v>3</v>
      </c>
      <c r="AP42" s="117" t="s">
        <v>131</v>
      </c>
      <c r="AQ42" s="115" t="s">
        <v>3</v>
      </c>
      <c r="AR42" s="300" t="s">
        <v>246</v>
      </c>
      <c r="AS42" s="117">
        <f t="shared" si="0"/>
        <v>1</v>
      </c>
      <c r="AT42" s="30" t="s">
        <v>203</v>
      </c>
      <c r="AU42" s="302">
        <v>35912</v>
      </c>
      <c r="AV42" s="302">
        <v>37477</v>
      </c>
      <c r="AW42" s="120">
        <v>42482</v>
      </c>
      <c r="AX42" s="120">
        <v>42656</v>
      </c>
      <c r="AY42" s="302">
        <v>42277</v>
      </c>
      <c r="AZ42" s="305" t="s">
        <v>761</v>
      </c>
      <c r="BA42" s="469">
        <v>44194</v>
      </c>
      <c r="BB42" s="603" t="s">
        <v>2034</v>
      </c>
      <c r="BC42" s="394" t="s">
        <v>3</v>
      </c>
      <c r="BD42" s="394" t="s">
        <v>3</v>
      </c>
      <c r="BE42" s="176" t="s">
        <v>898</v>
      </c>
      <c r="BF42" s="404" t="s">
        <v>860</v>
      </c>
      <c r="BG42" s="396" t="s">
        <v>3</v>
      </c>
      <c r="BH42" s="394" t="s">
        <v>3</v>
      </c>
      <c r="BI42" s="440">
        <v>2019</v>
      </c>
      <c r="BJ42" s="447">
        <v>2</v>
      </c>
      <c r="BK42"/>
      <c r="BM42"/>
    </row>
    <row r="43" spans="1:65" ht="152.25" customHeight="1">
      <c r="A43" s="31" t="s">
        <v>526</v>
      </c>
      <c r="B43" s="92" t="s">
        <v>180</v>
      </c>
      <c r="C43" s="230" t="s">
        <v>1903</v>
      </c>
      <c r="D43" s="319" t="s">
        <v>1904</v>
      </c>
      <c r="E43" s="337" t="s">
        <v>1902</v>
      </c>
      <c r="F43" s="337">
        <v>2030</v>
      </c>
      <c r="G43" s="230" t="s">
        <v>3</v>
      </c>
      <c r="H43" s="176">
        <v>2022</v>
      </c>
      <c r="I43" s="177">
        <v>2030</v>
      </c>
      <c r="J43" s="46" t="s">
        <v>1905</v>
      </c>
      <c r="K43" s="308" t="s">
        <v>1911</v>
      </c>
      <c r="L43" s="293" t="s">
        <v>360</v>
      </c>
      <c r="M43" s="293" t="s">
        <v>131</v>
      </c>
      <c r="N43" s="293" t="s">
        <v>131</v>
      </c>
      <c r="O43" s="293" t="s">
        <v>131</v>
      </c>
      <c r="P43" s="293" t="s">
        <v>131</v>
      </c>
      <c r="Q43" s="293" t="s">
        <v>131</v>
      </c>
      <c r="R43" s="309" t="s">
        <v>1906</v>
      </c>
      <c r="S43" s="30" t="s">
        <v>131</v>
      </c>
      <c r="T43" s="30" t="s">
        <v>131</v>
      </c>
      <c r="U43" s="30" t="s">
        <v>131</v>
      </c>
      <c r="V43" s="30" t="s">
        <v>1906</v>
      </c>
      <c r="W43" s="30" t="s">
        <v>3</v>
      </c>
      <c r="X43" s="30" t="s">
        <v>3</v>
      </c>
      <c r="Y43" s="298" t="s">
        <v>3</v>
      </c>
      <c r="Z43" s="30">
        <v>10.9</v>
      </c>
      <c r="AA43" s="30">
        <v>14.1</v>
      </c>
      <c r="AB43" s="30">
        <v>4</v>
      </c>
      <c r="AC43" s="30" t="s">
        <v>3</v>
      </c>
      <c r="AD43" s="30" t="s">
        <v>3</v>
      </c>
      <c r="AE43" s="30" t="s">
        <v>3</v>
      </c>
      <c r="AF43" s="298" t="s">
        <v>3</v>
      </c>
      <c r="AG43" s="311">
        <v>10</v>
      </c>
      <c r="AH43" s="311">
        <v>12</v>
      </c>
      <c r="AI43" s="311">
        <v>22</v>
      </c>
      <c r="AJ43" s="312" t="s">
        <v>1907</v>
      </c>
      <c r="AK43" s="308" t="s">
        <v>1908</v>
      </c>
      <c r="AL43" s="22" t="s">
        <v>1909</v>
      </c>
      <c r="AM43" s="115" t="s">
        <v>131</v>
      </c>
      <c r="AN43" s="115" t="s">
        <v>3</v>
      </c>
      <c r="AO43" s="115" t="s">
        <v>3</v>
      </c>
      <c r="AP43" s="115" t="s">
        <v>3</v>
      </c>
      <c r="AQ43" s="115" t="s">
        <v>1910</v>
      </c>
      <c r="AR43" s="116" t="s">
        <v>3</v>
      </c>
      <c r="AS43" s="117">
        <f t="shared" si="0"/>
        <v>1</v>
      </c>
      <c r="AT43" s="30" t="s">
        <v>203</v>
      </c>
      <c r="AU43" s="302" t="s">
        <v>3</v>
      </c>
      <c r="AV43" s="302">
        <v>39195</v>
      </c>
      <c r="AW43" s="120">
        <v>42482</v>
      </c>
      <c r="AX43" s="120">
        <v>42668</v>
      </c>
      <c r="AY43" s="302">
        <v>42267</v>
      </c>
      <c r="AZ43" s="305" t="s">
        <v>772</v>
      </c>
      <c r="BA43" s="321">
        <v>44690</v>
      </c>
      <c r="BB43" s="603" t="s">
        <v>2035</v>
      </c>
      <c r="BC43" s="394" t="s">
        <v>3</v>
      </c>
      <c r="BD43" s="394" t="s">
        <v>3</v>
      </c>
      <c r="BE43" s="173" t="s">
        <v>902</v>
      </c>
      <c r="BF43" s="404" t="s">
        <v>860</v>
      </c>
      <c r="BG43" s="396" t="s">
        <v>3</v>
      </c>
      <c r="BH43" s="394" t="s">
        <v>3</v>
      </c>
      <c r="BI43" s="440">
        <v>2018</v>
      </c>
      <c r="BJ43" s="447">
        <v>1</v>
      </c>
      <c r="BK43" s="283"/>
      <c r="BM43"/>
    </row>
    <row r="44" spans="1:65" ht="91.95" customHeight="1">
      <c r="A44" s="32" t="s">
        <v>1167</v>
      </c>
      <c r="B44" s="95" t="s">
        <v>181</v>
      </c>
      <c r="C44" s="293" t="s">
        <v>189</v>
      </c>
      <c r="D44" s="293" t="s">
        <v>67</v>
      </c>
      <c r="E44" s="307" t="s">
        <v>3</v>
      </c>
      <c r="F44" s="307">
        <v>2030</v>
      </c>
      <c r="G44" s="230" t="s">
        <v>3</v>
      </c>
      <c r="H44" s="176" t="s">
        <v>424</v>
      </c>
      <c r="I44" s="176">
        <v>2030</v>
      </c>
      <c r="J44" s="24" t="s">
        <v>1166</v>
      </c>
      <c r="K44" s="308" t="s">
        <v>1168</v>
      </c>
      <c r="L44" s="293" t="s">
        <v>354</v>
      </c>
      <c r="M44" s="293" t="s">
        <v>131</v>
      </c>
      <c r="N44" s="293" t="s">
        <v>131</v>
      </c>
      <c r="O44" s="293" t="s">
        <v>1169</v>
      </c>
      <c r="P44" s="293" t="s">
        <v>3</v>
      </c>
      <c r="Q44" s="293" t="s">
        <v>1169</v>
      </c>
      <c r="R44" s="309" t="s">
        <v>3</v>
      </c>
      <c r="S44" s="293" t="s">
        <v>131</v>
      </c>
      <c r="T44" s="293" t="s">
        <v>131</v>
      </c>
      <c r="U44" s="293" t="s">
        <v>131</v>
      </c>
      <c r="V44" s="293" t="s">
        <v>3</v>
      </c>
      <c r="W44" s="293" t="s">
        <v>3</v>
      </c>
      <c r="X44" s="293" t="s">
        <v>3</v>
      </c>
      <c r="Y44" s="310" t="s">
        <v>3</v>
      </c>
      <c r="Z44" s="293">
        <v>27.8</v>
      </c>
      <c r="AA44" s="293">
        <v>13.3</v>
      </c>
      <c r="AB44" s="293">
        <v>6</v>
      </c>
      <c r="AC44" s="293">
        <v>0.2</v>
      </c>
      <c r="AD44" s="293" t="s">
        <v>3</v>
      </c>
      <c r="AE44" s="293" t="s">
        <v>3</v>
      </c>
      <c r="AF44" s="298" t="s">
        <v>3</v>
      </c>
      <c r="AG44" s="322" t="s">
        <v>3</v>
      </c>
      <c r="AH44" s="322" t="s">
        <v>3</v>
      </c>
      <c r="AI44" s="322" t="s">
        <v>1170</v>
      </c>
      <c r="AJ44" s="312" t="s">
        <v>1170</v>
      </c>
      <c r="AK44" s="308" t="s">
        <v>3</v>
      </c>
      <c r="AL44" s="22" t="s">
        <v>1171</v>
      </c>
      <c r="AM44" s="115" t="s">
        <v>3</v>
      </c>
      <c r="AN44" s="115" t="s">
        <v>3</v>
      </c>
      <c r="AO44" s="115" t="s">
        <v>3</v>
      </c>
      <c r="AP44" s="115" t="s">
        <v>3</v>
      </c>
      <c r="AQ44" s="115" t="s">
        <v>3</v>
      </c>
      <c r="AR44" s="116" t="s">
        <v>3</v>
      </c>
      <c r="AS44" s="117" t="str">
        <f t="shared" si="0"/>
        <v/>
      </c>
      <c r="AT44" s="30" t="s">
        <v>203</v>
      </c>
      <c r="AU44" s="302">
        <v>36234</v>
      </c>
      <c r="AV44" s="302">
        <v>37376</v>
      </c>
      <c r="AW44" s="120">
        <v>42482</v>
      </c>
      <c r="AX44" s="120">
        <v>42732</v>
      </c>
      <c r="AY44" s="302">
        <v>42331</v>
      </c>
      <c r="AZ44" s="305" t="s">
        <v>702</v>
      </c>
      <c r="BA44" s="321">
        <v>44091</v>
      </c>
      <c r="BB44" s="603" t="s">
        <v>2036</v>
      </c>
      <c r="BC44" s="394" t="s">
        <v>3</v>
      </c>
      <c r="BD44" s="394" t="s">
        <v>3</v>
      </c>
      <c r="BE44" s="179" t="s">
        <v>898</v>
      </c>
      <c r="BF44" s="404" t="s">
        <v>471</v>
      </c>
      <c r="BG44" s="396" t="s">
        <v>3</v>
      </c>
      <c r="BH44" s="394" t="s">
        <v>3</v>
      </c>
      <c r="BI44" s="402">
        <v>2020</v>
      </c>
      <c r="BJ44" s="403">
        <v>1</v>
      </c>
      <c r="BK44" s="283"/>
      <c r="BM44"/>
    </row>
    <row r="45" spans="1:65" ht="156" customHeight="1">
      <c r="A45" s="31" t="s">
        <v>2171</v>
      </c>
      <c r="B45" s="90" t="s">
        <v>23</v>
      </c>
      <c r="C45" s="230" t="s">
        <v>185</v>
      </c>
      <c r="D45" s="230" t="s">
        <v>1164</v>
      </c>
      <c r="E45" s="230" t="s">
        <v>1</v>
      </c>
      <c r="F45" s="230">
        <v>2030</v>
      </c>
      <c r="G45" s="230" t="s">
        <v>3</v>
      </c>
      <c r="H45" s="176">
        <v>2021</v>
      </c>
      <c r="I45" s="176">
        <v>2030</v>
      </c>
      <c r="J45" s="320" t="s">
        <v>1165</v>
      </c>
      <c r="K45" s="314" t="s">
        <v>215</v>
      </c>
      <c r="L45" s="30" t="s">
        <v>360</v>
      </c>
      <c r="M45" s="30" t="s">
        <v>131</v>
      </c>
      <c r="N45" s="30" t="s">
        <v>131</v>
      </c>
      <c r="O45" s="30" t="s">
        <v>3</v>
      </c>
      <c r="P45" s="30" t="s">
        <v>131</v>
      </c>
      <c r="Q45" s="30" t="s">
        <v>131</v>
      </c>
      <c r="R45" s="315" t="s">
        <v>131</v>
      </c>
      <c r="S45" s="30" t="s">
        <v>131</v>
      </c>
      <c r="T45" s="30" t="s">
        <v>131</v>
      </c>
      <c r="U45" s="30" t="s">
        <v>131</v>
      </c>
      <c r="V45" s="30" t="s">
        <v>131</v>
      </c>
      <c r="W45" s="30" t="s">
        <v>131</v>
      </c>
      <c r="X45" s="30" t="s">
        <v>131</v>
      </c>
      <c r="Y45" s="298" t="s">
        <v>3</v>
      </c>
      <c r="Z45" s="30">
        <v>26.2</v>
      </c>
      <c r="AA45" s="30">
        <v>23.3</v>
      </c>
      <c r="AB45" s="30">
        <v>2.8</v>
      </c>
      <c r="AC45" s="30">
        <v>4.4000000000000004</v>
      </c>
      <c r="AD45" s="30" t="s">
        <v>3</v>
      </c>
      <c r="AE45" s="30" t="s">
        <v>3</v>
      </c>
      <c r="AF45" s="298" t="s">
        <v>3</v>
      </c>
      <c r="AG45" s="311" t="s">
        <v>3</v>
      </c>
      <c r="AH45" s="311" t="s">
        <v>3</v>
      </c>
      <c r="AI45" s="311" t="s">
        <v>3</v>
      </c>
      <c r="AJ45" s="316" t="s">
        <v>3</v>
      </c>
      <c r="AK45" s="314" t="s">
        <v>1103</v>
      </c>
      <c r="AL45" s="21" t="s">
        <v>3</v>
      </c>
      <c r="AM45" s="115" t="s">
        <v>3</v>
      </c>
      <c r="AN45" s="115" t="s">
        <v>3</v>
      </c>
      <c r="AO45" s="115" t="s">
        <v>3</v>
      </c>
      <c r="AP45" s="115" t="s">
        <v>3</v>
      </c>
      <c r="AQ45" s="115" t="s">
        <v>3</v>
      </c>
      <c r="AR45" s="116" t="s">
        <v>3</v>
      </c>
      <c r="AS45" s="117" t="str">
        <f t="shared" si="0"/>
        <v/>
      </c>
      <c r="AT45" s="30" t="s">
        <v>203</v>
      </c>
      <c r="AU45" s="302" t="s">
        <v>3</v>
      </c>
      <c r="AV45" s="302">
        <v>38469</v>
      </c>
      <c r="AW45" s="120">
        <v>42482</v>
      </c>
      <c r="AX45" s="120">
        <v>42583</v>
      </c>
      <c r="AY45" s="325">
        <v>42650</v>
      </c>
      <c r="AZ45" s="317" t="s">
        <v>679</v>
      </c>
      <c r="BA45" s="321">
        <v>43727</v>
      </c>
      <c r="BB45" s="603" t="s">
        <v>2066</v>
      </c>
      <c r="BC45" s="394" t="s">
        <v>3</v>
      </c>
      <c r="BD45" s="394" t="s">
        <v>3</v>
      </c>
      <c r="BE45" s="177" t="s">
        <v>899</v>
      </c>
      <c r="BF45" s="404" t="s">
        <v>424</v>
      </c>
      <c r="BG45" s="396" t="s">
        <v>3</v>
      </c>
      <c r="BH45" s="394" t="s">
        <v>3</v>
      </c>
      <c r="BI45" s="402" t="s">
        <v>3</v>
      </c>
      <c r="BJ45" s="403" t="s">
        <v>3</v>
      </c>
      <c r="BK45"/>
      <c r="BM45"/>
    </row>
    <row r="46" spans="1:65" ht="126.45" customHeight="1">
      <c r="A46" s="31" t="s">
        <v>2172</v>
      </c>
      <c r="B46" s="205" t="s">
        <v>180</v>
      </c>
      <c r="C46" s="230" t="s">
        <v>186</v>
      </c>
      <c r="D46" s="319" t="s">
        <v>1847</v>
      </c>
      <c r="E46" s="230" t="s">
        <v>1840</v>
      </c>
      <c r="F46" s="230">
        <v>2030</v>
      </c>
      <c r="G46" s="230" t="s">
        <v>3</v>
      </c>
      <c r="H46" s="177">
        <v>2021</v>
      </c>
      <c r="I46" s="177">
        <v>2030</v>
      </c>
      <c r="J46" s="320" t="s">
        <v>1846</v>
      </c>
      <c r="K46" s="314" t="s">
        <v>1849</v>
      </c>
      <c r="L46" s="30" t="s">
        <v>360</v>
      </c>
      <c r="M46" s="30" t="s">
        <v>131</v>
      </c>
      <c r="N46" s="30" t="s">
        <v>131</v>
      </c>
      <c r="O46" s="30" t="s">
        <v>131</v>
      </c>
      <c r="P46" s="30" t="s">
        <v>1842</v>
      </c>
      <c r="Q46" s="30" t="s">
        <v>131</v>
      </c>
      <c r="R46" s="315" t="s">
        <v>3</v>
      </c>
      <c r="S46" s="30" t="s">
        <v>131</v>
      </c>
      <c r="T46" s="30" t="s">
        <v>131</v>
      </c>
      <c r="U46" s="30" t="s">
        <v>131</v>
      </c>
      <c r="V46" s="30" t="s">
        <v>3</v>
      </c>
      <c r="W46" s="30" t="s">
        <v>3</v>
      </c>
      <c r="X46" s="30" t="s">
        <v>3</v>
      </c>
      <c r="Y46" s="298" t="s">
        <v>3</v>
      </c>
      <c r="Z46" s="30">
        <v>3.3</v>
      </c>
      <c r="AA46" s="30">
        <v>85.2</v>
      </c>
      <c r="AB46" s="30">
        <v>41.6</v>
      </c>
      <c r="AC46" s="30" t="s">
        <v>3</v>
      </c>
      <c r="AD46" s="30" t="s">
        <v>3</v>
      </c>
      <c r="AE46" s="30" t="s">
        <v>3</v>
      </c>
      <c r="AF46" s="298" t="s">
        <v>3</v>
      </c>
      <c r="AG46" s="232">
        <v>25.6</v>
      </c>
      <c r="AH46" s="232">
        <v>23.08</v>
      </c>
      <c r="AI46" s="232">
        <v>48.68</v>
      </c>
      <c r="AJ46" s="316" t="s">
        <v>1850</v>
      </c>
      <c r="AK46" s="314" t="s">
        <v>1851</v>
      </c>
      <c r="AL46" s="22" t="s">
        <v>1852</v>
      </c>
      <c r="AM46" s="115" t="s">
        <v>1842</v>
      </c>
      <c r="AN46" s="115" t="s">
        <v>3</v>
      </c>
      <c r="AO46" s="115" t="s">
        <v>3</v>
      </c>
      <c r="AP46" s="115" t="s">
        <v>3</v>
      </c>
      <c r="AQ46" s="115" t="s">
        <v>3</v>
      </c>
      <c r="AR46" s="116" t="s">
        <v>3</v>
      </c>
      <c r="AS46" s="117">
        <f t="shared" si="0"/>
        <v>1</v>
      </c>
      <c r="AT46" s="30" t="s">
        <v>203</v>
      </c>
      <c r="AU46" s="302" t="s">
        <v>3</v>
      </c>
      <c r="AV46" s="302">
        <v>38434</v>
      </c>
      <c r="AW46" s="120">
        <v>42482</v>
      </c>
      <c r="AX46" s="120">
        <v>43082</v>
      </c>
      <c r="AY46" s="328">
        <v>42234</v>
      </c>
      <c r="AZ46" s="317" t="s">
        <v>824</v>
      </c>
      <c r="BA46" s="321">
        <v>44558</v>
      </c>
      <c r="BB46" s="603" t="s">
        <v>2032</v>
      </c>
      <c r="BC46" s="394" t="s">
        <v>3</v>
      </c>
      <c r="BD46" s="394" t="s">
        <v>3</v>
      </c>
      <c r="BE46" s="176" t="s">
        <v>897</v>
      </c>
      <c r="BF46" s="404" t="s">
        <v>860</v>
      </c>
      <c r="BG46" s="396" t="s">
        <v>3</v>
      </c>
      <c r="BH46" s="394" t="s">
        <v>3</v>
      </c>
      <c r="BI46" s="402" t="s">
        <v>3</v>
      </c>
      <c r="BJ46" s="403" t="s">
        <v>3</v>
      </c>
      <c r="BK46" s="283"/>
      <c r="BM46"/>
    </row>
    <row r="47" spans="1:65" s="4" customFormat="1" ht="102.75" customHeight="1">
      <c r="A47" s="31" t="s">
        <v>528</v>
      </c>
      <c r="B47" s="92" t="s">
        <v>180</v>
      </c>
      <c r="C47" s="230" t="s">
        <v>186</v>
      </c>
      <c r="D47" s="319" t="s">
        <v>1027</v>
      </c>
      <c r="E47" s="230">
        <v>2000</v>
      </c>
      <c r="F47" s="230">
        <v>2030</v>
      </c>
      <c r="G47" s="230" t="s">
        <v>3</v>
      </c>
      <c r="H47" s="175" t="s">
        <v>424</v>
      </c>
      <c r="I47" s="175" t="s">
        <v>424</v>
      </c>
      <c r="J47" s="320" t="s">
        <v>314</v>
      </c>
      <c r="K47" s="22" t="s">
        <v>99</v>
      </c>
      <c r="L47" s="30" t="s">
        <v>360</v>
      </c>
      <c r="M47" s="293" t="s">
        <v>131</v>
      </c>
      <c r="N47" s="293" t="s">
        <v>131</v>
      </c>
      <c r="O47" s="293" t="s">
        <v>131</v>
      </c>
      <c r="P47" s="293" t="s">
        <v>131</v>
      </c>
      <c r="Q47" s="293" t="s">
        <v>131</v>
      </c>
      <c r="R47" s="315" t="s">
        <v>131</v>
      </c>
      <c r="S47" s="30" t="s">
        <v>131</v>
      </c>
      <c r="T47" s="30" t="s">
        <v>131</v>
      </c>
      <c r="U47" s="30" t="s">
        <v>131</v>
      </c>
      <c r="V47" s="30" t="s">
        <v>3</v>
      </c>
      <c r="W47" s="30" t="s">
        <v>3</v>
      </c>
      <c r="X47" s="30" t="s">
        <v>3</v>
      </c>
      <c r="Y47" s="298" t="s">
        <v>3</v>
      </c>
      <c r="Z47" s="293" t="s">
        <v>452</v>
      </c>
      <c r="AA47" s="293" t="s">
        <v>452</v>
      </c>
      <c r="AB47" s="293" t="s">
        <v>452</v>
      </c>
      <c r="AC47" s="293" t="s">
        <v>452</v>
      </c>
      <c r="AD47" s="293" t="s">
        <v>452</v>
      </c>
      <c r="AE47" s="293" t="s">
        <v>452</v>
      </c>
      <c r="AF47" s="298" t="s">
        <v>3</v>
      </c>
      <c r="AG47" s="231" t="s">
        <v>3</v>
      </c>
      <c r="AH47" s="232" t="s">
        <v>3</v>
      </c>
      <c r="AI47" s="232">
        <v>5.4</v>
      </c>
      <c r="AJ47" s="316" t="s">
        <v>97</v>
      </c>
      <c r="AK47" s="314" t="s">
        <v>98</v>
      </c>
      <c r="AL47" s="21" t="s">
        <v>3</v>
      </c>
      <c r="AM47" s="115" t="s">
        <v>3</v>
      </c>
      <c r="AN47" s="115" t="s">
        <v>3</v>
      </c>
      <c r="AO47" s="115" t="s">
        <v>3</v>
      </c>
      <c r="AP47" s="115" t="s">
        <v>3</v>
      </c>
      <c r="AQ47" s="115" t="s">
        <v>3</v>
      </c>
      <c r="AR47" s="116" t="s">
        <v>3</v>
      </c>
      <c r="AS47" s="117" t="str">
        <f t="shared" si="0"/>
        <v/>
      </c>
      <c r="AT47" s="30" t="s">
        <v>203</v>
      </c>
      <c r="AU47" s="302" t="s">
        <v>3</v>
      </c>
      <c r="AV47" s="302">
        <v>37327</v>
      </c>
      <c r="AW47" s="120">
        <v>42482</v>
      </c>
      <c r="AX47" s="120">
        <v>42685</v>
      </c>
      <c r="AY47" s="328">
        <v>42230</v>
      </c>
      <c r="AZ47" s="317" t="s">
        <v>724</v>
      </c>
      <c r="BA47" s="328">
        <v>42685</v>
      </c>
      <c r="BB47" s="603" t="s">
        <v>2037</v>
      </c>
      <c r="BC47" s="394" t="s">
        <v>3</v>
      </c>
      <c r="BD47" s="394" t="s">
        <v>3</v>
      </c>
      <c r="BE47" s="173" t="s">
        <v>897</v>
      </c>
      <c r="BF47" s="406" t="s">
        <v>471</v>
      </c>
      <c r="BG47" s="396" t="s">
        <v>3</v>
      </c>
      <c r="BH47" s="394" t="s">
        <v>3</v>
      </c>
      <c r="BI47" s="402" t="s">
        <v>3</v>
      </c>
      <c r="BJ47" s="403" t="s">
        <v>3</v>
      </c>
      <c r="BK47" s="378"/>
    </row>
    <row r="48" spans="1:65" s="4" customFormat="1" ht="186.75" customHeight="1">
      <c r="A48" s="32" t="s">
        <v>529</v>
      </c>
      <c r="B48" s="95" t="s">
        <v>181</v>
      </c>
      <c r="C48" s="293" t="s">
        <v>1925</v>
      </c>
      <c r="D48" s="293" t="s">
        <v>1926</v>
      </c>
      <c r="E48" s="307">
        <v>2014</v>
      </c>
      <c r="F48" s="293" t="s">
        <v>1927</v>
      </c>
      <c r="G48" s="230" t="s">
        <v>3</v>
      </c>
      <c r="H48" s="173">
        <v>2022</v>
      </c>
      <c r="I48" s="173">
        <v>2030</v>
      </c>
      <c r="J48" s="24" t="s">
        <v>1928</v>
      </c>
      <c r="K48" s="308" t="s">
        <v>156</v>
      </c>
      <c r="L48" s="293" t="s">
        <v>360</v>
      </c>
      <c r="M48" s="293" t="s">
        <v>131</v>
      </c>
      <c r="N48" s="293" t="s">
        <v>131</v>
      </c>
      <c r="O48" s="293" t="s">
        <v>131</v>
      </c>
      <c r="P48" s="293" t="s">
        <v>131</v>
      </c>
      <c r="Q48" s="293" t="s">
        <v>131</v>
      </c>
      <c r="R48" s="309" t="s">
        <v>131</v>
      </c>
      <c r="S48" s="293" t="s">
        <v>131</v>
      </c>
      <c r="T48" s="293" t="s">
        <v>131</v>
      </c>
      <c r="U48" s="293" t="s">
        <v>131</v>
      </c>
      <c r="V48" s="293" t="s">
        <v>131</v>
      </c>
      <c r="W48" s="293" t="s">
        <v>3</v>
      </c>
      <c r="X48" s="293" t="s">
        <v>3</v>
      </c>
      <c r="Y48" s="310" t="s">
        <v>3</v>
      </c>
      <c r="Z48" s="293" t="s">
        <v>452</v>
      </c>
      <c r="AA48" s="293" t="s">
        <v>452</v>
      </c>
      <c r="AB48" s="293" t="s">
        <v>452</v>
      </c>
      <c r="AC48" s="293" t="s">
        <v>452</v>
      </c>
      <c r="AD48" s="293" t="s">
        <v>452</v>
      </c>
      <c r="AE48" s="293" t="s">
        <v>452</v>
      </c>
      <c r="AF48" s="298" t="s">
        <v>3</v>
      </c>
      <c r="AG48" s="322" t="s">
        <v>1929</v>
      </c>
      <c r="AH48" s="322" t="s">
        <v>3</v>
      </c>
      <c r="AI48" s="322" t="s">
        <v>1929</v>
      </c>
      <c r="AJ48" s="312" t="s">
        <v>1929</v>
      </c>
      <c r="AK48" s="308" t="s">
        <v>3</v>
      </c>
      <c r="AL48" s="22" t="s">
        <v>1930</v>
      </c>
      <c r="AM48" s="115" t="s">
        <v>1929</v>
      </c>
      <c r="AN48" s="115" t="s">
        <v>3</v>
      </c>
      <c r="AO48" s="115" t="s">
        <v>1931</v>
      </c>
      <c r="AP48" s="115" t="s">
        <v>3</v>
      </c>
      <c r="AQ48" s="115" t="s">
        <v>3</v>
      </c>
      <c r="AR48" s="116" t="s">
        <v>3</v>
      </c>
      <c r="AS48" s="117">
        <f t="shared" si="0"/>
        <v>1</v>
      </c>
      <c r="AT48" s="30" t="s">
        <v>203</v>
      </c>
      <c r="AU48" s="302" t="s">
        <v>3</v>
      </c>
      <c r="AV48" s="302">
        <v>38377</v>
      </c>
      <c r="AW48" s="120">
        <v>42482</v>
      </c>
      <c r="AX48" s="120">
        <v>42634</v>
      </c>
      <c r="AY48" s="302">
        <v>42276</v>
      </c>
      <c r="AZ48" s="305" t="s">
        <v>780</v>
      </c>
      <c r="BA48" s="321">
        <v>44746</v>
      </c>
      <c r="BB48" s="603" t="s">
        <v>2038</v>
      </c>
      <c r="BC48" s="394" t="s">
        <v>3</v>
      </c>
      <c r="BD48" s="394" t="s">
        <v>3</v>
      </c>
      <c r="BE48" s="173" t="s">
        <v>899</v>
      </c>
      <c r="BF48" s="407" t="s">
        <v>424</v>
      </c>
      <c r="BG48" s="396" t="s">
        <v>3</v>
      </c>
      <c r="BH48" s="394" t="s">
        <v>3</v>
      </c>
      <c r="BI48" s="402" t="s">
        <v>3</v>
      </c>
      <c r="BJ48" s="403" t="s">
        <v>3</v>
      </c>
      <c r="BK48" s="378"/>
    </row>
    <row r="49" spans="1:69" ht="180" customHeight="1">
      <c r="A49" s="32" t="s">
        <v>530</v>
      </c>
      <c r="B49" s="95" t="s">
        <v>181</v>
      </c>
      <c r="C49" s="293" t="s">
        <v>1270</v>
      </c>
      <c r="D49" s="318" t="s">
        <v>1274</v>
      </c>
      <c r="E49" s="307" t="s">
        <v>1269</v>
      </c>
      <c r="F49" s="307">
        <v>2030</v>
      </c>
      <c r="G49" s="230" t="s">
        <v>3</v>
      </c>
      <c r="H49" s="173">
        <v>2021</v>
      </c>
      <c r="I49" s="173">
        <v>2030</v>
      </c>
      <c r="J49" s="24" t="s">
        <v>1273</v>
      </c>
      <c r="K49" s="338" t="s">
        <v>1278</v>
      </c>
      <c r="L49" s="293" t="s">
        <v>360</v>
      </c>
      <c r="M49" s="293" t="s">
        <v>131</v>
      </c>
      <c r="N49" s="293" t="s">
        <v>131</v>
      </c>
      <c r="O49" s="293" t="s">
        <v>131</v>
      </c>
      <c r="P49" s="293" t="s">
        <v>131</v>
      </c>
      <c r="Q49" s="293" t="s">
        <v>131</v>
      </c>
      <c r="R49" s="309" t="s">
        <v>131</v>
      </c>
      <c r="S49" s="293" t="s">
        <v>131</v>
      </c>
      <c r="T49" s="293" t="s">
        <v>131</v>
      </c>
      <c r="U49" s="293" t="s">
        <v>131</v>
      </c>
      <c r="V49" s="293" t="s">
        <v>471</v>
      </c>
      <c r="W49" s="293" t="s">
        <v>471</v>
      </c>
      <c r="X49" s="293" t="s">
        <v>1258</v>
      </c>
      <c r="Y49" s="310" t="s">
        <v>1258</v>
      </c>
      <c r="Z49" s="293">
        <v>23.3</v>
      </c>
      <c r="AA49" s="293">
        <v>10.8</v>
      </c>
      <c r="AB49" s="293">
        <v>2.9</v>
      </c>
      <c r="AC49" s="293" t="s">
        <v>3</v>
      </c>
      <c r="AD49" s="293" t="s">
        <v>3</v>
      </c>
      <c r="AE49" s="293" t="s">
        <v>3</v>
      </c>
      <c r="AF49" s="298" t="s">
        <v>3</v>
      </c>
      <c r="AG49" s="231">
        <v>8.9</v>
      </c>
      <c r="AH49" s="322">
        <v>8.6</v>
      </c>
      <c r="AI49" s="322">
        <f>AG49+AH49</f>
        <v>17.5</v>
      </c>
      <c r="AJ49" s="312" t="s">
        <v>1276</v>
      </c>
      <c r="AK49" s="308" t="s">
        <v>1277</v>
      </c>
      <c r="AL49" s="22" t="s">
        <v>1275</v>
      </c>
      <c r="AM49" s="115" t="s">
        <v>132</v>
      </c>
      <c r="AN49" s="115" t="s">
        <v>3</v>
      </c>
      <c r="AO49" s="115" t="s">
        <v>3</v>
      </c>
      <c r="AP49" s="115" t="s">
        <v>3</v>
      </c>
      <c r="AQ49" s="115" t="s">
        <v>3</v>
      </c>
      <c r="AR49" s="116" t="s">
        <v>3</v>
      </c>
      <c r="AS49" s="117">
        <f t="shared" si="0"/>
        <v>1</v>
      </c>
      <c r="AT49" s="30" t="s">
        <v>203</v>
      </c>
      <c r="AU49" s="302" t="s">
        <v>3</v>
      </c>
      <c r="AV49" s="302">
        <v>37299</v>
      </c>
      <c r="AW49" s="120">
        <v>42482</v>
      </c>
      <c r="AX49" s="120">
        <v>42999</v>
      </c>
      <c r="AY49" s="302">
        <v>42234</v>
      </c>
      <c r="AZ49" s="305" t="s">
        <v>823</v>
      </c>
      <c r="BA49" s="120">
        <v>44194</v>
      </c>
      <c r="BB49" s="603" t="s">
        <v>2039</v>
      </c>
      <c r="BC49" s="394" t="s">
        <v>3</v>
      </c>
      <c r="BD49" s="394" t="s">
        <v>3</v>
      </c>
      <c r="BE49" s="177" t="s">
        <v>909</v>
      </c>
      <c r="BF49" s="407" t="s">
        <v>860</v>
      </c>
      <c r="BG49" s="396" t="s">
        <v>3</v>
      </c>
      <c r="BH49" s="394" t="s">
        <v>3</v>
      </c>
      <c r="BI49" s="402">
        <v>2020</v>
      </c>
      <c r="BJ49" s="403">
        <v>1</v>
      </c>
      <c r="BK49"/>
      <c r="BM49"/>
    </row>
    <row r="50" spans="1:69" ht="235.2" customHeight="1">
      <c r="A50" s="32" t="s">
        <v>533</v>
      </c>
      <c r="B50" s="95" t="s">
        <v>181</v>
      </c>
      <c r="C50" s="293" t="s">
        <v>186</v>
      </c>
      <c r="D50" s="293" t="s">
        <v>1120</v>
      </c>
      <c r="E50" s="293" t="s">
        <v>874</v>
      </c>
      <c r="F50" s="307">
        <v>2025</v>
      </c>
      <c r="G50" s="230" t="s">
        <v>3</v>
      </c>
      <c r="H50" s="176">
        <v>2020</v>
      </c>
      <c r="I50" s="176">
        <v>2025</v>
      </c>
      <c r="J50" s="22" t="s">
        <v>1122</v>
      </c>
      <c r="K50" s="536" t="s">
        <v>878</v>
      </c>
      <c r="L50" s="293" t="s">
        <v>360</v>
      </c>
      <c r="M50" s="293" t="s">
        <v>131</v>
      </c>
      <c r="N50" s="293" t="s">
        <v>131</v>
      </c>
      <c r="O50" s="195" t="s">
        <v>877</v>
      </c>
      <c r="P50" s="293" t="s">
        <v>131</v>
      </c>
      <c r="Q50" s="293" t="s">
        <v>131</v>
      </c>
      <c r="R50" s="309" t="s">
        <v>875</v>
      </c>
      <c r="S50" s="293" t="s">
        <v>131</v>
      </c>
      <c r="T50" s="293" t="s">
        <v>131</v>
      </c>
      <c r="U50" s="293" t="s">
        <v>131</v>
      </c>
      <c r="V50" s="293" t="s">
        <v>3</v>
      </c>
      <c r="W50" s="293" t="s">
        <v>3</v>
      </c>
      <c r="X50" s="293" t="s">
        <v>3</v>
      </c>
      <c r="Y50" s="310" t="s">
        <v>3</v>
      </c>
      <c r="Z50" s="293">
        <v>42.4</v>
      </c>
      <c r="AA50" s="293">
        <v>23.3</v>
      </c>
      <c r="AB50" s="293">
        <v>4.9000000000000004</v>
      </c>
      <c r="AC50" s="293">
        <v>0.1</v>
      </c>
      <c r="AD50" s="293" t="s">
        <v>3</v>
      </c>
      <c r="AE50" s="293" t="s">
        <v>3</v>
      </c>
      <c r="AF50" s="298" t="s">
        <v>3</v>
      </c>
      <c r="AG50" s="322" t="s">
        <v>3</v>
      </c>
      <c r="AH50" s="322" t="s">
        <v>3</v>
      </c>
      <c r="AI50" s="322" t="s">
        <v>3</v>
      </c>
      <c r="AJ50" s="312" t="s">
        <v>876</v>
      </c>
      <c r="AK50" s="21" t="s">
        <v>3</v>
      </c>
      <c r="AL50" s="21" t="s">
        <v>3</v>
      </c>
      <c r="AM50" s="115" t="s">
        <v>3</v>
      </c>
      <c r="AN50" s="115" t="s">
        <v>3</v>
      </c>
      <c r="AO50" s="115" t="s">
        <v>3</v>
      </c>
      <c r="AP50" s="115" t="s">
        <v>3</v>
      </c>
      <c r="AQ50" s="115" t="s">
        <v>3</v>
      </c>
      <c r="AR50" s="116" t="s">
        <v>3</v>
      </c>
      <c r="AS50" s="117" t="str">
        <f t="shared" si="0"/>
        <v/>
      </c>
      <c r="AT50" s="30" t="s">
        <v>203</v>
      </c>
      <c r="AU50" s="302">
        <v>36175</v>
      </c>
      <c r="AV50" s="302">
        <v>36538</v>
      </c>
      <c r="AW50" s="120">
        <v>42577</v>
      </c>
      <c r="AX50" s="120">
        <v>42998</v>
      </c>
      <c r="AY50" s="302">
        <v>42278</v>
      </c>
      <c r="AZ50" s="305" t="s">
        <v>734</v>
      </c>
      <c r="BA50" s="303">
        <v>43553</v>
      </c>
      <c r="BB50" s="606" t="s">
        <v>2040</v>
      </c>
      <c r="BC50" s="394" t="s">
        <v>3</v>
      </c>
      <c r="BD50" s="394" t="s">
        <v>3</v>
      </c>
      <c r="BE50" s="177" t="s">
        <v>898</v>
      </c>
      <c r="BF50" s="404" t="s">
        <v>860</v>
      </c>
      <c r="BG50" s="396" t="s">
        <v>3</v>
      </c>
      <c r="BH50" s="394" t="s">
        <v>3</v>
      </c>
      <c r="BI50" s="440">
        <v>2016</v>
      </c>
      <c r="BJ50" s="447">
        <v>1</v>
      </c>
      <c r="BK50" s="283"/>
      <c r="BM50"/>
    </row>
    <row r="51" spans="1:69" ht="156" customHeight="1">
      <c r="A51" s="31" t="s">
        <v>531</v>
      </c>
      <c r="B51" s="91" t="s">
        <v>182</v>
      </c>
      <c r="C51" s="230" t="s">
        <v>1946</v>
      </c>
      <c r="D51" s="230" t="s">
        <v>1955</v>
      </c>
      <c r="E51" s="230" t="s">
        <v>1945</v>
      </c>
      <c r="F51" s="230">
        <v>2030</v>
      </c>
      <c r="G51" s="230" t="s">
        <v>3</v>
      </c>
      <c r="H51" s="176">
        <v>2015</v>
      </c>
      <c r="I51" s="176">
        <v>2030</v>
      </c>
      <c r="J51" s="320" t="s">
        <v>1948</v>
      </c>
      <c r="K51" s="314" t="s">
        <v>1950</v>
      </c>
      <c r="L51" s="30" t="s">
        <v>360</v>
      </c>
      <c r="M51" s="30" t="s">
        <v>131</v>
      </c>
      <c r="N51" s="30" t="s">
        <v>1949</v>
      </c>
      <c r="O51" s="30" t="s">
        <v>1947</v>
      </c>
      <c r="P51" s="30" t="s">
        <v>131</v>
      </c>
      <c r="Q51" s="30" t="s">
        <v>3</v>
      </c>
      <c r="R51" s="315" t="s">
        <v>131</v>
      </c>
      <c r="S51" s="30" t="s">
        <v>131</v>
      </c>
      <c r="T51" s="30" t="s">
        <v>1947</v>
      </c>
      <c r="U51" s="30" t="s">
        <v>1947</v>
      </c>
      <c r="V51" s="30" t="s">
        <v>3</v>
      </c>
      <c r="W51" s="30" t="s">
        <v>3</v>
      </c>
      <c r="X51" s="30" t="s">
        <v>3</v>
      </c>
      <c r="Y51" s="298" t="s">
        <v>3</v>
      </c>
      <c r="Z51" s="30">
        <v>236.3</v>
      </c>
      <c r="AA51" s="30">
        <v>59.1</v>
      </c>
      <c r="AB51" s="30">
        <v>25.1</v>
      </c>
      <c r="AC51" s="30">
        <v>0.5</v>
      </c>
      <c r="AD51" s="30">
        <v>0.5</v>
      </c>
      <c r="AE51" s="30">
        <v>1.4</v>
      </c>
      <c r="AF51" s="298" t="s">
        <v>3</v>
      </c>
      <c r="AG51" s="231">
        <v>196</v>
      </c>
      <c r="AH51" s="232">
        <v>50</v>
      </c>
      <c r="AI51" s="232">
        <f>SUM(AG51:AH51)</f>
        <v>246</v>
      </c>
      <c r="AJ51" s="316" t="s">
        <v>1951</v>
      </c>
      <c r="AK51" s="314" t="s">
        <v>1952</v>
      </c>
      <c r="AL51" s="22" t="s">
        <v>1953</v>
      </c>
      <c r="AM51" s="115" t="s">
        <v>1954</v>
      </c>
      <c r="AN51" s="115" t="s">
        <v>132</v>
      </c>
      <c r="AO51" s="115" t="s">
        <v>967</v>
      </c>
      <c r="AP51" s="117" t="s">
        <v>1949</v>
      </c>
      <c r="AQ51" s="115" t="s">
        <v>3</v>
      </c>
      <c r="AR51" s="116" t="s">
        <v>3</v>
      </c>
      <c r="AS51" s="117">
        <f t="shared" si="0"/>
        <v>1</v>
      </c>
      <c r="AT51" s="30" t="s">
        <v>203</v>
      </c>
      <c r="AU51" s="302">
        <v>36234</v>
      </c>
      <c r="AV51" s="302">
        <v>38364</v>
      </c>
      <c r="AW51" s="120">
        <v>42482</v>
      </c>
      <c r="AX51" s="303">
        <v>42915</v>
      </c>
      <c r="AY51" s="303">
        <v>42319</v>
      </c>
      <c r="AZ51" s="305" t="s">
        <v>715</v>
      </c>
      <c r="BA51" s="321">
        <v>44749</v>
      </c>
      <c r="BB51" s="603" t="s">
        <v>2044</v>
      </c>
      <c r="BC51" s="394" t="s">
        <v>3</v>
      </c>
      <c r="BD51" s="394" t="s">
        <v>3</v>
      </c>
      <c r="BE51" s="174" t="s">
        <v>899</v>
      </c>
      <c r="BF51" s="404" t="s">
        <v>424</v>
      </c>
      <c r="BG51" s="396" t="s">
        <v>3</v>
      </c>
      <c r="BH51" s="394" t="s">
        <v>3</v>
      </c>
      <c r="BI51" s="402">
        <v>2019</v>
      </c>
      <c r="BJ51" s="403">
        <v>1</v>
      </c>
      <c r="BK51"/>
      <c r="BM51"/>
    </row>
    <row r="52" spans="1:69" ht="138" customHeight="1">
      <c r="A52" s="32" t="s">
        <v>532</v>
      </c>
      <c r="B52" s="95" t="s">
        <v>181</v>
      </c>
      <c r="C52" s="293" t="s">
        <v>717</v>
      </c>
      <c r="D52" s="293" t="s">
        <v>1854</v>
      </c>
      <c r="E52" s="293" t="s">
        <v>727</v>
      </c>
      <c r="F52" s="293" t="s">
        <v>1853</v>
      </c>
      <c r="G52" s="230" t="s">
        <v>3</v>
      </c>
      <c r="H52" s="174" t="s">
        <v>424</v>
      </c>
      <c r="I52" s="177">
        <v>2030</v>
      </c>
      <c r="J52" s="24" t="s">
        <v>1855</v>
      </c>
      <c r="K52" s="308" t="s">
        <v>1856</v>
      </c>
      <c r="L52" s="293" t="s">
        <v>360</v>
      </c>
      <c r="M52" s="293" t="s">
        <v>131</v>
      </c>
      <c r="N52" s="293" t="s">
        <v>1842</v>
      </c>
      <c r="O52" s="293" t="s">
        <v>131</v>
      </c>
      <c r="P52" s="293" t="s">
        <v>3</v>
      </c>
      <c r="Q52" s="293" t="s">
        <v>1842</v>
      </c>
      <c r="R52" s="309" t="s">
        <v>3</v>
      </c>
      <c r="S52" s="293" t="s">
        <v>131</v>
      </c>
      <c r="T52" s="293" t="s">
        <v>1842</v>
      </c>
      <c r="U52" s="293" t="s">
        <v>1842</v>
      </c>
      <c r="V52" s="293" t="s">
        <v>3</v>
      </c>
      <c r="W52" s="293" t="s">
        <v>3</v>
      </c>
      <c r="X52" s="293" t="s">
        <v>3</v>
      </c>
      <c r="Y52" s="310" t="s">
        <v>3</v>
      </c>
      <c r="Z52" s="293">
        <v>7.3</v>
      </c>
      <c r="AA52" s="293">
        <v>2.9</v>
      </c>
      <c r="AB52" s="293">
        <v>1.2</v>
      </c>
      <c r="AC52" s="293">
        <v>0.1</v>
      </c>
      <c r="AD52" s="293" t="s">
        <v>3</v>
      </c>
      <c r="AE52" s="293" t="s">
        <v>3</v>
      </c>
      <c r="AF52" s="298" t="s">
        <v>3</v>
      </c>
      <c r="AG52" s="322" t="s">
        <v>3</v>
      </c>
      <c r="AH52" s="339" t="s">
        <v>3</v>
      </c>
      <c r="AI52" s="339" t="s">
        <v>3</v>
      </c>
      <c r="AJ52" s="312" t="s">
        <v>424</v>
      </c>
      <c r="AK52" s="308" t="s">
        <v>1857</v>
      </c>
      <c r="AL52" s="22" t="s">
        <v>1858</v>
      </c>
      <c r="AM52" s="115" t="s">
        <v>3</v>
      </c>
      <c r="AN52" s="115" t="s">
        <v>3</v>
      </c>
      <c r="AO52" s="115" t="s">
        <v>3</v>
      </c>
      <c r="AP52" s="115" t="s">
        <v>3</v>
      </c>
      <c r="AQ52" s="115" t="s">
        <v>3</v>
      </c>
      <c r="AR52" s="116" t="s">
        <v>3</v>
      </c>
      <c r="AS52" s="117" t="str">
        <f t="shared" si="0"/>
        <v/>
      </c>
      <c r="AT52" s="30" t="s">
        <v>203</v>
      </c>
      <c r="AU52" s="302">
        <v>35803</v>
      </c>
      <c r="AV52" s="302">
        <v>36129</v>
      </c>
      <c r="AW52" s="120">
        <v>42482</v>
      </c>
      <c r="AX52" s="120">
        <v>42821</v>
      </c>
      <c r="AY52" s="302">
        <v>42325</v>
      </c>
      <c r="AZ52" s="317" t="s">
        <v>714</v>
      </c>
      <c r="BA52" s="321">
        <v>44565</v>
      </c>
      <c r="BB52" s="603" t="s">
        <v>2043</v>
      </c>
      <c r="BC52" s="394" t="s">
        <v>3</v>
      </c>
      <c r="BD52" s="394" t="s">
        <v>3</v>
      </c>
      <c r="BE52" s="177" t="s">
        <v>898</v>
      </c>
      <c r="BF52" s="404" t="s">
        <v>860</v>
      </c>
      <c r="BG52" s="396" t="s">
        <v>3</v>
      </c>
      <c r="BH52" s="394" t="s">
        <v>3</v>
      </c>
      <c r="BI52" s="402">
        <v>2018</v>
      </c>
      <c r="BJ52" s="403">
        <v>1</v>
      </c>
      <c r="BK52" s="283"/>
      <c r="BM52"/>
    </row>
    <row r="53" spans="1:69" ht="120" customHeight="1">
      <c r="A53" s="31" t="s">
        <v>850</v>
      </c>
      <c r="B53" s="92" t="s">
        <v>180</v>
      </c>
      <c r="C53" s="230" t="s">
        <v>186</v>
      </c>
      <c r="D53" s="319">
        <v>0.2</v>
      </c>
      <c r="E53" s="230">
        <v>2010</v>
      </c>
      <c r="F53" s="230">
        <v>2030</v>
      </c>
      <c r="G53" s="230" t="s">
        <v>3</v>
      </c>
      <c r="H53" s="174" t="s">
        <v>424</v>
      </c>
      <c r="I53" s="174" t="s">
        <v>424</v>
      </c>
      <c r="J53" s="46" t="s">
        <v>149</v>
      </c>
      <c r="K53" s="308" t="s">
        <v>1094</v>
      </c>
      <c r="L53" s="293" t="s">
        <v>360</v>
      </c>
      <c r="M53" s="293" t="s">
        <v>131</v>
      </c>
      <c r="N53" s="293" t="s">
        <v>131</v>
      </c>
      <c r="O53" s="293" t="s">
        <v>131</v>
      </c>
      <c r="P53" s="293" t="s">
        <v>3</v>
      </c>
      <c r="Q53" s="293" t="s">
        <v>131</v>
      </c>
      <c r="R53" s="309" t="s">
        <v>131</v>
      </c>
      <c r="S53" s="30" t="s">
        <v>131</v>
      </c>
      <c r="T53" s="30" t="s">
        <v>131</v>
      </c>
      <c r="U53" s="30" t="s">
        <v>131</v>
      </c>
      <c r="V53" s="30" t="s">
        <v>3</v>
      </c>
      <c r="W53" s="30" t="s">
        <v>3</v>
      </c>
      <c r="X53" s="30" t="s">
        <v>3</v>
      </c>
      <c r="Y53" s="298" t="s">
        <v>3</v>
      </c>
      <c r="Z53" s="293" t="s">
        <v>452</v>
      </c>
      <c r="AA53" s="293" t="s">
        <v>452</v>
      </c>
      <c r="AB53" s="293" t="s">
        <v>452</v>
      </c>
      <c r="AC53" s="293" t="s">
        <v>452</v>
      </c>
      <c r="AD53" s="293" t="s">
        <v>452</v>
      </c>
      <c r="AE53" s="293" t="s">
        <v>452</v>
      </c>
      <c r="AF53" s="298" t="s">
        <v>3</v>
      </c>
      <c r="AG53" s="231">
        <v>5.9550000000000001</v>
      </c>
      <c r="AH53" s="232">
        <v>0.17100000000000001</v>
      </c>
      <c r="AI53" s="232">
        <v>6.1260000000000003</v>
      </c>
      <c r="AJ53" s="312" t="s">
        <v>173</v>
      </c>
      <c r="AK53" s="308" t="s">
        <v>3</v>
      </c>
      <c r="AL53" s="22" t="s">
        <v>150</v>
      </c>
      <c r="AM53" s="115" t="s">
        <v>132</v>
      </c>
      <c r="AN53" s="115" t="s">
        <v>3</v>
      </c>
      <c r="AO53" s="115" t="s">
        <v>3</v>
      </c>
      <c r="AP53" s="115" t="s">
        <v>3</v>
      </c>
      <c r="AQ53" s="115" t="s">
        <v>3</v>
      </c>
      <c r="AR53" s="116" t="s">
        <v>3</v>
      </c>
      <c r="AS53" s="117">
        <f t="shared" si="0"/>
        <v>1</v>
      </c>
      <c r="AT53" s="30" t="s">
        <v>203</v>
      </c>
      <c r="AU53" s="302" t="s">
        <v>3</v>
      </c>
      <c r="AV53" s="302">
        <v>36754</v>
      </c>
      <c r="AW53" s="120">
        <v>42482</v>
      </c>
      <c r="AX53" s="120">
        <v>43403</v>
      </c>
      <c r="AY53" s="303">
        <v>42268</v>
      </c>
      <c r="AZ53" s="305" t="s">
        <v>819</v>
      </c>
      <c r="BA53" s="303">
        <v>43403</v>
      </c>
      <c r="BB53" s="603" t="s">
        <v>2042</v>
      </c>
      <c r="BC53" s="394" t="s">
        <v>3</v>
      </c>
      <c r="BD53" s="394" t="s">
        <v>3</v>
      </c>
      <c r="BE53" s="177" t="s">
        <v>898</v>
      </c>
      <c r="BF53" s="404" t="s">
        <v>860</v>
      </c>
      <c r="BG53" s="396" t="s">
        <v>3</v>
      </c>
      <c r="BH53" s="394" t="s">
        <v>3</v>
      </c>
      <c r="BI53" s="402" t="s">
        <v>3</v>
      </c>
      <c r="BJ53" s="403" t="s">
        <v>3</v>
      </c>
      <c r="BK53"/>
      <c r="BM53"/>
    </row>
    <row r="54" spans="1:69" ht="216" customHeight="1">
      <c r="A54" s="31" t="s">
        <v>534</v>
      </c>
      <c r="B54" s="92" t="s">
        <v>180</v>
      </c>
      <c r="C54" s="230" t="s">
        <v>185</v>
      </c>
      <c r="D54" s="230" t="s">
        <v>1129</v>
      </c>
      <c r="E54" s="230">
        <v>2010</v>
      </c>
      <c r="F54" s="230" t="s">
        <v>1128</v>
      </c>
      <c r="G54" s="230" t="s">
        <v>3</v>
      </c>
      <c r="H54" s="230" t="s">
        <v>3</v>
      </c>
      <c r="I54" s="230">
        <v>2010</v>
      </c>
      <c r="J54" s="24" t="s">
        <v>473</v>
      </c>
      <c r="K54" s="308" t="s">
        <v>474</v>
      </c>
      <c r="L54" s="293" t="s">
        <v>472</v>
      </c>
      <c r="M54" s="293" t="s">
        <v>131</v>
      </c>
      <c r="N54" s="293" t="s">
        <v>131</v>
      </c>
      <c r="O54" s="293" t="s">
        <v>131</v>
      </c>
      <c r="P54" s="293" t="s">
        <v>131</v>
      </c>
      <c r="Q54" s="293" t="s">
        <v>131</v>
      </c>
      <c r="R54" s="309" t="s">
        <v>131</v>
      </c>
      <c r="S54" s="30" t="s">
        <v>131</v>
      </c>
      <c r="T54" s="30" t="s">
        <v>131</v>
      </c>
      <c r="U54" s="30" t="s">
        <v>131</v>
      </c>
      <c r="V54" s="30" t="s">
        <v>3</v>
      </c>
      <c r="W54" s="30" t="s">
        <v>3</v>
      </c>
      <c r="X54" s="30" t="s">
        <v>3</v>
      </c>
      <c r="Y54" s="298" t="s">
        <v>3</v>
      </c>
      <c r="Z54" s="30">
        <v>0.7</v>
      </c>
      <c r="AA54" s="30">
        <v>4</v>
      </c>
      <c r="AB54" s="30">
        <v>1.3</v>
      </c>
      <c r="AC54" s="30" t="s">
        <v>3</v>
      </c>
      <c r="AD54" s="30" t="s">
        <v>3</v>
      </c>
      <c r="AE54" s="30" t="s">
        <v>3</v>
      </c>
      <c r="AF54" s="298" t="s">
        <v>3</v>
      </c>
      <c r="AG54" s="231">
        <v>3.548</v>
      </c>
      <c r="AH54" s="232">
        <v>4.53</v>
      </c>
      <c r="AI54" s="232">
        <f>AG54+AH54</f>
        <v>8.0779999999999994</v>
      </c>
      <c r="AJ54" s="312" t="s">
        <v>177</v>
      </c>
      <c r="AK54" s="308" t="s">
        <v>103</v>
      </c>
      <c r="AL54" s="21" t="s">
        <v>3</v>
      </c>
      <c r="AM54" s="115" t="s">
        <v>3</v>
      </c>
      <c r="AN54" s="115" t="s">
        <v>3</v>
      </c>
      <c r="AO54" s="115" t="s">
        <v>3</v>
      </c>
      <c r="AP54" s="115" t="s">
        <v>3</v>
      </c>
      <c r="AQ54" s="115" t="s">
        <v>3</v>
      </c>
      <c r="AR54" s="116" t="s">
        <v>3</v>
      </c>
      <c r="AS54" s="117" t="str">
        <f t="shared" si="0"/>
        <v/>
      </c>
      <c r="AT54" s="30" t="s">
        <v>203</v>
      </c>
      <c r="AU54" s="302" t="s">
        <v>3</v>
      </c>
      <c r="AV54" s="302">
        <v>38561</v>
      </c>
      <c r="AW54" s="120">
        <v>42482</v>
      </c>
      <c r="AX54" s="120" t="s">
        <v>3</v>
      </c>
      <c r="AY54" s="325">
        <v>42271</v>
      </c>
      <c r="AZ54" s="317" t="s">
        <v>807</v>
      </c>
      <c r="BA54" s="303">
        <v>43270</v>
      </c>
      <c r="BB54" s="603" t="s">
        <v>2041</v>
      </c>
      <c r="BC54" s="394" t="s">
        <v>3</v>
      </c>
      <c r="BD54" s="394" t="s">
        <v>3</v>
      </c>
      <c r="BE54" s="174" t="s">
        <v>899</v>
      </c>
      <c r="BF54" s="404" t="s">
        <v>424</v>
      </c>
      <c r="BG54" s="396" t="s">
        <v>3</v>
      </c>
      <c r="BH54" s="394" t="s">
        <v>3</v>
      </c>
      <c r="BI54" s="402">
        <v>2021</v>
      </c>
      <c r="BJ54" s="403">
        <v>1</v>
      </c>
      <c r="BK54"/>
      <c r="BM54"/>
    </row>
    <row r="55" spans="1:69" ht="96" customHeight="1">
      <c r="A55" s="31" t="s">
        <v>2168</v>
      </c>
      <c r="B55" s="92" t="s">
        <v>180</v>
      </c>
      <c r="C55" s="230" t="s">
        <v>1717</v>
      </c>
      <c r="D55" s="230" t="s">
        <v>1716</v>
      </c>
      <c r="E55" s="337" t="s">
        <v>1715</v>
      </c>
      <c r="F55" s="337">
        <v>2030</v>
      </c>
      <c r="G55" s="230" t="s">
        <v>3</v>
      </c>
      <c r="H55" s="173">
        <v>2021</v>
      </c>
      <c r="I55" s="173">
        <v>2030</v>
      </c>
      <c r="J55" s="46" t="s">
        <v>1714</v>
      </c>
      <c r="K55" s="308" t="s">
        <v>1718</v>
      </c>
      <c r="L55" s="293" t="s">
        <v>360</v>
      </c>
      <c r="M55" s="293" t="s">
        <v>131</v>
      </c>
      <c r="N55" s="293" t="s">
        <v>131</v>
      </c>
      <c r="O55" s="293" t="s">
        <v>131</v>
      </c>
      <c r="P55" s="293" t="s">
        <v>131</v>
      </c>
      <c r="Q55" s="293" t="s">
        <v>131</v>
      </c>
      <c r="R55" s="309" t="s">
        <v>131</v>
      </c>
      <c r="S55" s="293" t="s">
        <v>131</v>
      </c>
      <c r="T55" s="293" t="s">
        <v>131</v>
      </c>
      <c r="U55" s="293" t="s">
        <v>1706</v>
      </c>
      <c r="V55" s="293" t="s">
        <v>131</v>
      </c>
      <c r="W55" s="293" t="s">
        <v>1706</v>
      </c>
      <c r="X55" s="293" t="s">
        <v>1706</v>
      </c>
      <c r="Y55" s="310" t="s">
        <v>3</v>
      </c>
      <c r="Z55" s="293" t="s">
        <v>452</v>
      </c>
      <c r="AA55" s="293" t="s">
        <v>452</v>
      </c>
      <c r="AB55" s="293" t="s">
        <v>452</v>
      </c>
      <c r="AC55" s="293" t="s">
        <v>452</v>
      </c>
      <c r="AD55" s="293" t="s">
        <v>452</v>
      </c>
      <c r="AE55" s="293" t="s">
        <v>452</v>
      </c>
      <c r="AF55" s="298" t="s">
        <v>3</v>
      </c>
      <c r="AG55" s="311" t="s">
        <v>3</v>
      </c>
      <c r="AH55" s="311" t="s">
        <v>3</v>
      </c>
      <c r="AI55" s="311" t="s">
        <v>3</v>
      </c>
      <c r="AJ55" s="312" t="s">
        <v>1719</v>
      </c>
      <c r="AK55" s="308" t="s">
        <v>3</v>
      </c>
      <c r="AL55" s="22" t="s">
        <v>1720</v>
      </c>
      <c r="AM55" s="115" t="s">
        <v>131</v>
      </c>
      <c r="AN55" s="115" t="s">
        <v>1706</v>
      </c>
      <c r="AO55" s="115" t="s">
        <v>3</v>
      </c>
      <c r="AP55" s="115" t="s">
        <v>3</v>
      </c>
      <c r="AQ55" s="115" t="s">
        <v>1706</v>
      </c>
      <c r="AR55" s="116" t="s">
        <v>3</v>
      </c>
      <c r="AS55" s="117">
        <f t="shared" si="0"/>
        <v>1</v>
      </c>
      <c r="AT55" s="30" t="s">
        <v>203</v>
      </c>
      <c r="AU55" s="302" t="s">
        <v>3</v>
      </c>
      <c r="AV55" s="302">
        <v>38730</v>
      </c>
      <c r="AW55" s="120">
        <v>42482</v>
      </c>
      <c r="AX55" s="120">
        <v>42634</v>
      </c>
      <c r="AY55" s="302">
        <v>42276</v>
      </c>
      <c r="AZ55" s="305" t="s">
        <v>784</v>
      </c>
      <c r="BA55" s="321">
        <v>44481</v>
      </c>
      <c r="BB55" s="603" t="s">
        <v>2092</v>
      </c>
      <c r="BC55" s="394" t="s">
        <v>3</v>
      </c>
      <c r="BD55" s="402" t="s">
        <v>3</v>
      </c>
      <c r="BE55" s="177" t="s">
        <v>899</v>
      </c>
      <c r="BF55" s="404" t="s">
        <v>424</v>
      </c>
      <c r="BG55" s="396" t="s">
        <v>3</v>
      </c>
      <c r="BH55" s="394" t="s">
        <v>3</v>
      </c>
      <c r="BI55" s="402" t="s">
        <v>3</v>
      </c>
      <c r="BJ55" s="403" t="s">
        <v>3</v>
      </c>
      <c r="BK55"/>
      <c r="BM55"/>
    </row>
    <row r="56" spans="1:69" ht="180" customHeight="1">
      <c r="A56" s="32" t="s">
        <v>659</v>
      </c>
      <c r="B56" s="92" t="s">
        <v>180</v>
      </c>
      <c r="C56" s="293" t="s">
        <v>185</v>
      </c>
      <c r="D56" s="318" t="s">
        <v>1451</v>
      </c>
      <c r="E56" s="293" t="s">
        <v>1</v>
      </c>
      <c r="F56" s="293">
        <v>2030</v>
      </c>
      <c r="G56" s="293" t="s">
        <v>3</v>
      </c>
      <c r="H56" s="176">
        <v>2021</v>
      </c>
      <c r="I56" s="176">
        <v>2030</v>
      </c>
      <c r="J56" s="24" t="s">
        <v>1452</v>
      </c>
      <c r="K56" s="308" t="s">
        <v>1453</v>
      </c>
      <c r="L56" s="293" t="s">
        <v>360</v>
      </c>
      <c r="M56" s="293" t="s">
        <v>131</v>
      </c>
      <c r="N56" s="293" t="s">
        <v>131</v>
      </c>
      <c r="O56" s="293" t="s">
        <v>131</v>
      </c>
      <c r="P56" s="293" t="s">
        <v>131</v>
      </c>
      <c r="Q56" s="293" t="s">
        <v>131</v>
      </c>
      <c r="R56" s="309" t="s">
        <v>131</v>
      </c>
      <c r="S56" s="30" t="s">
        <v>471</v>
      </c>
      <c r="T56" s="30" t="s">
        <v>471</v>
      </c>
      <c r="U56" s="30" t="s">
        <v>471</v>
      </c>
      <c r="V56" s="30" t="s">
        <v>3</v>
      </c>
      <c r="W56" s="30" t="s">
        <v>3</v>
      </c>
      <c r="X56" s="30" t="s">
        <v>3</v>
      </c>
      <c r="Y56" s="298" t="s">
        <v>3</v>
      </c>
      <c r="Z56" s="30">
        <v>12.4</v>
      </c>
      <c r="AA56" s="30">
        <v>101.9</v>
      </c>
      <c r="AB56" s="30">
        <v>37.799999999999997</v>
      </c>
      <c r="AC56" s="30">
        <v>0</v>
      </c>
      <c r="AD56" s="30" t="s">
        <v>3</v>
      </c>
      <c r="AE56" s="30" t="s">
        <v>3</v>
      </c>
      <c r="AF56" s="298" t="s">
        <v>3</v>
      </c>
      <c r="AG56" s="322">
        <v>275.5</v>
      </c>
      <c r="AH56" s="340">
        <v>40.5</v>
      </c>
      <c r="AI56" s="340">
        <v>316</v>
      </c>
      <c r="AJ56" s="312" t="s">
        <v>1454</v>
      </c>
      <c r="AK56" s="308" t="s">
        <v>1455</v>
      </c>
      <c r="AL56" s="22" t="s">
        <v>1456</v>
      </c>
      <c r="AM56" s="115" t="s">
        <v>131</v>
      </c>
      <c r="AN56" s="115" t="s">
        <v>3</v>
      </c>
      <c r="AO56" s="115" t="s">
        <v>1297</v>
      </c>
      <c r="AP56" s="115" t="s">
        <v>1457</v>
      </c>
      <c r="AQ56" s="115" t="s">
        <v>471</v>
      </c>
      <c r="AR56" s="300" t="s">
        <v>1458</v>
      </c>
      <c r="AS56" s="117">
        <f t="shared" si="0"/>
        <v>1</v>
      </c>
      <c r="AT56" s="30" t="s">
        <v>203</v>
      </c>
      <c r="AU56" s="302" t="s">
        <v>3</v>
      </c>
      <c r="AV56" s="302">
        <v>38456</v>
      </c>
      <c r="AW56" s="120">
        <v>42482</v>
      </c>
      <c r="AX56" s="120">
        <v>42803</v>
      </c>
      <c r="AY56" s="302">
        <v>42165</v>
      </c>
      <c r="AZ56" s="305" t="s">
        <v>836</v>
      </c>
      <c r="BA56" s="321">
        <v>44400</v>
      </c>
      <c r="BB56" s="603" t="s">
        <v>2045</v>
      </c>
      <c r="BC56" s="394" t="s">
        <v>3</v>
      </c>
      <c r="BD56" s="394" t="s">
        <v>3</v>
      </c>
      <c r="BE56" s="174" t="s">
        <v>899</v>
      </c>
      <c r="BF56" s="404" t="s">
        <v>424</v>
      </c>
      <c r="BG56" s="396" t="s">
        <v>3</v>
      </c>
      <c r="BH56" s="394" t="s">
        <v>3</v>
      </c>
      <c r="BI56" s="402" t="s">
        <v>3</v>
      </c>
      <c r="BJ56" s="403" t="s">
        <v>3</v>
      </c>
      <c r="BK56" s="4"/>
      <c r="BL56" s="378"/>
      <c r="BM56" s="378"/>
    </row>
    <row r="57" spans="1:69" ht="150" customHeight="1">
      <c r="A57" s="383" t="s">
        <v>1226</v>
      </c>
      <c r="B57" s="94" t="s">
        <v>76</v>
      </c>
      <c r="C57" s="293" t="s">
        <v>186</v>
      </c>
      <c r="D57" s="318" t="s">
        <v>1220</v>
      </c>
      <c r="E57" s="307">
        <v>1990</v>
      </c>
      <c r="F57" s="307">
        <v>2030</v>
      </c>
      <c r="G57" s="293" t="s">
        <v>3</v>
      </c>
      <c r="H57" s="177">
        <v>2021</v>
      </c>
      <c r="I57" s="177">
        <v>2030</v>
      </c>
      <c r="J57" s="24" t="s">
        <v>1221</v>
      </c>
      <c r="K57" s="308" t="s">
        <v>1222</v>
      </c>
      <c r="L57" s="293" t="s">
        <v>360</v>
      </c>
      <c r="M57" s="293" t="s">
        <v>131</v>
      </c>
      <c r="N57" s="293" t="s">
        <v>131</v>
      </c>
      <c r="O57" s="293" t="s">
        <v>131</v>
      </c>
      <c r="P57" s="293" t="s">
        <v>131</v>
      </c>
      <c r="Q57" s="293" t="s">
        <v>131</v>
      </c>
      <c r="R57" s="309" t="s">
        <v>131</v>
      </c>
      <c r="S57" s="293" t="s">
        <v>131</v>
      </c>
      <c r="T57" s="293" t="s">
        <v>131</v>
      </c>
      <c r="U57" s="293" t="s">
        <v>131</v>
      </c>
      <c r="V57" s="293" t="s">
        <v>131</v>
      </c>
      <c r="W57" s="293" t="s">
        <v>131</v>
      </c>
      <c r="X57" s="293" t="s">
        <v>131</v>
      </c>
      <c r="Y57" s="310" t="s">
        <v>131</v>
      </c>
      <c r="Z57" s="336">
        <v>3429.8</v>
      </c>
      <c r="AA57" s="336">
        <v>559.9</v>
      </c>
      <c r="AB57" s="336">
        <v>289.7</v>
      </c>
      <c r="AC57" s="336">
        <v>111.7</v>
      </c>
      <c r="AD57" s="336">
        <v>4.7</v>
      </c>
      <c r="AE57" s="336">
        <v>12.6</v>
      </c>
      <c r="AF57" s="298" t="s">
        <v>3</v>
      </c>
      <c r="AG57" s="322" t="s">
        <v>3</v>
      </c>
      <c r="AH57" s="322" t="s">
        <v>3</v>
      </c>
      <c r="AI57" s="322" t="s">
        <v>3</v>
      </c>
      <c r="AJ57" s="312" t="s">
        <v>3</v>
      </c>
      <c r="AK57" s="308" t="s">
        <v>3</v>
      </c>
      <c r="AL57" s="26" t="s">
        <v>1223</v>
      </c>
      <c r="AM57" s="115" t="s">
        <v>135</v>
      </c>
      <c r="AN57" s="117" t="s">
        <v>3</v>
      </c>
      <c r="AO57" s="115" t="s">
        <v>3</v>
      </c>
      <c r="AP57" s="115" t="s">
        <v>1224</v>
      </c>
      <c r="AQ57" s="115" t="s">
        <v>3</v>
      </c>
      <c r="AR57" s="116" t="s">
        <v>3</v>
      </c>
      <c r="AS57" s="117">
        <f t="shared" si="0"/>
        <v>1</v>
      </c>
      <c r="AT57" s="30" t="s">
        <v>205</v>
      </c>
      <c r="AU57" s="302">
        <v>35914</v>
      </c>
      <c r="AV57" s="302">
        <v>37407</v>
      </c>
      <c r="AW57" s="120">
        <v>42482</v>
      </c>
      <c r="AX57" s="303">
        <v>42648</v>
      </c>
      <c r="AY57" s="302">
        <v>42069</v>
      </c>
      <c r="AZ57" s="305" t="s">
        <v>846</v>
      </c>
      <c r="BA57" s="469">
        <v>44183</v>
      </c>
      <c r="BB57" s="603" t="s">
        <v>2046</v>
      </c>
      <c r="BC57" s="394" t="s">
        <v>3</v>
      </c>
      <c r="BD57" s="394" t="s">
        <v>3</v>
      </c>
      <c r="BE57" s="174" t="s">
        <v>899</v>
      </c>
      <c r="BF57" s="404" t="s">
        <v>424</v>
      </c>
      <c r="BG57" s="397">
        <v>2019</v>
      </c>
      <c r="BH57" s="395">
        <v>4</v>
      </c>
      <c r="BI57" s="177" t="s">
        <v>3</v>
      </c>
      <c r="BJ57" s="446" t="s">
        <v>3</v>
      </c>
      <c r="BK57" s="4"/>
      <c r="BL57" s="378"/>
      <c r="BM57" s="378"/>
      <c r="BN57" s="378"/>
      <c r="BO57" s="378"/>
      <c r="BP57" s="378"/>
      <c r="BQ57" s="378"/>
    </row>
    <row r="58" spans="1:69" ht="108" customHeight="1" outlineLevel="1">
      <c r="A58" s="383" t="s">
        <v>535</v>
      </c>
      <c r="B58" s="94" t="s">
        <v>76</v>
      </c>
      <c r="C58" s="293" t="s">
        <v>186</v>
      </c>
      <c r="D58" s="318" t="s">
        <v>1220</v>
      </c>
      <c r="E58" s="307">
        <v>1990</v>
      </c>
      <c r="F58" s="307">
        <v>2030</v>
      </c>
      <c r="G58" s="230" t="s">
        <v>3</v>
      </c>
      <c r="H58" s="176">
        <v>2021</v>
      </c>
      <c r="I58" s="176">
        <v>2030</v>
      </c>
      <c r="J58" s="24" t="s">
        <v>1221</v>
      </c>
      <c r="K58" s="308" t="s">
        <v>1222</v>
      </c>
      <c r="L58" s="293" t="s">
        <v>360</v>
      </c>
      <c r="M58" s="293" t="s">
        <v>131</v>
      </c>
      <c r="N58" s="293" t="s">
        <v>131</v>
      </c>
      <c r="O58" s="293" t="s">
        <v>131</v>
      </c>
      <c r="P58" s="293" t="s">
        <v>131</v>
      </c>
      <c r="Q58" s="293" t="s">
        <v>131</v>
      </c>
      <c r="R58" s="309" t="s">
        <v>131</v>
      </c>
      <c r="S58" s="293" t="s">
        <v>131</v>
      </c>
      <c r="T58" s="293" t="s">
        <v>131</v>
      </c>
      <c r="U58" s="293" t="s">
        <v>131</v>
      </c>
      <c r="V58" s="293" t="s">
        <v>131</v>
      </c>
      <c r="W58" s="293" t="s">
        <v>131</v>
      </c>
      <c r="X58" s="293" t="s">
        <v>131</v>
      </c>
      <c r="Y58" s="310" t="s">
        <v>131</v>
      </c>
      <c r="Z58" s="293">
        <v>67.2</v>
      </c>
      <c r="AA58" s="293">
        <v>9.8000000000000007</v>
      </c>
      <c r="AB58" s="293">
        <v>3.8</v>
      </c>
      <c r="AC58" s="293">
        <v>2.9</v>
      </c>
      <c r="AD58" s="293">
        <v>0.2</v>
      </c>
      <c r="AE58" s="293">
        <v>0.2</v>
      </c>
      <c r="AF58" s="298" t="s">
        <v>3</v>
      </c>
      <c r="AG58" s="322" t="s">
        <v>3</v>
      </c>
      <c r="AH58" s="322" t="s">
        <v>3</v>
      </c>
      <c r="AI58" s="322" t="s">
        <v>3</v>
      </c>
      <c r="AJ58" s="312" t="s">
        <v>3</v>
      </c>
      <c r="AK58" s="308" t="s">
        <v>3</v>
      </c>
      <c r="AL58" s="26" t="s">
        <v>1223</v>
      </c>
      <c r="AM58" s="115" t="s">
        <v>135</v>
      </c>
      <c r="AN58" s="117" t="s">
        <v>3</v>
      </c>
      <c r="AO58" s="115" t="s">
        <v>3</v>
      </c>
      <c r="AP58" s="115" t="s">
        <v>1224</v>
      </c>
      <c r="AQ58" s="115" t="s">
        <v>3</v>
      </c>
      <c r="AR58" s="116" t="s">
        <v>3</v>
      </c>
      <c r="AS58" s="117">
        <f t="shared" si="0"/>
        <v>1</v>
      </c>
      <c r="AT58" s="30" t="s">
        <v>205</v>
      </c>
      <c r="AU58" s="302">
        <v>35914</v>
      </c>
      <c r="AV58" s="302">
        <v>37407</v>
      </c>
      <c r="AW58" s="120">
        <v>42482</v>
      </c>
      <c r="AX58" s="303">
        <v>42648</v>
      </c>
      <c r="AY58" s="302">
        <v>42069</v>
      </c>
      <c r="AZ58" s="305" t="s">
        <v>846</v>
      </c>
      <c r="BA58" s="469">
        <v>44183</v>
      </c>
      <c r="BB58" s="603" t="s">
        <v>2046</v>
      </c>
      <c r="BC58" s="394" t="s">
        <v>3</v>
      </c>
      <c r="BD58" s="394" t="s">
        <v>3</v>
      </c>
      <c r="BE58" s="174" t="s">
        <v>899</v>
      </c>
      <c r="BF58" s="404" t="s">
        <v>424</v>
      </c>
      <c r="BG58" s="397">
        <v>2019</v>
      </c>
      <c r="BH58" s="395">
        <v>4</v>
      </c>
      <c r="BI58" s="177" t="s">
        <v>3</v>
      </c>
      <c r="BJ58" s="446" t="s">
        <v>3</v>
      </c>
      <c r="BK58"/>
      <c r="BM58"/>
    </row>
    <row r="59" spans="1:69" ht="108" customHeight="1" outlineLevel="1">
      <c r="A59" s="383" t="s">
        <v>536</v>
      </c>
      <c r="B59" s="94" t="s">
        <v>76</v>
      </c>
      <c r="C59" s="293" t="s">
        <v>186</v>
      </c>
      <c r="D59" s="318" t="s">
        <v>1220</v>
      </c>
      <c r="E59" s="307">
        <v>1990</v>
      </c>
      <c r="F59" s="307">
        <v>2030</v>
      </c>
      <c r="G59" s="230" t="s">
        <v>3</v>
      </c>
      <c r="H59" s="176">
        <v>2021</v>
      </c>
      <c r="I59" s="176">
        <v>2030</v>
      </c>
      <c r="J59" s="24" t="s">
        <v>1221</v>
      </c>
      <c r="K59" s="308" t="s">
        <v>1222</v>
      </c>
      <c r="L59" s="293" t="s">
        <v>360</v>
      </c>
      <c r="M59" s="293" t="s">
        <v>131</v>
      </c>
      <c r="N59" s="293" t="s">
        <v>131</v>
      </c>
      <c r="O59" s="293" t="s">
        <v>131</v>
      </c>
      <c r="P59" s="293" t="s">
        <v>131</v>
      </c>
      <c r="Q59" s="293" t="s">
        <v>131</v>
      </c>
      <c r="R59" s="309" t="s">
        <v>131</v>
      </c>
      <c r="S59" s="293" t="s">
        <v>131</v>
      </c>
      <c r="T59" s="293" t="s">
        <v>131</v>
      </c>
      <c r="U59" s="293" t="s">
        <v>131</v>
      </c>
      <c r="V59" s="293" t="s">
        <v>131</v>
      </c>
      <c r="W59" s="293" t="s">
        <v>131</v>
      </c>
      <c r="X59" s="293" t="s">
        <v>131</v>
      </c>
      <c r="Y59" s="310" t="s">
        <v>131</v>
      </c>
      <c r="Z59" s="293">
        <v>100</v>
      </c>
      <c r="AA59" s="293">
        <v>17</v>
      </c>
      <c r="AB59" s="293">
        <v>8.5</v>
      </c>
      <c r="AC59" s="293">
        <v>2.9</v>
      </c>
      <c r="AD59" s="293">
        <v>0</v>
      </c>
      <c r="AE59" s="293">
        <v>0.1</v>
      </c>
      <c r="AF59" s="298" t="s">
        <v>3</v>
      </c>
      <c r="AG59" s="322" t="s">
        <v>3</v>
      </c>
      <c r="AH59" s="322" t="s">
        <v>3</v>
      </c>
      <c r="AI59" s="322" t="s">
        <v>3</v>
      </c>
      <c r="AJ59" s="312" t="s">
        <v>3</v>
      </c>
      <c r="AK59" s="308" t="s">
        <v>3</v>
      </c>
      <c r="AL59" s="26" t="s">
        <v>1223</v>
      </c>
      <c r="AM59" s="115" t="s">
        <v>135</v>
      </c>
      <c r="AN59" s="117" t="s">
        <v>3</v>
      </c>
      <c r="AO59" s="115" t="s">
        <v>3</v>
      </c>
      <c r="AP59" s="115" t="s">
        <v>1224</v>
      </c>
      <c r="AQ59" s="115" t="s">
        <v>3</v>
      </c>
      <c r="AR59" s="116" t="s">
        <v>3</v>
      </c>
      <c r="AS59" s="117">
        <f t="shared" si="0"/>
        <v>1</v>
      </c>
      <c r="AT59" s="30" t="s">
        <v>205</v>
      </c>
      <c r="AU59" s="302">
        <v>35914</v>
      </c>
      <c r="AV59" s="302">
        <v>37407</v>
      </c>
      <c r="AW59" s="120">
        <v>42482</v>
      </c>
      <c r="AX59" s="303">
        <v>42831</v>
      </c>
      <c r="AY59" s="302">
        <v>42069</v>
      </c>
      <c r="AZ59" s="305" t="s">
        <v>846</v>
      </c>
      <c r="BA59" s="469">
        <v>44183</v>
      </c>
      <c r="BB59" s="603" t="s">
        <v>2046</v>
      </c>
      <c r="BC59" s="394" t="s">
        <v>3</v>
      </c>
      <c r="BD59" s="394" t="s">
        <v>3</v>
      </c>
      <c r="BE59" s="174" t="s">
        <v>899</v>
      </c>
      <c r="BF59" s="404" t="s">
        <v>424</v>
      </c>
      <c r="BG59" s="397">
        <v>2020</v>
      </c>
      <c r="BH59" s="395">
        <v>4</v>
      </c>
      <c r="BI59" s="177" t="s">
        <v>3</v>
      </c>
      <c r="BJ59" s="446" t="s">
        <v>3</v>
      </c>
      <c r="BK59" s="378"/>
      <c r="BM59"/>
    </row>
    <row r="60" spans="1:69" ht="108" customHeight="1" outlineLevel="1">
      <c r="A60" s="383" t="s">
        <v>537</v>
      </c>
      <c r="B60" s="206" t="s">
        <v>76</v>
      </c>
      <c r="C60" s="293" t="s">
        <v>186</v>
      </c>
      <c r="D60" s="318" t="s">
        <v>1220</v>
      </c>
      <c r="E60" s="307">
        <v>1990</v>
      </c>
      <c r="F60" s="307">
        <v>2030</v>
      </c>
      <c r="G60" s="230" t="s">
        <v>3</v>
      </c>
      <c r="H60" s="176">
        <v>2021</v>
      </c>
      <c r="I60" s="176">
        <v>2030</v>
      </c>
      <c r="J60" s="24" t="s">
        <v>1221</v>
      </c>
      <c r="K60" s="308" t="s">
        <v>1222</v>
      </c>
      <c r="L60" s="293" t="s">
        <v>360</v>
      </c>
      <c r="M60" s="293" t="s">
        <v>131</v>
      </c>
      <c r="N60" s="293" t="s">
        <v>131</v>
      </c>
      <c r="O60" s="293" t="s">
        <v>131</v>
      </c>
      <c r="P60" s="293" t="s">
        <v>131</v>
      </c>
      <c r="Q60" s="293" t="s">
        <v>131</v>
      </c>
      <c r="R60" s="309" t="s">
        <v>131</v>
      </c>
      <c r="S60" s="293" t="s">
        <v>131</v>
      </c>
      <c r="T60" s="293" t="s">
        <v>131</v>
      </c>
      <c r="U60" s="293" t="s">
        <v>131</v>
      </c>
      <c r="V60" s="293" t="s">
        <v>131</v>
      </c>
      <c r="W60" s="293" t="s">
        <v>131</v>
      </c>
      <c r="X60" s="293" t="s">
        <v>131</v>
      </c>
      <c r="Y60" s="310" t="s">
        <v>131</v>
      </c>
      <c r="Z60" s="293">
        <v>48.3</v>
      </c>
      <c r="AA60" s="293">
        <v>8.6</v>
      </c>
      <c r="AB60" s="293">
        <v>2.9</v>
      </c>
      <c r="AC60" s="293">
        <v>0.6</v>
      </c>
      <c r="AD60" s="293">
        <v>0</v>
      </c>
      <c r="AE60" s="293" t="s">
        <v>3</v>
      </c>
      <c r="AF60" s="298" t="s">
        <v>3</v>
      </c>
      <c r="AG60" s="322" t="s">
        <v>3</v>
      </c>
      <c r="AH60" s="322" t="s">
        <v>3</v>
      </c>
      <c r="AI60" s="322" t="s">
        <v>3</v>
      </c>
      <c r="AJ60" s="312" t="s">
        <v>3</v>
      </c>
      <c r="AK60" s="308" t="s">
        <v>3</v>
      </c>
      <c r="AL60" s="26" t="s">
        <v>1223</v>
      </c>
      <c r="AM60" s="115" t="s">
        <v>135</v>
      </c>
      <c r="AN60" s="117" t="s">
        <v>3</v>
      </c>
      <c r="AO60" s="115" t="s">
        <v>3</v>
      </c>
      <c r="AP60" s="115" t="s">
        <v>1224</v>
      </c>
      <c r="AQ60" s="115" t="s">
        <v>3</v>
      </c>
      <c r="AR60" s="116" t="s">
        <v>3</v>
      </c>
      <c r="AS60" s="117">
        <f t="shared" si="0"/>
        <v>1</v>
      </c>
      <c r="AT60" s="30" t="s">
        <v>204</v>
      </c>
      <c r="AU60" s="302">
        <v>36056</v>
      </c>
      <c r="AV60" s="302">
        <v>37483</v>
      </c>
      <c r="AW60" s="120">
        <v>42482</v>
      </c>
      <c r="AX60" s="303">
        <v>42703</v>
      </c>
      <c r="AY60" s="302">
        <v>42069</v>
      </c>
      <c r="AZ60" s="305" t="s">
        <v>846</v>
      </c>
      <c r="BA60" s="469">
        <v>44183</v>
      </c>
      <c r="BB60" s="603" t="s">
        <v>2046</v>
      </c>
      <c r="BC60" s="394" t="s">
        <v>3</v>
      </c>
      <c r="BD60" s="394" t="s">
        <v>3</v>
      </c>
      <c r="BE60" s="174" t="s">
        <v>899</v>
      </c>
      <c r="BF60" s="404" t="s">
        <v>424</v>
      </c>
      <c r="BG60" s="397">
        <v>2019</v>
      </c>
      <c r="BH60" s="395">
        <v>4</v>
      </c>
      <c r="BI60" s="177" t="s">
        <v>3</v>
      </c>
      <c r="BJ60" s="446" t="s">
        <v>3</v>
      </c>
      <c r="BK60"/>
      <c r="BM60"/>
    </row>
    <row r="61" spans="1:69" ht="108" customHeight="1" outlineLevel="1">
      <c r="A61" s="383" t="s">
        <v>538</v>
      </c>
      <c r="B61" s="94" t="s">
        <v>76</v>
      </c>
      <c r="C61" s="293" t="s">
        <v>186</v>
      </c>
      <c r="D61" s="318" t="s">
        <v>1220</v>
      </c>
      <c r="E61" s="307">
        <v>1990</v>
      </c>
      <c r="F61" s="307">
        <v>2030</v>
      </c>
      <c r="G61" s="230" t="s">
        <v>3</v>
      </c>
      <c r="H61" s="176">
        <v>2021</v>
      </c>
      <c r="I61" s="176">
        <v>2030</v>
      </c>
      <c r="J61" s="24" t="s">
        <v>1221</v>
      </c>
      <c r="K61" s="308" t="s">
        <v>1222</v>
      </c>
      <c r="L61" s="293" t="s">
        <v>360</v>
      </c>
      <c r="M61" s="293" t="s">
        <v>131</v>
      </c>
      <c r="N61" s="293" t="s">
        <v>131</v>
      </c>
      <c r="O61" s="293" t="s">
        <v>131</v>
      </c>
      <c r="P61" s="293" t="s">
        <v>131</v>
      </c>
      <c r="Q61" s="293" t="s">
        <v>131</v>
      </c>
      <c r="R61" s="309" t="s">
        <v>131</v>
      </c>
      <c r="S61" s="293" t="s">
        <v>131</v>
      </c>
      <c r="T61" s="293" t="s">
        <v>131</v>
      </c>
      <c r="U61" s="293" t="s">
        <v>131</v>
      </c>
      <c r="V61" s="293" t="s">
        <v>131</v>
      </c>
      <c r="W61" s="293" t="s">
        <v>131</v>
      </c>
      <c r="X61" s="293" t="s">
        <v>131</v>
      </c>
      <c r="Y61" s="310" t="s">
        <v>131</v>
      </c>
      <c r="Z61" s="293">
        <v>17.8</v>
      </c>
      <c r="AA61" s="293">
        <v>4.0999999999999996</v>
      </c>
      <c r="AB61" s="293">
        <v>2.5</v>
      </c>
      <c r="AC61" s="293">
        <v>0.1</v>
      </c>
      <c r="AD61" s="293">
        <v>0</v>
      </c>
      <c r="AE61" s="293" t="s">
        <v>3</v>
      </c>
      <c r="AF61" s="298" t="s">
        <v>3</v>
      </c>
      <c r="AG61" s="322" t="s">
        <v>3</v>
      </c>
      <c r="AH61" s="322" t="s">
        <v>3</v>
      </c>
      <c r="AI61" s="322" t="s">
        <v>3</v>
      </c>
      <c r="AJ61" s="312" t="s">
        <v>3</v>
      </c>
      <c r="AK61" s="308" t="s">
        <v>3</v>
      </c>
      <c r="AL61" s="26" t="s">
        <v>1223</v>
      </c>
      <c r="AM61" s="115" t="s">
        <v>135</v>
      </c>
      <c r="AN61" s="117" t="s">
        <v>3</v>
      </c>
      <c r="AO61" s="115" t="s">
        <v>3</v>
      </c>
      <c r="AP61" s="115" t="s">
        <v>1224</v>
      </c>
      <c r="AQ61" s="115" t="s">
        <v>3</v>
      </c>
      <c r="AR61" s="116" t="s">
        <v>3</v>
      </c>
      <c r="AS61" s="117">
        <f t="shared" si="0"/>
        <v>1</v>
      </c>
      <c r="AT61" s="30" t="s">
        <v>205</v>
      </c>
      <c r="AU61" s="302">
        <v>36230</v>
      </c>
      <c r="AV61" s="302">
        <v>39232</v>
      </c>
      <c r="AW61" s="120">
        <v>42482</v>
      </c>
      <c r="AX61" s="303">
        <v>42879</v>
      </c>
      <c r="AY61" s="302">
        <v>42069</v>
      </c>
      <c r="AZ61" s="305" t="s">
        <v>846</v>
      </c>
      <c r="BA61" s="469">
        <v>44183</v>
      </c>
      <c r="BB61" s="603" t="s">
        <v>2046</v>
      </c>
      <c r="BC61" s="394" t="s">
        <v>3</v>
      </c>
      <c r="BD61" s="394" t="s">
        <v>3</v>
      </c>
      <c r="BE61" s="174" t="s">
        <v>899</v>
      </c>
      <c r="BF61" s="404" t="s">
        <v>424</v>
      </c>
      <c r="BG61" s="397">
        <v>2019</v>
      </c>
      <c r="BH61" s="395">
        <v>4</v>
      </c>
      <c r="BI61" s="177" t="s">
        <v>3</v>
      </c>
      <c r="BJ61" s="446" t="s">
        <v>3</v>
      </c>
      <c r="BK61"/>
      <c r="BM61"/>
    </row>
    <row r="62" spans="1:69" ht="108" customHeight="1" outlineLevel="1">
      <c r="A62" s="383" t="s">
        <v>539</v>
      </c>
      <c r="B62" s="94" t="s">
        <v>76</v>
      </c>
      <c r="C62" s="293" t="s">
        <v>186</v>
      </c>
      <c r="D62" s="318" t="s">
        <v>1220</v>
      </c>
      <c r="E62" s="307">
        <v>1990</v>
      </c>
      <c r="F62" s="307">
        <v>2030</v>
      </c>
      <c r="G62" s="230" t="s">
        <v>3</v>
      </c>
      <c r="H62" s="176">
        <v>2021</v>
      </c>
      <c r="I62" s="176">
        <v>2030</v>
      </c>
      <c r="J62" s="24" t="s">
        <v>1221</v>
      </c>
      <c r="K62" s="308" t="s">
        <v>1222</v>
      </c>
      <c r="L62" s="293" t="s">
        <v>360</v>
      </c>
      <c r="M62" s="293" t="s">
        <v>131</v>
      </c>
      <c r="N62" s="293" t="s">
        <v>131</v>
      </c>
      <c r="O62" s="293" t="s">
        <v>131</v>
      </c>
      <c r="P62" s="293" t="s">
        <v>131</v>
      </c>
      <c r="Q62" s="293" t="s">
        <v>131</v>
      </c>
      <c r="R62" s="309" t="s">
        <v>131</v>
      </c>
      <c r="S62" s="293" t="s">
        <v>131</v>
      </c>
      <c r="T62" s="293" t="s">
        <v>131</v>
      </c>
      <c r="U62" s="293" t="s">
        <v>131</v>
      </c>
      <c r="V62" s="293" t="s">
        <v>131</v>
      </c>
      <c r="W62" s="293" t="s">
        <v>131</v>
      </c>
      <c r="X62" s="293" t="s">
        <v>131</v>
      </c>
      <c r="Y62" s="310" t="s">
        <v>131</v>
      </c>
      <c r="Z62" s="293">
        <v>6.4</v>
      </c>
      <c r="AA62" s="293">
        <v>1.7</v>
      </c>
      <c r="AB62" s="293">
        <v>0.3</v>
      </c>
      <c r="AC62" s="293">
        <v>0.3</v>
      </c>
      <c r="AD62" s="293" t="s">
        <v>3</v>
      </c>
      <c r="AE62" s="293" t="s">
        <v>3</v>
      </c>
      <c r="AF62" s="298" t="s">
        <v>3</v>
      </c>
      <c r="AG62" s="322" t="s">
        <v>3</v>
      </c>
      <c r="AH62" s="322" t="s">
        <v>3</v>
      </c>
      <c r="AI62" s="322" t="s">
        <v>3</v>
      </c>
      <c r="AJ62" s="312" t="s">
        <v>3</v>
      </c>
      <c r="AK62" s="308" t="s">
        <v>3</v>
      </c>
      <c r="AL62" s="26" t="s">
        <v>1223</v>
      </c>
      <c r="AM62" s="115" t="s">
        <v>135</v>
      </c>
      <c r="AN62" s="117" t="s">
        <v>3</v>
      </c>
      <c r="AO62" s="115" t="s">
        <v>3</v>
      </c>
      <c r="AP62" s="115" t="s">
        <v>1224</v>
      </c>
      <c r="AQ62" s="115" t="s">
        <v>3</v>
      </c>
      <c r="AR62" s="116" t="s">
        <v>3</v>
      </c>
      <c r="AS62" s="117">
        <f t="shared" si="0"/>
        <v>1</v>
      </c>
      <c r="AT62" s="30" t="s">
        <v>205</v>
      </c>
      <c r="AU62" s="302" t="s">
        <v>3</v>
      </c>
      <c r="AV62" s="302">
        <v>36357</v>
      </c>
      <c r="AW62" s="120">
        <v>42482</v>
      </c>
      <c r="AX62" s="303">
        <v>42739</v>
      </c>
      <c r="AY62" s="302">
        <v>42069</v>
      </c>
      <c r="AZ62" s="305" t="s">
        <v>846</v>
      </c>
      <c r="BA62" s="469">
        <v>44183</v>
      </c>
      <c r="BB62" s="603" t="s">
        <v>2046</v>
      </c>
      <c r="BC62" s="394" t="s">
        <v>3</v>
      </c>
      <c r="BD62" s="394" t="s">
        <v>3</v>
      </c>
      <c r="BE62" s="174" t="s">
        <v>899</v>
      </c>
      <c r="BF62" s="404" t="s">
        <v>424</v>
      </c>
      <c r="BG62" s="397">
        <v>2020</v>
      </c>
      <c r="BH62" s="395">
        <v>4</v>
      </c>
      <c r="BI62" s="177" t="s">
        <v>3</v>
      </c>
      <c r="BJ62" s="446" t="s">
        <v>3</v>
      </c>
      <c r="BK62"/>
      <c r="BM62"/>
    </row>
    <row r="63" spans="1:69" ht="108" customHeight="1" outlineLevel="1">
      <c r="A63" s="383" t="s">
        <v>540</v>
      </c>
      <c r="B63" s="94" t="s">
        <v>76</v>
      </c>
      <c r="C63" s="293" t="s">
        <v>186</v>
      </c>
      <c r="D63" s="318" t="s">
        <v>1220</v>
      </c>
      <c r="E63" s="307">
        <v>1990</v>
      </c>
      <c r="F63" s="307">
        <v>2030</v>
      </c>
      <c r="G63" s="230" t="s">
        <v>3</v>
      </c>
      <c r="H63" s="176">
        <v>2021</v>
      </c>
      <c r="I63" s="176">
        <v>2030</v>
      </c>
      <c r="J63" s="24" t="s">
        <v>1221</v>
      </c>
      <c r="K63" s="308" t="s">
        <v>1222</v>
      </c>
      <c r="L63" s="293" t="s">
        <v>360</v>
      </c>
      <c r="M63" s="293" t="s">
        <v>131</v>
      </c>
      <c r="N63" s="293" t="s">
        <v>131</v>
      </c>
      <c r="O63" s="293" t="s">
        <v>131</v>
      </c>
      <c r="P63" s="293" t="s">
        <v>131</v>
      </c>
      <c r="Q63" s="293" t="s">
        <v>131</v>
      </c>
      <c r="R63" s="309" t="s">
        <v>131</v>
      </c>
      <c r="S63" s="293" t="s">
        <v>131</v>
      </c>
      <c r="T63" s="293" t="s">
        <v>131</v>
      </c>
      <c r="U63" s="293" t="s">
        <v>131</v>
      </c>
      <c r="V63" s="293" t="s">
        <v>131</v>
      </c>
      <c r="W63" s="293" t="s">
        <v>131</v>
      </c>
      <c r="X63" s="293" t="s">
        <v>131</v>
      </c>
      <c r="Y63" s="310" t="s">
        <v>131</v>
      </c>
      <c r="Z63" s="293">
        <v>106.7</v>
      </c>
      <c r="AA63" s="293">
        <v>12.6</v>
      </c>
      <c r="AB63" s="293">
        <v>5.9</v>
      </c>
      <c r="AC63" s="293">
        <v>1.7</v>
      </c>
      <c r="AD63" s="293">
        <v>0</v>
      </c>
      <c r="AE63" s="293">
        <v>0</v>
      </c>
      <c r="AF63" s="298" t="s">
        <v>3</v>
      </c>
      <c r="AG63" s="322" t="s">
        <v>3</v>
      </c>
      <c r="AH63" s="322" t="s">
        <v>3</v>
      </c>
      <c r="AI63" s="322" t="s">
        <v>3</v>
      </c>
      <c r="AJ63" s="312" t="s">
        <v>3</v>
      </c>
      <c r="AK63" s="308" t="s">
        <v>3</v>
      </c>
      <c r="AL63" s="26" t="s">
        <v>1223</v>
      </c>
      <c r="AM63" s="115" t="s">
        <v>135</v>
      </c>
      <c r="AN63" s="117" t="s">
        <v>3</v>
      </c>
      <c r="AO63" s="115" t="s">
        <v>3</v>
      </c>
      <c r="AP63" s="115" t="s">
        <v>1224</v>
      </c>
      <c r="AQ63" s="115" t="s">
        <v>3</v>
      </c>
      <c r="AR63" s="116" t="s">
        <v>3</v>
      </c>
      <c r="AS63" s="117">
        <f t="shared" si="0"/>
        <v>1</v>
      </c>
      <c r="AT63" s="30" t="s">
        <v>204</v>
      </c>
      <c r="AU63" s="302">
        <v>36122</v>
      </c>
      <c r="AV63" s="302">
        <v>37210</v>
      </c>
      <c r="AW63" s="120">
        <v>42482</v>
      </c>
      <c r="AX63" s="303">
        <v>43013</v>
      </c>
      <c r="AY63" s="302">
        <v>42069</v>
      </c>
      <c r="AZ63" s="305" t="s">
        <v>846</v>
      </c>
      <c r="BA63" s="469">
        <v>44183</v>
      </c>
      <c r="BB63" s="603" t="s">
        <v>2046</v>
      </c>
      <c r="BC63" s="394" t="s">
        <v>3</v>
      </c>
      <c r="BD63" s="394" t="s">
        <v>3</v>
      </c>
      <c r="BE63" s="174" t="s">
        <v>899</v>
      </c>
      <c r="BF63" s="404" t="s">
        <v>424</v>
      </c>
      <c r="BG63" s="397">
        <v>2019</v>
      </c>
      <c r="BH63" s="395">
        <v>4</v>
      </c>
      <c r="BI63" s="177" t="s">
        <v>3</v>
      </c>
      <c r="BJ63" s="446" t="s">
        <v>3</v>
      </c>
      <c r="BK63"/>
      <c r="BM63"/>
    </row>
    <row r="64" spans="1:69" ht="108" customHeight="1" outlineLevel="1">
      <c r="A64" s="383" t="s">
        <v>541</v>
      </c>
      <c r="B64" s="94" t="s">
        <v>76</v>
      </c>
      <c r="C64" s="293" t="s">
        <v>186</v>
      </c>
      <c r="D64" s="318" t="s">
        <v>1220</v>
      </c>
      <c r="E64" s="307">
        <v>1990</v>
      </c>
      <c r="F64" s="307">
        <v>2030</v>
      </c>
      <c r="G64" s="230" t="s">
        <v>3</v>
      </c>
      <c r="H64" s="176">
        <v>2021</v>
      </c>
      <c r="I64" s="176">
        <v>2030</v>
      </c>
      <c r="J64" s="24" t="s">
        <v>1221</v>
      </c>
      <c r="K64" s="308" t="s">
        <v>1222</v>
      </c>
      <c r="L64" s="293" t="s">
        <v>360</v>
      </c>
      <c r="M64" s="293" t="s">
        <v>131</v>
      </c>
      <c r="N64" s="293" t="s">
        <v>131</v>
      </c>
      <c r="O64" s="293" t="s">
        <v>131</v>
      </c>
      <c r="P64" s="293" t="s">
        <v>131</v>
      </c>
      <c r="Q64" s="293" t="s">
        <v>131</v>
      </c>
      <c r="R64" s="309" t="s">
        <v>131</v>
      </c>
      <c r="S64" s="293" t="s">
        <v>131</v>
      </c>
      <c r="T64" s="293" t="s">
        <v>131</v>
      </c>
      <c r="U64" s="293" t="s">
        <v>131</v>
      </c>
      <c r="V64" s="293" t="s">
        <v>131</v>
      </c>
      <c r="W64" s="293" t="s">
        <v>131</v>
      </c>
      <c r="X64" s="293" t="s">
        <v>131</v>
      </c>
      <c r="Y64" s="310" t="s">
        <v>131</v>
      </c>
      <c r="Z64" s="293">
        <v>33.5</v>
      </c>
      <c r="AA64" s="293">
        <v>8.9</v>
      </c>
      <c r="AB64" s="293">
        <v>5.6</v>
      </c>
      <c r="AC64" s="293">
        <v>1.9</v>
      </c>
      <c r="AD64" s="293">
        <v>0</v>
      </c>
      <c r="AE64" s="293">
        <v>0</v>
      </c>
      <c r="AF64" s="298" t="s">
        <v>3</v>
      </c>
      <c r="AG64" s="322" t="s">
        <v>3</v>
      </c>
      <c r="AH64" s="322" t="s">
        <v>3</v>
      </c>
      <c r="AI64" s="322" t="s">
        <v>3</v>
      </c>
      <c r="AJ64" s="312" t="s">
        <v>3</v>
      </c>
      <c r="AK64" s="308" t="s">
        <v>3</v>
      </c>
      <c r="AL64" s="26" t="s">
        <v>1223</v>
      </c>
      <c r="AM64" s="115" t="s">
        <v>135</v>
      </c>
      <c r="AN64" s="117" t="s">
        <v>3</v>
      </c>
      <c r="AO64" s="115" t="s">
        <v>3</v>
      </c>
      <c r="AP64" s="115" t="s">
        <v>1224</v>
      </c>
      <c r="AQ64" s="115" t="s">
        <v>3</v>
      </c>
      <c r="AR64" s="116" t="s">
        <v>3</v>
      </c>
      <c r="AS64" s="117">
        <f t="shared" si="0"/>
        <v>1</v>
      </c>
      <c r="AT64" s="30" t="s">
        <v>205</v>
      </c>
      <c r="AU64" s="302">
        <v>35914</v>
      </c>
      <c r="AV64" s="302">
        <v>37407</v>
      </c>
      <c r="AW64" s="120">
        <v>42482</v>
      </c>
      <c r="AX64" s="303">
        <v>42675</v>
      </c>
      <c r="AY64" s="302">
        <v>42069</v>
      </c>
      <c r="AZ64" s="305" t="s">
        <v>846</v>
      </c>
      <c r="BA64" s="469">
        <v>44183</v>
      </c>
      <c r="BB64" s="603" t="s">
        <v>2046</v>
      </c>
      <c r="BC64" s="394" t="s">
        <v>3</v>
      </c>
      <c r="BD64" s="394" t="s">
        <v>3</v>
      </c>
      <c r="BE64" s="174" t="s">
        <v>899</v>
      </c>
      <c r="BF64" s="404" t="s">
        <v>424</v>
      </c>
      <c r="BG64" s="397">
        <v>2019</v>
      </c>
      <c r="BH64" s="395">
        <v>4</v>
      </c>
      <c r="BI64" s="177" t="s">
        <v>3</v>
      </c>
      <c r="BJ64" s="446" t="s">
        <v>3</v>
      </c>
      <c r="BK64"/>
      <c r="BM64"/>
    </row>
    <row r="65" spans="1:65" ht="108" customHeight="1" outlineLevel="1">
      <c r="A65" s="383" t="s">
        <v>542</v>
      </c>
      <c r="B65" s="94" t="s">
        <v>76</v>
      </c>
      <c r="C65" s="293" t="s">
        <v>186</v>
      </c>
      <c r="D65" s="318" t="s">
        <v>1220</v>
      </c>
      <c r="E65" s="307">
        <v>1990</v>
      </c>
      <c r="F65" s="307">
        <v>2030</v>
      </c>
      <c r="G65" s="230" t="s">
        <v>3</v>
      </c>
      <c r="H65" s="176">
        <v>2021</v>
      </c>
      <c r="I65" s="176">
        <v>2030</v>
      </c>
      <c r="J65" s="24" t="s">
        <v>1221</v>
      </c>
      <c r="K65" s="308" t="s">
        <v>1222</v>
      </c>
      <c r="L65" s="293" t="s">
        <v>360</v>
      </c>
      <c r="M65" s="293" t="s">
        <v>131</v>
      </c>
      <c r="N65" s="293" t="s">
        <v>131</v>
      </c>
      <c r="O65" s="293" t="s">
        <v>131</v>
      </c>
      <c r="P65" s="293" t="s">
        <v>131</v>
      </c>
      <c r="Q65" s="293" t="s">
        <v>131</v>
      </c>
      <c r="R65" s="309" t="s">
        <v>131</v>
      </c>
      <c r="S65" s="293" t="s">
        <v>131</v>
      </c>
      <c r="T65" s="293" t="s">
        <v>131</v>
      </c>
      <c r="U65" s="293" t="s">
        <v>131</v>
      </c>
      <c r="V65" s="293" t="s">
        <v>131</v>
      </c>
      <c r="W65" s="293" t="s">
        <v>131</v>
      </c>
      <c r="X65" s="293" t="s">
        <v>131</v>
      </c>
      <c r="Y65" s="310" t="s">
        <v>131</v>
      </c>
      <c r="Z65" s="293">
        <v>16.5</v>
      </c>
      <c r="AA65" s="293">
        <v>2.9</v>
      </c>
      <c r="AB65" s="293">
        <v>0.8</v>
      </c>
      <c r="AC65" s="293">
        <v>0.1</v>
      </c>
      <c r="AD65" s="293">
        <v>0</v>
      </c>
      <c r="AE65" s="293">
        <v>0</v>
      </c>
      <c r="AF65" s="298" t="s">
        <v>3</v>
      </c>
      <c r="AG65" s="322" t="s">
        <v>3</v>
      </c>
      <c r="AH65" s="322" t="s">
        <v>3</v>
      </c>
      <c r="AI65" s="322" t="s">
        <v>3</v>
      </c>
      <c r="AJ65" s="312" t="s">
        <v>3</v>
      </c>
      <c r="AK65" s="308" t="s">
        <v>3</v>
      </c>
      <c r="AL65" s="26" t="s">
        <v>1223</v>
      </c>
      <c r="AM65" s="115" t="s">
        <v>135</v>
      </c>
      <c r="AN65" s="117" t="s">
        <v>3</v>
      </c>
      <c r="AO65" s="115" t="s">
        <v>3</v>
      </c>
      <c r="AP65" s="115" t="s">
        <v>1224</v>
      </c>
      <c r="AQ65" s="115" t="s">
        <v>3</v>
      </c>
      <c r="AR65" s="116" t="s">
        <v>3</v>
      </c>
      <c r="AS65" s="117">
        <f t="shared" si="0"/>
        <v>1</v>
      </c>
      <c r="AT65" s="30" t="s">
        <v>204</v>
      </c>
      <c r="AU65" s="302">
        <v>36132</v>
      </c>
      <c r="AV65" s="302">
        <v>37543</v>
      </c>
      <c r="AW65" s="120">
        <v>42482</v>
      </c>
      <c r="AX65" s="303">
        <v>42678</v>
      </c>
      <c r="AY65" s="302">
        <v>42069</v>
      </c>
      <c r="AZ65" s="305" t="s">
        <v>846</v>
      </c>
      <c r="BA65" s="469">
        <v>44183</v>
      </c>
      <c r="BB65" s="603" t="s">
        <v>2046</v>
      </c>
      <c r="BC65" s="394" t="s">
        <v>3</v>
      </c>
      <c r="BD65" s="394" t="s">
        <v>3</v>
      </c>
      <c r="BE65" s="174" t="s">
        <v>899</v>
      </c>
      <c r="BF65" s="404" t="s">
        <v>424</v>
      </c>
      <c r="BG65" s="397">
        <v>2019</v>
      </c>
      <c r="BH65" s="395">
        <v>4</v>
      </c>
      <c r="BI65" s="177" t="s">
        <v>3</v>
      </c>
      <c r="BJ65" s="446" t="s">
        <v>3</v>
      </c>
      <c r="BK65"/>
      <c r="BM65"/>
    </row>
    <row r="66" spans="1:65" ht="108" customHeight="1" outlineLevel="1">
      <c r="A66" s="383" t="s">
        <v>543</v>
      </c>
      <c r="B66" s="94" t="s">
        <v>76</v>
      </c>
      <c r="C66" s="293" t="s">
        <v>186</v>
      </c>
      <c r="D66" s="318" t="s">
        <v>1220</v>
      </c>
      <c r="E66" s="307">
        <v>1990</v>
      </c>
      <c r="F66" s="307">
        <v>2030</v>
      </c>
      <c r="G66" s="230" t="s">
        <v>3</v>
      </c>
      <c r="H66" s="176">
        <v>2021</v>
      </c>
      <c r="I66" s="176">
        <v>2030</v>
      </c>
      <c r="J66" s="24" t="s">
        <v>1221</v>
      </c>
      <c r="K66" s="308" t="s">
        <v>1222</v>
      </c>
      <c r="L66" s="293" t="s">
        <v>360</v>
      </c>
      <c r="M66" s="293" t="s">
        <v>131</v>
      </c>
      <c r="N66" s="293" t="s">
        <v>131</v>
      </c>
      <c r="O66" s="293" t="s">
        <v>131</v>
      </c>
      <c r="P66" s="293" t="s">
        <v>131</v>
      </c>
      <c r="Q66" s="293" t="s">
        <v>131</v>
      </c>
      <c r="R66" s="309" t="s">
        <v>131</v>
      </c>
      <c r="S66" s="293" t="s">
        <v>131</v>
      </c>
      <c r="T66" s="293" t="s">
        <v>131</v>
      </c>
      <c r="U66" s="293" t="s">
        <v>131</v>
      </c>
      <c r="V66" s="293" t="s">
        <v>131</v>
      </c>
      <c r="W66" s="293" t="s">
        <v>131</v>
      </c>
      <c r="X66" s="293" t="s">
        <v>131</v>
      </c>
      <c r="Y66" s="310" t="s">
        <v>131</v>
      </c>
      <c r="Z66" s="293">
        <v>44.7</v>
      </c>
      <c r="AA66" s="293">
        <v>15.6</v>
      </c>
      <c r="AB66" s="293">
        <v>6.7</v>
      </c>
      <c r="AC66" s="293">
        <v>1.2</v>
      </c>
      <c r="AD66" s="293">
        <v>0</v>
      </c>
      <c r="AE66" s="293">
        <v>0.1</v>
      </c>
      <c r="AF66" s="298" t="s">
        <v>3</v>
      </c>
      <c r="AG66" s="322" t="s">
        <v>3</v>
      </c>
      <c r="AH66" s="322" t="s">
        <v>3</v>
      </c>
      <c r="AI66" s="322" t="s">
        <v>3</v>
      </c>
      <c r="AJ66" s="312" t="s">
        <v>3</v>
      </c>
      <c r="AK66" s="308" t="s">
        <v>3</v>
      </c>
      <c r="AL66" s="26" t="s">
        <v>1223</v>
      </c>
      <c r="AM66" s="115" t="s">
        <v>135</v>
      </c>
      <c r="AN66" s="117" t="s">
        <v>3</v>
      </c>
      <c r="AO66" s="115" t="s">
        <v>3</v>
      </c>
      <c r="AP66" s="115" t="s">
        <v>1224</v>
      </c>
      <c r="AQ66" s="115" t="s">
        <v>3</v>
      </c>
      <c r="AR66" s="116" t="s">
        <v>3</v>
      </c>
      <c r="AS66" s="117">
        <f t="shared" si="0"/>
        <v>1</v>
      </c>
      <c r="AT66" s="30" t="s">
        <v>205</v>
      </c>
      <c r="AU66" s="302">
        <v>35914</v>
      </c>
      <c r="AV66" s="302">
        <v>37407</v>
      </c>
      <c r="AW66" s="120">
        <v>42482</v>
      </c>
      <c r="AX66" s="303">
        <v>42688</v>
      </c>
      <c r="AY66" s="302">
        <v>42069</v>
      </c>
      <c r="AZ66" s="305" t="s">
        <v>846</v>
      </c>
      <c r="BA66" s="469">
        <v>44183</v>
      </c>
      <c r="BB66" s="603" t="s">
        <v>2046</v>
      </c>
      <c r="BC66" s="394" t="s">
        <v>3</v>
      </c>
      <c r="BD66" s="394" t="s">
        <v>3</v>
      </c>
      <c r="BE66" s="174" t="s">
        <v>899</v>
      </c>
      <c r="BF66" s="404" t="s">
        <v>424</v>
      </c>
      <c r="BG66" s="397">
        <v>2019</v>
      </c>
      <c r="BH66" s="395">
        <v>4</v>
      </c>
      <c r="BI66" s="177" t="s">
        <v>3</v>
      </c>
      <c r="BJ66" s="446" t="s">
        <v>3</v>
      </c>
      <c r="BK66"/>
      <c r="BM66"/>
    </row>
    <row r="67" spans="1:65" ht="108" customHeight="1" outlineLevel="1">
      <c r="A67" s="383" t="s">
        <v>862</v>
      </c>
      <c r="B67" s="94" t="s">
        <v>76</v>
      </c>
      <c r="C67" s="293" t="s">
        <v>186</v>
      </c>
      <c r="D67" s="318" t="s">
        <v>1220</v>
      </c>
      <c r="E67" s="307">
        <v>1990</v>
      </c>
      <c r="F67" s="307">
        <v>2030</v>
      </c>
      <c r="G67" s="230" t="s">
        <v>3</v>
      </c>
      <c r="H67" s="176">
        <v>2010</v>
      </c>
      <c r="I67" s="176">
        <v>2030</v>
      </c>
      <c r="J67" s="24" t="s">
        <v>1221</v>
      </c>
      <c r="K67" s="308" t="s">
        <v>1222</v>
      </c>
      <c r="L67" s="293" t="s">
        <v>360</v>
      </c>
      <c r="M67" s="293" t="s">
        <v>131</v>
      </c>
      <c r="N67" s="293" t="s">
        <v>131</v>
      </c>
      <c r="O67" s="293" t="s">
        <v>131</v>
      </c>
      <c r="P67" s="293" t="s">
        <v>131</v>
      </c>
      <c r="Q67" s="293" t="s">
        <v>131</v>
      </c>
      <c r="R67" s="309" t="s">
        <v>131</v>
      </c>
      <c r="S67" s="293" t="s">
        <v>131</v>
      </c>
      <c r="T67" s="293" t="s">
        <v>131</v>
      </c>
      <c r="U67" s="293" t="s">
        <v>131</v>
      </c>
      <c r="V67" s="293" t="s">
        <v>131</v>
      </c>
      <c r="W67" s="293" t="s">
        <v>131</v>
      </c>
      <c r="X67" s="293" t="s">
        <v>131</v>
      </c>
      <c r="Y67" s="310" t="s">
        <v>131</v>
      </c>
      <c r="Z67" s="293">
        <v>325.10000000000002</v>
      </c>
      <c r="AA67" s="293">
        <v>65.8</v>
      </c>
      <c r="AB67" s="293">
        <v>47.3</v>
      </c>
      <c r="AC67" s="293">
        <v>20.3</v>
      </c>
      <c r="AD67" s="293">
        <v>0.5</v>
      </c>
      <c r="AE67" s="293">
        <v>1.8</v>
      </c>
      <c r="AF67" s="298" t="s">
        <v>3</v>
      </c>
      <c r="AG67" s="322" t="s">
        <v>3</v>
      </c>
      <c r="AH67" s="322" t="s">
        <v>3</v>
      </c>
      <c r="AI67" s="322" t="s">
        <v>3</v>
      </c>
      <c r="AJ67" s="312" t="s">
        <v>3</v>
      </c>
      <c r="AK67" s="308" t="s">
        <v>3</v>
      </c>
      <c r="AL67" s="26" t="s">
        <v>1223</v>
      </c>
      <c r="AM67" s="115" t="s">
        <v>135</v>
      </c>
      <c r="AN67" s="117" t="s">
        <v>3</v>
      </c>
      <c r="AO67" s="115" t="s">
        <v>3</v>
      </c>
      <c r="AP67" s="115" t="s">
        <v>1224</v>
      </c>
      <c r="AQ67" s="115" t="s">
        <v>3</v>
      </c>
      <c r="AR67" s="116" t="s">
        <v>3</v>
      </c>
      <c r="AS67" s="117">
        <f t="shared" si="0"/>
        <v>1</v>
      </c>
      <c r="AT67" s="30" t="s">
        <v>205</v>
      </c>
      <c r="AU67" s="302">
        <v>35914</v>
      </c>
      <c r="AV67" s="302">
        <v>37407</v>
      </c>
      <c r="AW67" s="120">
        <v>42482</v>
      </c>
      <c r="AX67" s="303">
        <v>42648</v>
      </c>
      <c r="AY67" s="302">
        <v>42069</v>
      </c>
      <c r="AZ67" s="305" t="s">
        <v>846</v>
      </c>
      <c r="BA67" s="469">
        <v>44183</v>
      </c>
      <c r="BB67" s="603" t="s">
        <v>2046</v>
      </c>
      <c r="BC67" s="394" t="s">
        <v>3</v>
      </c>
      <c r="BD67" s="394" t="s">
        <v>3</v>
      </c>
      <c r="BE67" s="174" t="s">
        <v>899</v>
      </c>
      <c r="BF67" s="404" t="s">
        <v>424</v>
      </c>
      <c r="BG67" s="397">
        <v>2020</v>
      </c>
      <c r="BH67" s="395">
        <v>4</v>
      </c>
      <c r="BI67" s="177" t="s">
        <v>3</v>
      </c>
      <c r="BJ67" s="446" t="s">
        <v>3</v>
      </c>
      <c r="BK67"/>
      <c r="BM67"/>
    </row>
    <row r="68" spans="1:65" ht="108" customHeight="1" outlineLevel="1">
      <c r="A68" s="383" t="s">
        <v>544</v>
      </c>
      <c r="B68" s="94" t="s">
        <v>76</v>
      </c>
      <c r="C68" s="293" t="s">
        <v>186</v>
      </c>
      <c r="D68" s="318" t="s">
        <v>1220</v>
      </c>
      <c r="E68" s="307">
        <v>1990</v>
      </c>
      <c r="F68" s="307">
        <v>2030</v>
      </c>
      <c r="G68" s="230" t="s">
        <v>3</v>
      </c>
      <c r="H68" s="176">
        <v>2021</v>
      </c>
      <c r="I68" s="176">
        <v>2030</v>
      </c>
      <c r="J68" s="24" t="s">
        <v>1221</v>
      </c>
      <c r="K68" s="308" t="s">
        <v>1222</v>
      </c>
      <c r="L68" s="293" t="s">
        <v>360</v>
      </c>
      <c r="M68" s="293" t="s">
        <v>131</v>
      </c>
      <c r="N68" s="293" t="s">
        <v>131</v>
      </c>
      <c r="O68" s="293" t="s">
        <v>131</v>
      </c>
      <c r="P68" s="293" t="s">
        <v>131</v>
      </c>
      <c r="Q68" s="293" t="s">
        <v>131</v>
      </c>
      <c r="R68" s="309" t="s">
        <v>131</v>
      </c>
      <c r="S68" s="293" t="s">
        <v>131</v>
      </c>
      <c r="T68" s="293" t="s">
        <v>131</v>
      </c>
      <c r="U68" s="293" t="s">
        <v>131</v>
      </c>
      <c r="V68" s="293" t="s">
        <v>131</v>
      </c>
      <c r="W68" s="293" t="s">
        <v>131</v>
      </c>
      <c r="X68" s="293" t="s">
        <v>131</v>
      </c>
      <c r="Y68" s="310" t="s">
        <v>131</v>
      </c>
      <c r="Z68" s="293">
        <v>770.9</v>
      </c>
      <c r="AA68" s="293">
        <v>67.5</v>
      </c>
      <c r="AB68" s="293">
        <v>43.2</v>
      </c>
      <c r="AC68" s="293">
        <v>21.9</v>
      </c>
      <c r="AD68" s="293">
        <v>0.9</v>
      </c>
      <c r="AE68" s="293">
        <v>7</v>
      </c>
      <c r="AF68" s="298" t="s">
        <v>3</v>
      </c>
      <c r="AG68" s="322" t="s">
        <v>3</v>
      </c>
      <c r="AH68" s="322" t="s">
        <v>3</v>
      </c>
      <c r="AI68" s="322" t="s">
        <v>3</v>
      </c>
      <c r="AJ68" s="312" t="s">
        <v>3</v>
      </c>
      <c r="AK68" s="308" t="s">
        <v>3</v>
      </c>
      <c r="AL68" s="26" t="s">
        <v>1223</v>
      </c>
      <c r="AM68" s="115" t="s">
        <v>135</v>
      </c>
      <c r="AN68" s="117" t="s">
        <v>3</v>
      </c>
      <c r="AO68" s="115" t="s">
        <v>3</v>
      </c>
      <c r="AP68" s="115" t="s">
        <v>1224</v>
      </c>
      <c r="AQ68" s="115" t="s">
        <v>3</v>
      </c>
      <c r="AR68" s="116" t="s">
        <v>3</v>
      </c>
      <c r="AS68" s="117">
        <f t="shared" si="0"/>
        <v>1</v>
      </c>
      <c r="AT68" s="30" t="s">
        <v>205</v>
      </c>
      <c r="AU68" s="302">
        <v>35914</v>
      </c>
      <c r="AV68" s="302">
        <v>37407</v>
      </c>
      <c r="AW68" s="120">
        <v>42482</v>
      </c>
      <c r="AX68" s="303">
        <v>42648</v>
      </c>
      <c r="AY68" s="302">
        <v>42069</v>
      </c>
      <c r="AZ68" s="305" t="s">
        <v>846</v>
      </c>
      <c r="BA68" s="469">
        <v>44183</v>
      </c>
      <c r="BB68" s="603" t="s">
        <v>2046</v>
      </c>
      <c r="BC68" s="394" t="s">
        <v>3</v>
      </c>
      <c r="BD68" s="394" t="s">
        <v>3</v>
      </c>
      <c r="BE68" s="174" t="s">
        <v>899</v>
      </c>
      <c r="BF68" s="404" t="s">
        <v>424</v>
      </c>
      <c r="BG68" s="397">
        <v>2019</v>
      </c>
      <c r="BH68" s="395">
        <v>4</v>
      </c>
      <c r="BI68" s="177" t="s">
        <v>3</v>
      </c>
      <c r="BJ68" s="446" t="s">
        <v>3</v>
      </c>
      <c r="BK68"/>
      <c r="BM68"/>
    </row>
    <row r="69" spans="1:65" ht="108" customHeight="1" outlineLevel="1">
      <c r="A69" s="383" t="s">
        <v>1111</v>
      </c>
      <c r="B69" s="94" t="s">
        <v>76</v>
      </c>
      <c r="C69" s="293" t="s">
        <v>186</v>
      </c>
      <c r="D69" s="318" t="s">
        <v>1220</v>
      </c>
      <c r="E69" s="307">
        <v>1990</v>
      </c>
      <c r="F69" s="307">
        <v>2030</v>
      </c>
      <c r="G69" s="230" t="s">
        <v>3</v>
      </c>
      <c r="H69" s="176">
        <v>2021</v>
      </c>
      <c r="I69" s="176">
        <v>2030</v>
      </c>
      <c r="J69" s="24" t="s">
        <v>1221</v>
      </c>
      <c r="K69" s="308" t="s">
        <v>1222</v>
      </c>
      <c r="L69" s="293" t="s">
        <v>360</v>
      </c>
      <c r="M69" s="293" t="s">
        <v>131</v>
      </c>
      <c r="N69" s="293" t="s">
        <v>131</v>
      </c>
      <c r="O69" s="293" t="s">
        <v>131</v>
      </c>
      <c r="P69" s="293" t="s">
        <v>131</v>
      </c>
      <c r="Q69" s="293" t="s">
        <v>131</v>
      </c>
      <c r="R69" s="309" t="s">
        <v>131</v>
      </c>
      <c r="S69" s="293" t="s">
        <v>131</v>
      </c>
      <c r="T69" s="293" t="s">
        <v>131</v>
      </c>
      <c r="U69" s="293" t="s">
        <v>131</v>
      </c>
      <c r="V69" s="293" t="s">
        <v>131</v>
      </c>
      <c r="W69" s="293" t="s">
        <v>131</v>
      </c>
      <c r="X69" s="293" t="s">
        <v>131</v>
      </c>
      <c r="Y69" s="310" t="s">
        <v>131</v>
      </c>
      <c r="Z69" s="293">
        <v>69.5</v>
      </c>
      <c r="AA69" s="293">
        <v>22.8</v>
      </c>
      <c r="AB69" s="293">
        <v>5.5</v>
      </c>
      <c r="AC69" s="293">
        <v>1.2</v>
      </c>
      <c r="AD69" s="293">
        <v>0.1</v>
      </c>
      <c r="AE69" s="293">
        <v>0.1</v>
      </c>
      <c r="AF69" s="298" t="s">
        <v>3</v>
      </c>
      <c r="AG69" s="322" t="s">
        <v>3</v>
      </c>
      <c r="AH69" s="322" t="s">
        <v>3</v>
      </c>
      <c r="AI69" s="322" t="s">
        <v>3</v>
      </c>
      <c r="AJ69" s="312" t="s">
        <v>3</v>
      </c>
      <c r="AK69" s="308" t="s">
        <v>3</v>
      </c>
      <c r="AL69" s="26" t="s">
        <v>1223</v>
      </c>
      <c r="AM69" s="115" t="s">
        <v>135</v>
      </c>
      <c r="AN69" s="117" t="s">
        <v>3</v>
      </c>
      <c r="AO69" s="115" t="s">
        <v>3</v>
      </c>
      <c r="AP69" s="115" t="s">
        <v>1224</v>
      </c>
      <c r="AQ69" s="115" t="s">
        <v>3</v>
      </c>
      <c r="AR69" s="116" t="s">
        <v>3</v>
      </c>
      <c r="AS69" s="117">
        <f t="shared" si="0"/>
        <v>1</v>
      </c>
      <c r="AT69" s="30" t="s">
        <v>205</v>
      </c>
      <c r="AU69" s="302">
        <v>35914</v>
      </c>
      <c r="AV69" s="302">
        <v>37407</v>
      </c>
      <c r="AW69" s="120">
        <v>42482</v>
      </c>
      <c r="AX69" s="303">
        <v>42657</v>
      </c>
      <c r="AY69" s="302">
        <v>42069</v>
      </c>
      <c r="AZ69" s="305" t="s">
        <v>846</v>
      </c>
      <c r="BA69" s="469">
        <v>44183</v>
      </c>
      <c r="BB69" s="603" t="s">
        <v>2046</v>
      </c>
      <c r="BC69" s="394" t="s">
        <v>3</v>
      </c>
      <c r="BD69" s="394" t="s">
        <v>3</v>
      </c>
      <c r="BE69" s="174" t="s">
        <v>899</v>
      </c>
      <c r="BF69" s="404" t="s">
        <v>424</v>
      </c>
      <c r="BG69" s="397">
        <v>2020</v>
      </c>
      <c r="BH69" s="395">
        <v>4</v>
      </c>
      <c r="BI69" s="177" t="s">
        <v>3</v>
      </c>
      <c r="BJ69" s="446" t="s">
        <v>3</v>
      </c>
      <c r="BK69"/>
      <c r="BM69"/>
    </row>
    <row r="70" spans="1:65" ht="108" customHeight="1" outlineLevel="1">
      <c r="A70" s="383" t="s">
        <v>545</v>
      </c>
      <c r="B70" s="94" t="s">
        <v>76</v>
      </c>
      <c r="C70" s="293" t="s">
        <v>186</v>
      </c>
      <c r="D70" s="318" t="s">
        <v>1220</v>
      </c>
      <c r="E70" s="307">
        <v>1990</v>
      </c>
      <c r="F70" s="307">
        <v>2030</v>
      </c>
      <c r="G70" s="230" t="s">
        <v>3</v>
      </c>
      <c r="H70" s="176">
        <v>2021</v>
      </c>
      <c r="I70" s="176">
        <v>2030</v>
      </c>
      <c r="J70" s="24" t="s">
        <v>1221</v>
      </c>
      <c r="K70" s="308" t="s">
        <v>1222</v>
      </c>
      <c r="L70" s="293" t="s">
        <v>360</v>
      </c>
      <c r="M70" s="293" t="s">
        <v>131</v>
      </c>
      <c r="N70" s="293" t="s">
        <v>131</v>
      </c>
      <c r="O70" s="293" t="s">
        <v>131</v>
      </c>
      <c r="P70" s="293" t="s">
        <v>131</v>
      </c>
      <c r="Q70" s="293" t="s">
        <v>131</v>
      </c>
      <c r="R70" s="309" t="s">
        <v>131</v>
      </c>
      <c r="S70" s="293" t="s">
        <v>131</v>
      </c>
      <c r="T70" s="293" t="s">
        <v>131</v>
      </c>
      <c r="U70" s="293" t="s">
        <v>131</v>
      </c>
      <c r="V70" s="293" t="s">
        <v>131</v>
      </c>
      <c r="W70" s="293" t="s">
        <v>131</v>
      </c>
      <c r="X70" s="293" t="s">
        <v>131</v>
      </c>
      <c r="Y70" s="310" t="s">
        <v>131</v>
      </c>
      <c r="Z70" s="293">
        <v>47.2</v>
      </c>
      <c r="AA70" s="293">
        <v>9.1999999999999993</v>
      </c>
      <c r="AB70" s="293">
        <v>5.8</v>
      </c>
      <c r="AC70" s="293">
        <v>1.9</v>
      </c>
      <c r="AD70" s="293">
        <v>0</v>
      </c>
      <c r="AE70" s="293">
        <v>0</v>
      </c>
      <c r="AF70" s="298" t="s">
        <v>3</v>
      </c>
      <c r="AG70" s="322" t="s">
        <v>3</v>
      </c>
      <c r="AH70" s="322" t="s">
        <v>3</v>
      </c>
      <c r="AI70" s="322" t="s">
        <v>3</v>
      </c>
      <c r="AJ70" s="312" t="s">
        <v>3</v>
      </c>
      <c r="AK70" s="308" t="s">
        <v>3</v>
      </c>
      <c r="AL70" s="26" t="s">
        <v>1223</v>
      </c>
      <c r="AM70" s="115" t="s">
        <v>135</v>
      </c>
      <c r="AN70" s="117" t="s">
        <v>3</v>
      </c>
      <c r="AO70" s="115" t="s">
        <v>3</v>
      </c>
      <c r="AP70" s="115" t="s">
        <v>1224</v>
      </c>
      <c r="AQ70" s="115" t="s">
        <v>3</v>
      </c>
      <c r="AR70" s="116" t="s">
        <v>3</v>
      </c>
      <c r="AS70" s="117">
        <f t="shared" ref="AS70:AS133" si="1">IF(COUNTIF(AM70:AR70,"&lt;&gt;*N/A*"),1,"")</f>
        <v>1</v>
      </c>
      <c r="AT70" s="30" t="s">
        <v>204</v>
      </c>
      <c r="AU70" s="302" t="s">
        <v>3</v>
      </c>
      <c r="AV70" s="302">
        <v>37489</v>
      </c>
      <c r="AW70" s="120">
        <v>42482</v>
      </c>
      <c r="AX70" s="303">
        <v>42648</v>
      </c>
      <c r="AY70" s="302">
        <v>42069</v>
      </c>
      <c r="AZ70" s="305" t="s">
        <v>846</v>
      </c>
      <c r="BA70" s="469">
        <v>44183</v>
      </c>
      <c r="BB70" s="603" t="s">
        <v>2046</v>
      </c>
      <c r="BC70" s="394" t="s">
        <v>3</v>
      </c>
      <c r="BD70" s="394" t="s">
        <v>3</v>
      </c>
      <c r="BE70" s="174" t="s">
        <v>899</v>
      </c>
      <c r="BF70" s="404" t="s">
        <v>424</v>
      </c>
      <c r="BG70" s="397">
        <v>2019</v>
      </c>
      <c r="BH70" s="395">
        <v>4</v>
      </c>
      <c r="BI70" s="177" t="s">
        <v>3</v>
      </c>
      <c r="BJ70" s="446" t="s">
        <v>3</v>
      </c>
      <c r="BK70"/>
      <c r="BM70"/>
    </row>
    <row r="71" spans="1:65" ht="108" customHeight="1" outlineLevel="1">
      <c r="A71" s="383" t="s">
        <v>546</v>
      </c>
      <c r="B71" s="94" t="s">
        <v>76</v>
      </c>
      <c r="C71" s="293" t="s">
        <v>186</v>
      </c>
      <c r="D71" s="318" t="s">
        <v>1220</v>
      </c>
      <c r="E71" s="307">
        <v>1990</v>
      </c>
      <c r="F71" s="307">
        <v>2030</v>
      </c>
      <c r="G71" s="230" t="s">
        <v>3</v>
      </c>
      <c r="H71" s="176">
        <v>2021</v>
      </c>
      <c r="I71" s="176">
        <v>2030</v>
      </c>
      <c r="J71" s="24" t="s">
        <v>1221</v>
      </c>
      <c r="K71" s="308" t="s">
        <v>1222</v>
      </c>
      <c r="L71" s="293" t="s">
        <v>360</v>
      </c>
      <c r="M71" s="293" t="s">
        <v>131</v>
      </c>
      <c r="N71" s="293" t="s">
        <v>131</v>
      </c>
      <c r="O71" s="293" t="s">
        <v>131</v>
      </c>
      <c r="P71" s="293" t="s">
        <v>131</v>
      </c>
      <c r="Q71" s="293" t="s">
        <v>131</v>
      </c>
      <c r="R71" s="309" t="s">
        <v>131</v>
      </c>
      <c r="S71" s="293" t="s">
        <v>131</v>
      </c>
      <c r="T71" s="293" t="s">
        <v>131</v>
      </c>
      <c r="U71" s="293" t="s">
        <v>131</v>
      </c>
      <c r="V71" s="293" t="s">
        <v>131</v>
      </c>
      <c r="W71" s="293" t="s">
        <v>131</v>
      </c>
      <c r="X71" s="293" t="s">
        <v>131</v>
      </c>
      <c r="Y71" s="310" t="s">
        <v>131</v>
      </c>
      <c r="Z71" s="293">
        <v>37.9</v>
      </c>
      <c r="AA71" s="293">
        <v>18.100000000000001</v>
      </c>
      <c r="AB71" s="293">
        <v>6.6</v>
      </c>
      <c r="AC71" s="293">
        <v>1.4</v>
      </c>
      <c r="AD71" s="293">
        <v>0.1</v>
      </c>
      <c r="AE71" s="293">
        <v>0.1</v>
      </c>
      <c r="AF71" s="298" t="s">
        <v>3</v>
      </c>
      <c r="AG71" s="322" t="s">
        <v>3</v>
      </c>
      <c r="AH71" s="322" t="s">
        <v>3</v>
      </c>
      <c r="AI71" s="322" t="s">
        <v>3</v>
      </c>
      <c r="AJ71" s="312" t="s">
        <v>3</v>
      </c>
      <c r="AK71" s="308" t="s">
        <v>3</v>
      </c>
      <c r="AL71" s="26" t="s">
        <v>1223</v>
      </c>
      <c r="AM71" s="115" t="s">
        <v>135</v>
      </c>
      <c r="AN71" s="117" t="s">
        <v>3</v>
      </c>
      <c r="AO71" s="115" t="s">
        <v>3</v>
      </c>
      <c r="AP71" s="115" t="s">
        <v>1224</v>
      </c>
      <c r="AQ71" s="115" t="s">
        <v>3</v>
      </c>
      <c r="AR71" s="116" t="s">
        <v>3</v>
      </c>
      <c r="AS71" s="117">
        <f t="shared" si="1"/>
        <v>1</v>
      </c>
      <c r="AT71" s="30" t="s">
        <v>205</v>
      </c>
      <c r="AU71" s="302">
        <v>35914</v>
      </c>
      <c r="AV71" s="302">
        <v>37407</v>
      </c>
      <c r="AW71" s="120">
        <v>42482</v>
      </c>
      <c r="AX71" s="303">
        <v>42678</v>
      </c>
      <c r="AY71" s="302">
        <v>42069</v>
      </c>
      <c r="AZ71" s="305" t="s">
        <v>846</v>
      </c>
      <c r="BA71" s="469">
        <v>44183</v>
      </c>
      <c r="BB71" s="603" t="s">
        <v>2046</v>
      </c>
      <c r="BC71" s="394" t="s">
        <v>3</v>
      </c>
      <c r="BD71" s="394" t="s">
        <v>3</v>
      </c>
      <c r="BE71" s="174" t="s">
        <v>899</v>
      </c>
      <c r="BF71" s="404" t="s">
        <v>424</v>
      </c>
      <c r="BG71" s="397">
        <v>2020</v>
      </c>
      <c r="BH71" s="395">
        <v>4</v>
      </c>
      <c r="BI71" s="177" t="s">
        <v>3</v>
      </c>
      <c r="BJ71" s="446" t="s">
        <v>3</v>
      </c>
      <c r="BK71"/>
      <c r="BM71"/>
    </row>
    <row r="72" spans="1:65" ht="108" customHeight="1" outlineLevel="1">
      <c r="A72" s="383" t="s">
        <v>547</v>
      </c>
      <c r="B72" s="94" t="s">
        <v>76</v>
      </c>
      <c r="C72" s="293" t="s">
        <v>186</v>
      </c>
      <c r="D72" s="318" t="s">
        <v>1220</v>
      </c>
      <c r="E72" s="307">
        <v>1990</v>
      </c>
      <c r="F72" s="307">
        <v>2030</v>
      </c>
      <c r="G72" s="230" t="s">
        <v>3</v>
      </c>
      <c r="H72" s="176">
        <v>2021</v>
      </c>
      <c r="I72" s="176">
        <v>2030</v>
      </c>
      <c r="J72" s="24" t="s">
        <v>1221</v>
      </c>
      <c r="K72" s="308" t="s">
        <v>1222</v>
      </c>
      <c r="L72" s="293" t="s">
        <v>360</v>
      </c>
      <c r="M72" s="293" t="s">
        <v>131</v>
      </c>
      <c r="N72" s="293" t="s">
        <v>131</v>
      </c>
      <c r="O72" s="293" t="s">
        <v>131</v>
      </c>
      <c r="P72" s="293" t="s">
        <v>131</v>
      </c>
      <c r="Q72" s="293" t="s">
        <v>131</v>
      </c>
      <c r="R72" s="309" t="s">
        <v>131</v>
      </c>
      <c r="S72" s="293" t="s">
        <v>131</v>
      </c>
      <c r="T72" s="293" t="s">
        <v>131</v>
      </c>
      <c r="U72" s="293" t="s">
        <v>131</v>
      </c>
      <c r="V72" s="293" t="s">
        <v>131</v>
      </c>
      <c r="W72" s="293" t="s">
        <v>131</v>
      </c>
      <c r="X72" s="293" t="s">
        <v>131</v>
      </c>
      <c r="Y72" s="310" t="s">
        <v>131</v>
      </c>
      <c r="Z72" s="293">
        <v>348</v>
      </c>
      <c r="AA72" s="293">
        <v>40.9</v>
      </c>
      <c r="AB72" s="293">
        <v>16.899999999999999</v>
      </c>
      <c r="AC72" s="293">
        <v>14</v>
      </c>
      <c r="AD72" s="293">
        <v>0.4</v>
      </c>
      <c r="AE72" s="293">
        <v>1.1000000000000001</v>
      </c>
      <c r="AF72" s="298" t="s">
        <v>3</v>
      </c>
      <c r="AG72" s="322" t="s">
        <v>3</v>
      </c>
      <c r="AH72" s="322" t="s">
        <v>3</v>
      </c>
      <c r="AI72" s="322" t="s">
        <v>3</v>
      </c>
      <c r="AJ72" s="312" t="s">
        <v>3</v>
      </c>
      <c r="AK72" s="308" t="s">
        <v>3</v>
      </c>
      <c r="AL72" s="26" t="s">
        <v>1223</v>
      </c>
      <c r="AM72" s="115" t="s">
        <v>135</v>
      </c>
      <c r="AN72" s="117" t="s">
        <v>3</v>
      </c>
      <c r="AO72" s="115" t="s">
        <v>3</v>
      </c>
      <c r="AP72" s="115" t="s">
        <v>1224</v>
      </c>
      <c r="AQ72" s="115" t="s">
        <v>3</v>
      </c>
      <c r="AR72" s="116" t="s">
        <v>3</v>
      </c>
      <c r="AS72" s="117">
        <f t="shared" si="1"/>
        <v>1</v>
      </c>
      <c r="AT72" s="30" t="s">
        <v>205</v>
      </c>
      <c r="AU72" s="302">
        <v>35914</v>
      </c>
      <c r="AV72" s="302">
        <v>37407</v>
      </c>
      <c r="AW72" s="120">
        <v>42482</v>
      </c>
      <c r="AX72" s="303">
        <v>42685</v>
      </c>
      <c r="AY72" s="302">
        <v>42069</v>
      </c>
      <c r="AZ72" s="305" t="s">
        <v>846</v>
      </c>
      <c r="BA72" s="469">
        <v>44183</v>
      </c>
      <c r="BB72" s="603" t="s">
        <v>2046</v>
      </c>
      <c r="BC72" s="394" t="s">
        <v>3</v>
      </c>
      <c r="BD72" s="394" t="s">
        <v>3</v>
      </c>
      <c r="BE72" s="174" t="s">
        <v>899</v>
      </c>
      <c r="BF72" s="404" t="s">
        <v>424</v>
      </c>
      <c r="BG72" s="397">
        <v>2019</v>
      </c>
      <c r="BH72" s="395">
        <v>4</v>
      </c>
      <c r="BI72" s="177" t="s">
        <v>3</v>
      </c>
      <c r="BJ72" s="446" t="s">
        <v>3</v>
      </c>
      <c r="BK72"/>
      <c r="BM72"/>
    </row>
    <row r="73" spans="1:65" ht="108" customHeight="1" outlineLevel="1">
      <c r="A73" s="383" t="s">
        <v>548</v>
      </c>
      <c r="B73" s="94" t="s">
        <v>76</v>
      </c>
      <c r="C73" s="293" t="s">
        <v>186</v>
      </c>
      <c r="D73" s="318" t="s">
        <v>1220</v>
      </c>
      <c r="E73" s="307">
        <v>1990</v>
      </c>
      <c r="F73" s="307">
        <v>2030</v>
      </c>
      <c r="G73" s="230" t="s">
        <v>3</v>
      </c>
      <c r="H73" s="176">
        <v>2021</v>
      </c>
      <c r="I73" s="176">
        <v>2030</v>
      </c>
      <c r="J73" s="24" t="s">
        <v>1221</v>
      </c>
      <c r="K73" s="308" t="s">
        <v>1222</v>
      </c>
      <c r="L73" s="293" t="s">
        <v>360</v>
      </c>
      <c r="M73" s="293" t="s">
        <v>131</v>
      </c>
      <c r="N73" s="293" t="s">
        <v>131</v>
      </c>
      <c r="O73" s="293" t="s">
        <v>131</v>
      </c>
      <c r="P73" s="293" t="s">
        <v>131</v>
      </c>
      <c r="Q73" s="293" t="s">
        <v>131</v>
      </c>
      <c r="R73" s="309" t="s">
        <v>131</v>
      </c>
      <c r="S73" s="293" t="s">
        <v>131</v>
      </c>
      <c r="T73" s="293" t="s">
        <v>131</v>
      </c>
      <c r="U73" s="293" t="s">
        <v>131</v>
      </c>
      <c r="V73" s="293" t="s">
        <v>131</v>
      </c>
      <c r="W73" s="293" t="s">
        <v>131</v>
      </c>
      <c r="X73" s="293" t="s">
        <v>131</v>
      </c>
      <c r="Y73" s="310" t="s">
        <v>131</v>
      </c>
      <c r="Z73" s="293">
        <v>7.6</v>
      </c>
      <c r="AA73" s="293">
        <v>2.2999999999999998</v>
      </c>
      <c r="AB73" s="293">
        <v>1.3</v>
      </c>
      <c r="AC73" s="293">
        <v>1.4</v>
      </c>
      <c r="AD73" s="293">
        <v>0</v>
      </c>
      <c r="AE73" s="293" t="s">
        <v>3</v>
      </c>
      <c r="AF73" s="298" t="s">
        <v>3</v>
      </c>
      <c r="AG73" s="322" t="s">
        <v>3</v>
      </c>
      <c r="AH73" s="322" t="s">
        <v>3</v>
      </c>
      <c r="AI73" s="322" t="s">
        <v>3</v>
      </c>
      <c r="AJ73" s="312" t="s">
        <v>3</v>
      </c>
      <c r="AK73" s="308" t="s">
        <v>3</v>
      </c>
      <c r="AL73" s="26" t="s">
        <v>1223</v>
      </c>
      <c r="AM73" s="115" t="s">
        <v>135</v>
      </c>
      <c r="AN73" s="117" t="s">
        <v>3</v>
      </c>
      <c r="AO73" s="115" t="s">
        <v>3</v>
      </c>
      <c r="AP73" s="115" t="s">
        <v>1224</v>
      </c>
      <c r="AQ73" s="115" t="s">
        <v>3</v>
      </c>
      <c r="AR73" s="116" t="s">
        <v>3</v>
      </c>
      <c r="AS73" s="117">
        <f t="shared" si="1"/>
        <v>1</v>
      </c>
      <c r="AT73" s="30" t="s">
        <v>204</v>
      </c>
      <c r="AU73" s="302">
        <v>36143</v>
      </c>
      <c r="AV73" s="302">
        <v>37442</v>
      </c>
      <c r="AW73" s="120">
        <v>42482</v>
      </c>
      <c r="AX73" s="303">
        <v>42810</v>
      </c>
      <c r="AY73" s="302">
        <v>42069</v>
      </c>
      <c r="AZ73" s="305" t="s">
        <v>846</v>
      </c>
      <c r="BA73" s="469">
        <v>44183</v>
      </c>
      <c r="BB73" s="603" t="s">
        <v>2046</v>
      </c>
      <c r="BC73" s="394" t="s">
        <v>3</v>
      </c>
      <c r="BD73" s="394" t="s">
        <v>3</v>
      </c>
      <c r="BE73" s="174" t="s">
        <v>899</v>
      </c>
      <c r="BF73" s="404" t="s">
        <v>424</v>
      </c>
      <c r="BG73" s="397">
        <v>2019</v>
      </c>
      <c r="BH73" s="395">
        <v>4</v>
      </c>
      <c r="BI73" s="177" t="s">
        <v>3</v>
      </c>
      <c r="BJ73" s="446" t="s">
        <v>3</v>
      </c>
      <c r="BK73"/>
      <c r="BM73"/>
    </row>
    <row r="74" spans="1:65" ht="108" customHeight="1" outlineLevel="1">
      <c r="A74" s="383" t="s">
        <v>549</v>
      </c>
      <c r="B74" s="94" t="s">
        <v>76</v>
      </c>
      <c r="C74" s="293" t="s">
        <v>186</v>
      </c>
      <c r="D74" s="318" t="s">
        <v>1220</v>
      </c>
      <c r="E74" s="307">
        <v>1990</v>
      </c>
      <c r="F74" s="307">
        <v>2030</v>
      </c>
      <c r="G74" s="230" t="s">
        <v>3</v>
      </c>
      <c r="H74" s="176">
        <v>2021</v>
      </c>
      <c r="I74" s="176">
        <v>2030</v>
      </c>
      <c r="J74" s="24" t="s">
        <v>1221</v>
      </c>
      <c r="K74" s="308" t="s">
        <v>1222</v>
      </c>
      <c r="L74" s="293" t="s">
        <v>360</v>
      </c>
      <c r="M74" s="293" t="s">
        <v>131</v>
      </c>
      <c r="N74" s="293" t="s">
        <v>131</v>
      </c>
      <c r="O74" s="293" t="s">
        <v>131</v>
      </c>
      <c r="P74" s="293" t="s">
        <v>131</v>
      </c>
      <c r="Q74" s="293" t="s">
        <v>131</v>
      </c>
      <c r="R74" s="309" t="s">
        <v>131</v>
      </c>
      <c r="S74" s="293" t="s">
        <v>131</v>
      </c>
      <c r="T74" s="293" t="s">
        <v>131</v>
      </c>
      <c r="U74" s="293" t="s">
        <v>131</v>
      </c>
      <c r="V74" s="293" t="s">
        <v>131</v>
      </c>
      <c r="W74" s="293" t="s">
        <v>131</v>
      </c>
      <c r="X74" s="293" t="s">
        <v>131</v>
      </c>
      <c r="Y74" s="310" t="s">
        <v>131</v>
      </c>
      <c r="Z74" s="293">
        <v>12.9</v>
      </c>
      <c r="AA74" s="293">
        <v>4.2</v>
      </c>
      <c r="AB74" s="293">
        <v>5.6</v>
      </c>
      <c r="AC74" s="293">
        <v>1.1000000000000001</v>
      </c>
      <c r="AD74" s="293">
        <v>0</v>
      </c>
      <c r="AE74" s="293" t="s">
        <v>3</v>
      </c>
      <c r="AF74" s="298" t="s">
        <v>3</v>
      </c>
      <c r="AG74" s="322" t="s">
        <v>3</v>
      </c>
      <c r="AH74" s="322" t="s">
        <v>3</v>
      </c>
      <c r="AI74" s="322" t="s">
        <v>3</v>
      </c>
      <c r="AJ74" s="312" t="s">
        <v>3</v>
      </c>
      <c r="AK74" s="308" t="s">
        <v>3</v>
      </c>
      <c r="AL74" s="26" t="s">
        <v>1223</v>
      </c>
      <c r="AM74" s="115" t="s">
        <v>135</v>
      </c>
      <c r="AN74" s="117" t="s">
        <v>3</v>
      </c>
      <c r="AO74" s="115" t="s">
        <v>3</v>
      </c>
      <c r="AP74" s="115" t="s">
        <v>1224</v>
      </c>
      <c r="AQ74" s="115" t="s">
        <v>3</v>
      </c>
      <c r="AR74" s="116" t="s">
        <v>3</v>
      </c>
      <c r="AS74" s="117">
        <f t="shared" si="1"/>
        <v>1</v>
      </c>
      <c r="AT74" s="30" t="s">
        <v>204</v>
      </c>
      <c r="AU74" s="302">
        <v>36059</v>
      </c>
      <c r="AV74" s="302">
        <v>37624</v>
      </c>
      <c r="AW74" s="120">
        <v>42482</v>
      </c>
      <c r="AX74" s="303">
        <v>42768</v>
      </c>
      <c r="AY74" s="302">
        <v>42069</v>
      </c>
      <c r="AZ74" s="305" t="s">
        <v>846</v>
      </c>
      <c r="BA74" s="469">
        <v>44183</v>
      </c>
      <c r="BB74" s="603" t="s">
        <v>2046</v>
      </c>
      <c r="BC74" s="394" t="s">
        <v>3</v>
      </c>
      <c r="BD74" s="394" t="s">
        <v>3</v>
      </c>
      <c r="BE74" s="174" t="s">
        <v>899</v>
      </c>
      <c r="BF74" s="404" t="s">
        <v>424</v>
      </c>
      <c r="BG74" s="397">
        <v>2020</v>
      </c>
      <c r="BH74" s="395">
        <v>4</v>
      </c>
      <c r="BI74" s="177" t="s">
        <v>3</v>
      </c>
      <c r="BJ74" s="446" t="s">
        <v>3</v>
      </c>
      <c r="BK74"/>
      <c r="BM74"/>
    </row>
    <row r="75" spans="1:65" ht="108" customHeight="1" outlineLevel="1">
      <c r="A75" s="383" t="s">
        <v>550</v>
      </c>
      <c r="B75" s="94" t="s">
        <v>76</v>
      </c>
      <c r="C75" s="293" t="s">
        <v>186</v>
      </c>
      <c r="D75" s="318" t="s">
        <v>1220</v>
      </c>
      <c r="E75" s="307">
        <v>1990</v>
      </c>
      <c r="F75" s="307">
        <v>2030</v>
      </c>
      <c r="G75" s="230" t="s">
        <v>3</v>
      </c>
      <c r="H75" s="176">
        <v>2021</v>
      </c>
      <c r="I75" s="176">
        <v>2030</v>
      </c>
      <c r="J75" s="24" t="s">
        <v>1221</v>
      </c>
      <c r="K75" s="308" t="s">
        <v>1222</v>
      </c>
      <c r="L75" s="293" t="s">
        <v>360</v>
      </c>
      <c r="M75" s="293" t="s">
        <v>131</v>
      </c>
      <c r="N75" s="293" t="s">
        <v>131</v>
      </c>
      <c r="O75" s="293" t="s">
        <v>131</v>
      </c>
      <c r="P75" s="293" t="s">
        <v>131</v>
      </c>
      <c r="Q75" s="293" t="s">
        <v>131</v>
      </c>
      <c r="R75" s="309" t="s">
        <v>131</v>
      </c>
      <c r="S75" s="293" t="s">
        <v>131</v>
      </c>
      <c r="T75" s="293" t="s">
        <v>131</v>
      </c>
      <c r="U75" s="293" t="s">
        <v>131</v>
      </c>
      <c r="V75" s="293" t="s">
        <v>131</v>
      </c>
      <c r="W75" s="293" t="s">
        <v>131</v>
      </c>
      <c r="X75" s="293" t="s">
        <v>131</v>
      </c>
      <c r="Y75" s="310" t="s">
        <v>131</v>
      </c>
      <c r="Z75" s="293">
        <v>9.3000000000000007</v>
      </c>
      <c r="AA75" s="293">
        <v>0.6</v>
      </c>
      <c r="AB75" s="293">
        <v>0.3</v>
      </c>
      <c r="AC75" s="293">
        <v>0.2</v>
      </c>
      <c r="AD75" s="293">
        <v>0</v>
      </c>
      <c r="AE75" s="293" t="s">
        <v>3</v>
      </c>
      <c r="AF75" s="298" t="s">
        <v>3</v>
      </c>
      <c r="AG75" s="322" t="s">
        <v>3</v>
      </c>
      <c r="AH75" s="322" t="s">
        <v>3</v>
      </c>
      <c r="AI75" s="322" t="s">
        <v>3</v>
      </c>
      <c r="AJ75" s="312" t="s">
        <v>3</v>
      </c>
      <c r="AK75" s="308" t="s">
        <v>3</v>
      </c>
      <c r="AL75" s="26" t="s">
        <v>1223</v>
      </c>
      <c r="AM75" s="115" t="s">
        <v>135</v>
      </c>
      <c r="AN75" s="117" t="s">
        <v>3</v>
      </c>
      <c r="AO75" s="115" t="s">
        <v>3</v>
      </c>
      <c r="AP75" s="115" t="s">
        <v>1224</v>
      </c>
      <c r="AQ75" s="115" t="s">
        <v>3</v>
      </c>
      <c r="AR75" s="116" t="s">
        <v>3</v>
      </c>
      <c r="AS75" s="117">
        <f t="shared" si="1"/>
        <v>1</v>
      </c>
      <c r="AT75" s="30" t="s">
        <v>205</v>
      </c>
      <c r="AU75" s="302">
        <v>35914</v>
      </c>
      <c r="AV75" s="302">
        <v>37407</v>
      </c>
      <c r="AW75" s="120">
        <v>42482</v>
      </c>
      <c r="AX75" s="303">
        <v>42678</v>
      </c>
      <c r="AY75" s="302">
        <v>42069</v>
      </c>
      <c r="AZ75" s="305" t="s">
        <v>846</v>
      </c>
      <c r="BA75" s="469">
        <v>44183</v>
      </c>
      <c r="BB75" s="603" t="s">
        <v>2046</v>
      </c>
      <c r="BC75" s="394" t="s">
        <v>3</v>
      </c>
      <c r="BD75" s="394" t="s">
        <v>3</v>
      </c>
      <c r="BE75" s="174" t="s">
        <v>899</v>
      </c>
      <c r="BF75" s="404" t="s">
        <v>424</v>
      </c>
      <c r="BG75" s="397">
        <v>2020</v>
      </c>
      <c r="BH75" s="395">
        <v>4</v>
      </c>
      <c r="BI75" s="177" t="s">
        <v>3</v>
      </c>
      <c r="BJ75" s="446" t="s">
        <v>3</v>
      </c>
      <c r="BK75"/>
      <c r="BM75"/>
    </row>
    <row r="76" spans="1:65" ht="229.5" customHeight="1" outlineLevel="1">
      <c r="A76" s="383" t="s">
        <v>551</v>
      </c>
      <c r="B76" s="94" t="s">
        <v>76</v>
      </c>
      <c r="C76" s="293" t="s">
        <v>186</v>
      </c>
      <c r="D76" s="318" t="s">
        <v>1220</v>
      </c>
      <c r="E76" s="307">
        <v>1990</v>
      </c>
      <c r="F76" s="307">
        <v>2030</v>
      </c>
      <c r="G76" s="230" t="s">
        <v>3</v>
      </c>
      <c r="H76" s="176">
        <v>2021</v>
      </c>
      <c r="I76" s="176">
        <v>2030</v>
      </c>
      <c r="J76" s="24" t="s">
        <v>1221</v>
      </c>
      <c r="K76" s="308" t="s">
        <v>1222</v>
      </c>
      <c r="L76" s="293" t="s">
        <v>360</v>
      </c>
      <c r="M76" s="293" t="s">
        <v>131</v>
      </c>
      <c r="N76" s="293" t="s">
        <v>131</v>
      </c>
      <c r="O76" s="293" t="s">
        <v>131</v>
      </c>
      <c r="P76" s="293" t="s">
        <v>131</v>
      </c>
      <c r="Q76" s="293" t="s">
        <v>131</v>
      </c>
      <c r="R76" s="309" t="s">
        <v>131</v>
      </c>
      <c r="S76" s="293" t="s">
        <v>131</v>
      </c>
      <c r="T76" s="293" t="s">
        <v>131</v>
      </c>
      <c r="U76" s="293" t="s">
        <v>131</v>
      </c>
      <c r="V76" s="293" t="s">
        <v>131</v>
      </c>
      <c r="W76" s="293" t="s">
        <v>131</v>
      </c>
      <c r="X76" s="293" t="s">
        <v>131</v>
      </c>
      <c r="Y76" s="310" t="s">
        <v>131</v>
      </c>
      <c r="Z76" s="293">
        <v>1.7</v>
      </c>
      <c r="AA76" s="293">
        <v>0.1</v>
      </c>
      <c r="AB76" s="293">
        <v>0.1</v>
      </c>
      <c r="AC76" s="293">
        <v>0.2</v>
      </c>
      <c r="AD76" s="293" t="s">
        <v>3</v>
      </c>
      <c r="AE76" s="293" t="s">
        <v>3</v>
      </c>
      <c r="AF76" s="298" t="s">
        <v>3</v>
      </c>
      <c r="AG76" s="322" t="s">
        <v>3</v>
      </c>
      <c r="AH76" s="322" t="s">
        <v>3</v>
      </c>
      <c r="AI76" s="322" t="s">
        <v>3</v>
      </c>
      <c r="AJ76" s="312" t="s">
        <v>3</v>
      </c>
      <c r="AK76" s="308" t="s">
        <v>3</v>
      </c>
      <c r="AL76" s="26" t="s">
        <v>1223</v>
      </c>
      <c r="AM76" s="115" t="s">
        <v>135</v>
      </c>
      <c r="AN76" s="117" t="s">
        <v>3</v>
      </c>
      <c r="AO76" s="115" t="s">
        <v>3</v>
      </c>
      <c r="AP76" s="115" t="s">
        <v>1224</v>
      </c>
      <c r="AQ76" s="115" t="s">
        <v>3</v>
      </c>
      <c r="AR76" s="116" t="s">
        <v>3</v>
      </c>
      <c r="AS76" s="117">
        <f t="shared" si="1"/>
        <v>1</v>
      </c>
      <c r="AT76" s="30" t="s">
        <v>205</v>
      </c>
      <c r="AU76" s="302">
        <v>35902</v>
      </c>
      <c r="AV76" s="302">
        <v>37206</v>
      </c>
      <c r="AW76" s="120">
        <v>42482</v>
      </c>
      <c r="AX76" s="303">
        <v>42648</v>
      </c>
      <c r="AY76" s="302">
        <v>42069</v>
      </c>
      <c r="AZ76" s="305" t="s">
        <v>846</v>
      </c>
      <c r="BA76" s="469">
        <v>44183</v>
      </c>
      <c r="BB76" s="603" t="s">
        <v>2046</v>
      </c>
      <c r="BC76" s="394" t="s">
        <v>3</v>
      </c>
      <c r="BD76" s="394" t="s">
        <v>3</v>
      </c>
      <c r="BE76" s="174" t="s">
        <v>899</v>
      </c>
      <c r="BF76" s="404" t="s">
        <v>424</v>
      </c>
      <c r="BG76" s="397">
        <v>2020</v>
      </c>
      <c r="BH76" s="395">
        <v>4</v>
      </c>
      <c r="BI76" s="177" t="s">
        <v>3</v>
      </c>
      <c r="BJ76" s="446" t="s">
        <v>3</v>
      </c>
      <c r="BK76"/>
      <c r="BM76"/>
    </row>
    <row r="77" spans="1:65" ht="108" customHeight="1" outlineLevel="1">
      <c r="A77" s="383" t="s">
        <v>552</v>
      </c>
      <c r="B77" s="94" t="s">
        <v>76</v>
      </c>
      <c r="C77" s="293" t="s">
        <v>186</v>
      </c>
      <c r="D77" s="318" t="s">
        <v>1220</v>
      </c>
      <c r="E77" s="307">
        <v>1990</v>
      </c>
      <c r="F77" s="307">
        <v>2030</v>
      </c>
      <c r="G77" s="230" t="s">
        <v>3</v>
      </c>
      <c r="H77" s="176">
        <v>2021</v>
      </c>
      <c r="I77" s="176">
        <v>2030</v>
      </c>
      <c r="J77" s="24" t="s">
        <v>1221</v>
      </c>
      <c r="K77" s="308" t="s">
        <v>1222</v>
      </c>
      <c r="L77" s="293" t="s">
        <v>360</v>
      </c>
      <c r="M77" s="293" t="s">
        <v>131</v>
      </c>
      <c r="N77" s="293" t="s">
        <v>131</v>
      </c>
      <c r="O77" s="293" t="s">
        <v>131</v>
      </c>
      <c r="P77" s="293" t="s">
        <v>131</v>
      </c>
      <c r="Q77" s="293" t="s">
        <v>131</v>
      </c>
      <c r="R77" s="309" t="s">
        <v>131</v>
      </c>
      <c r="S77" s="293" t="s">
        <v>131</v>
      </c>
      <c r="T77" s="293" t="s">
        <v>131</v>
      </c>
      <c r="U77" s="293" t="s">
        <v>131</v>
      </c>
      <c r="V77" s="293" t="s">
        <v>131</v>
      </c>
      <c r="W77" s="293" t="s">
        <v>131</v>
      </c>
      <c r="X77" s="293" t="s">
        <v>131</v>
      </c>
      <c r="Y77" s="310" t="s">
        <v>131</v>
      </c>
      <c r="Z77" s="293">
        <v>163.6</v>
      </c>
      <c r="AA77" s="293">
        <v>22.9</v>
      </c>
      <c r="AB77" s="293">
        <v>11.9</v>
      </c>
      <c r="AC77" s="293">
        <v>4.7</v>
      </c>
      <c r="AD77" s="293">
        <v>0.2</v>
      </c>
      <c r="AE77" s="293">
        <v>0.2</v>
      </c>
      <c r="AF77" s="298" t="s">
        <v>3</v>
      </c>
      <c r="AG77" s="322" t="s">
        <v>3</v>
      </c>
      <c r="AH77" s="322" t="s">
        <v>3</v>
      </c>
      <c r="AI77" s="322" t="s">
        <v>3</v>
      </c>
      <c r="AJ77" s="312" t="s">
        <v>3</v>
      </c>
      <c r="AK77" s="308" t="s">
        <v>3</v>
      </c>
      <c r="AL77" s="26" t="s">
        <v>1223</v>
      </c>
      <c r="AM77" s="115" t="s">
        <v>135</v>
      </c>
      <c r="AN77" s="117" t="s">
        <v>3</v>
      </c>
      <c r="AO77" s="115" t="s">
        <v>3</v>
      </c>
      <c r="AP77" s="115" t="s">
        <v>1224</v>
      </c>
      <c r="AQ77" s="115" t="s">
        <v>3</v>
      </c>
      <c r="AR77" s="116" t="s">
        <v>3</v>
      </c>
      <c r="AS77" s="117">
        <f t="shared" si="1"/>
        <v>1</v>
      </c>
      <c r="AT77" s="30" t="s">
        <v>205</v>
      </c>
      <c r="AU77" s="302">
        <v>35914</v>
      </c>
      <c r="AV77" s="302">
        <v>37407</v>
      </c>
      <c r="AW77" s="120">
        <v>42482</v>
      </c>
      <c r="AX77" s="303">
        <v>42944</v>
      </c>
      <c r="AY77" s="302">
        <v>42069</v>
      </c>
      <c r="AZ77" s="305" t="s">
        <v>846</v>
      </c>
      <c r="BA77" s="469">
        <v>44183</v>
      </c>
      <c r="BB77" s="603" t="s">
        <v>2046</v>
      </c>
      <c r="BC77" s="394" t="s">
        <v>3</v>
      </c>
      <c r="BD77" s="394" t="s">
        <v>3</v>
      </c>
      <c r="BE77" s="174" t="s">
        <v>899</v>
      </c>
      <c r="BF77" s="404" t="s">
        <v>424</v>
      </c>
      <c r="BG77" s="397">
        <v>2019</v>
      </c>
      <c r="BH77" s="395">
        <v>4</v>
      </c>
      <c r="BI77" s="177" t="s">
        <v>3</v>
      </c>
      <c r="BJ77" s="446" t="s">
        <v>3</v>
      </c>
      <c r="BK77"/>
      <c r="BM77"/>
    </row>
    <row r="78" spans="1:65" ht="58.5" customHeight="1" outlineLevel="1">
      <c r="A78" s="383" t="s">
        <v>553</v>
      </c>
      <c r="B78" s="94" t="s">
        <v>76</v>
      </c>
      <c r="C78" s="293" t="s">
        <v>186</v>
      </c>
      <c r="D78" s="318" t="s">
        <v>1220</v>
      </c>
      <c r="E78" s="307">
        <v>1990</v>
      </c>
      <c r="F78" s="307">
        <v>2030</v>
      </c>
      <c r="G78" s="230" t="s">
        <v>3</v>
      </c>
      <c r="H78" s="176">
        <v>2021</v>
      </c>
      <c r="I78" s="176">
        <v>2030</v>
      </c>
      <c r="J78" s="24" t="s">
        <v>1221</v>
      </c>
      <c r="K78" s="308" t="s">
        <v>1222</v>
      </c>
      <c r="L78" s="293" t="s">
        <v>360</v>
      </c>
      <c r="M78" s="293" t="s">
        <v>131</v>
      </c>
      <c r="N78" s="293" t="s">
        <v>131</v>
      </c>
      <c r="O78" s="293" t="s">
        <v>131</v>
      </c>
      <c r="P78" s="293" t="s">
        <v>131</v>
      </c>
      <c r="Q78" s="293" t="s">
        <v>131</v>
      </c>
      <c r="R78" s="309" t="s">
        <v>131</v>
      </c>
      <c r="S78" s="293" t="s">
        <v>131</v>
      </c>
      <c r="T78" s="293" t="s">
        <v>131</v>
      </c>
      <c r="U78" s="293" t="s">
        <v>131</v>
      </c>
      <c r="V78" s="293" t="s">
        <v>131</v>
      </c>
      <c r="W78" s="293" t="s">
        <v>131</v>
      </c>
      <c r="X78" s="293" t="s">
        <v>131</v>
      </c>
      <c r="Y78" s="310" t="s">
        <v>131</v>
      </c>
      <c r="Z78" s="293">
        <v>301.60000000000002</v>
      </c>
      <c r="AA78" s="293">
        <v>66.2</v>
      </c>
      <c r="AB78" s="293">
        <v>30.9</v>
      </c>
      <c r="AC78" s="293">
        <v>2.8</v>
      </c>
      <c r="AD78" s="293">
        <v>0.3</v>
      </c>
      <c r="AE78" s="293">
        <v>0.3</v>
      </c>
      <c r="AF78" s="298" t="s">
        <v>3</v>
      </c>
      <c r="AG78" s="322" t="s">
        <v>3</v>
      </c>
      <c r="AH78" s="322" t="s">
        <v>3</v>
      </c>
      <c r="AI78" s="322" t="s">
        <v>3</v>
      </c>
      <c r="AJ78" s="312" t="s">
        <v>3</v>
      </c>
      <c r="AK78" s="308" t="s">
        <v>3</v>
      </c>
      <c r="AL78" s="26" t="s">
        <v>1223</v>
      </c>
      <c r="AM78" s="115" t="s">
        <v>135</v>
      </c>
      <c r="AN78" s="117" t="s">
        <v>3</v>
      </c>
      <c r="AO78" s="115" t="s">
        <v>3</v>
      </c>
      <c r="AP78" s="115" t="s">
        <v>1224</v>
      </c>
      <c r="AQ78" s="115" t="s">
        <v>3</v>
      </c>
      <c r="AR78" s="116" t="s">
        <v>3</v>
      </c>
      <c r="AS78" s="117">
        <f t="shared" si="1"/>
        <v>1</v>
      </c>
      <c r="AT78" s="30" t="s">
        <v>204</v>
      </c>
      <c r="AU78" s="302">
        <v>35991</v>
      </c>
      <c r="AV78" s="302">
        <v>37603</v>
      </c>
      <c r="AW78" s="120">
        <v>42482</v>
      </c>
      <c r="AX78" s="303">
        <v>42650</v>
      </c>
      <c r="AY78" s="302">
        <v>42069</v>
      </c>
      <c r="AZ78" s="305" t="s">
        <v>846</v>
      </c>
      <c r="BA78" s="469">
        <v>44183</v>
      </c>
      <c r="BB78" s="603" t="s">
        <v>2046</v>
      </c>
      <c r="BC78" s="394" t="s">
        <v>3</v>
      </c>
      <c r="BD78" s="394" t="s">
        <v>3</v>
      </c>
      <c r="BE78" s="174" t="s">
        <v>899</v>
      </c>
      <c r="BF78" s="404" t="s">
        <v>424</v>
      </c>
      <c r="BG78" s="397">
        <v>2019</v>
      </c>
      <c r="BH78" s="395">
        <v>4</v>
      </c>
      <c r="BI78" s="177" t="s">
        <v>3</v>
      </c>
      <c r="BJ78" s="446" t="s">
        <v>3</v>
      </c>
      <c r="BK78"/>
      <c r="BM78"/>
    </row>
    <row r="79" spans="1:65" ht="57.75" customHeight="1" outlineLevel="1">
      <c r="A79" s="383" t="s">
        <v>554</v>
      </c>
      <c r="B79" s="94" t="s">
        <v>76</v>
      </c>
      <c r="C79" s="293" t="s">
        <v>186</v>
      </c>
      <c r="D79" s="318" t="s">
        <v>1220</v>
      </c>
      <c r="E79" s="307">
        <v>1990</v>
      </c>
      <c r="F79" s="307">
        <v>2030</v>
      </c>
      <c r="G79" s="230" t="s">
        <v>3</v>
      </c>
      <c r="H79" s="176">
        <v>2021</v>
      </c>
      <c r="I79" s="176">
        <v>2030</v>
      </c>
      <c r="J79" s="24" t="s">
        <v>1221</v>
      </c>
      <c r="K79" s="308" t="s">
        <v>1222</v>
      </c>
      <c r="L79" s="293" t="s">
        <v>360</v>
      </c>
      <c r="M79" s="293" t="s">
        <v>131</v>
      </c>
      <c r="N79" s="293" t="s">
        <v>131</v>
      </c>
      <c r="O79" s="293" t="s">
        <v>131</v>
      </c>
      <c r="P79" s="293" t="s">
        <v>131</v>
      </c>
      <c r="Q79" s="293" t="s">
        <v>131</v>
      </c>
      <c r="R79" s="309" t="s">
        <v>131</v>
      </c>
      <c r="S79" s="293" t="s">
        <v>131</v>
      </c>
      <c r="T79" s="293" t="s">
        <v>131</v>
      </c>
      <c r="U79" s="293" t="s">
        <v>131</v>
      </c>
      <c r="V79" s="293" t="s">
        <v>131</v>
      </c>
      <c r="W79" s="293" t="s">
        <v>131</v>
      </c>
      <c r="X79" s="293" t="s">
        <v>131</v>
      </c>
      <c r="Y79" s="310" t="s">
        <v>131</v>
      </c>
      <c r="Z79" s="293">
        <v>51</v>
      </c>
      <c r="AA79" s="293">
        <v>13.2</v>
      </c>
      <c r="AB79" s="293">
        <v>3.7</v>
      </c>
      <c r="AC79" s="293">
        <v>1</v>
      </c>
      <c r="AD79" s="293">
        <v>0</v>
      </c>
      <c r="AE79" s="293">
        <v>0.1</v>
      </c>
      <c r="AF79" s="298" t="s">
        <v>3</v>
      </c>
      <c r="AG79" s="322" t="s">
        <v>3</v>
      </c>
      <c r="AH79" s="322" t="s">
        <v>3</v>
      </c>
      <c r="AI79" s="322" t="s">
        <v>3</v>
      </c>
      <c r="AJ79" s="312" t="s">
        <v>3</v>
      </c>
      <c r="AK79" s="308" t="s">
        <v>3</v>
      </c>
      <c r="AL79" s="26" t="s">
        <v>1223</v>
      </c>
      <c r="AM79" s="115" t="s">
        <v>135</v>
      </c>
      <c r="AN79" s="117" t="s">
        <v>3</v>
      </c>
      <c r="AO79" s="115" t="s">
        <v>3</v>
      </c>
      <c r="AP79" s="115" t="s">
        <v>1224</v>
      </c>
      <c r="AQ79" s="115" t="s">
        <v>3</v>
      </c>
      <c r="AR79" s="116" t="s">
        <v>3</v>
      </c>
      <c r="AS79" s="117">
        <f t="shared" si="1"/>
        <v>1</v>
      </c>
      <c r="AT79" s="30" t="s">
        <v>205</v>
      </c>
      <c r="AU79" s="302">
        <v>35914</v>
      </c>
      <c r="AV79" s="302">
        <v>37407</v>
      </c>
      <c r="AW79" s="120">
        <v>42482</v>
      </c>
      <c r="AX79" s="303">
        <v>42648</v>
      </c>
      <c r="AY79" s="302">
        <v>42069</v>
      </c>
      <c r="AZ79" s="305" t="s">
        <v>846</v>
      </c>
      <c r="BA79" s="469">
        <v>44183</v>
      </c>
      <c r="BB79" s="603" t="s">
        <v>2046</v>
      </c>
      <c r="BC79" s="394" t="s">
        <v>3</v>
      </c>
      <c r="BD79" s="394" t="s">
        <v>3</v>
      </c>
      <c r="BE79" s="174" t="s">
        <v>899</v>
      </c>
      <c r="BF79" s="404" t="s">
        <v>424</v>
      </c>
      <c r="BG79" s="397">
        <v>2019</v>
      </c>
      <c r="BH79" s="395">
        <v>4</v>
      </c>
      <c r="BI79" s="177" t="s">
        <v>3</v>
      </c>
      <c r="BJ79" s="446" t="s">
        <v>3</v>
      </c>
      <c r="BK79"/>
      <c r="BM79"/>
    </row>
    <row r="80" spans="1:65" ht="69.75" customHeight="1" outlineLevel="1">
      <c r="A80" s="383" t="s">
        <v>555</v>
      </c>
      <c r="B80" s="94" t="s">
        <v>76</v>
      </c>
      <c r="C80" s="293" t="s">
        <v>186</v>
      </c>
      <c r="D80" s="318" t="s">
        <v>1220</v>
      </c>
      <c r="E80" s="307">
        <v>1990</v>
      </c>
      <c r="F80" s="307">
        <v>2030</v>
      </c>
      <c r="G80" s="230" t="s">
        <v>3</v>
      </c>
      <c r="H80" s="176">
        <v>2021</v>
      </c>
      <c r="I80" s="176">
        <v>2030</v>
      </c>
      <c r="J80" s="24" t="s">
        <v>1221</v>
      </c>
      <c r="K80" s="308" t="s">
        <v>1222</v>
      </c>
      <c r="L80" s="293" t="s">
        <v>360</v>
      </c>
      <c r="M80" s="293" t="s">
        <v>131</v>
      </c>
      <c r="N80" s="293" t="s">
        <v>131</v>
      </c>
      <c r="O80" s="293" t="s">
        <v>131</v>
      </c>
      <c r="P80" s="293" t="s">
        <v>131</v>
      </c>
      <c r="Q80" s="293" t="s">
        <v>131</v>
      </c>
      <c r="R80" s="309" t="s">
        <v>131</v>
      </c>
      <c r="S80" s="293" t="s">
        <v>131</v>
      </c>
      <c r="T80" s="293" t="s">
        <v>131</v>
      </c>
      <c r="U80" s="293" t="s">
        <v>131</v>
      </c>
      <c r="V80" s="293" t="s">
        <v>131</v>
      </c>
      <c r="W80" s="293" t="s">
        <v>131</v>
      </c>
      <c r="X80" s="293" t="s">
        <v>131</v>
      </c>
      <c r="Y80" s="310" t="s">
        <v>131</v>
      </c>
      <c r="Z80" s="293">
        <v>76.400000000000006</v>
      </c>
      <c r="AA80" s="293">
        <v>20.2</v>
      </c>
      <c r="AB80" s="293">
        <v>10.6</v>
      </c>
      <c r="AC80" s="293">
        <v>0.7</v>
      </c>
      <c r="AD80" s="293">
        <v>0.2</v>
      </c>
      <c r="AE80" s="293">
        <v>0</v>
      </c>
      <c r="AF80" s="298" t="s">
        <v>3</v>
      </c>
      <c r="AG80" s="322" t="s">
        <v>3</v>
      </c>
      <c r="AH80" s="322" t="s">
        <v>3</v>
      </c>
      <c r="AI80" s="322" t="s">
        <v>3</v>
      </c>
      <c r="AJ80" s="312" t="s">
        <v>3</v>
      </c>
      <c r="AK80" s="308" t="s">
        <v>3</v>
      </c>
      <c r="AL80" s="26" t="s">
        <v>1223</v>
      </c>
      <c r="AM80" s="115" t="s">
        <v>135</v>
      </c>
      <c r="AN80" s="117" t="s">
        <v>3</v>
      </c>
      <c r="AO80" s="115" t="s">
        <v>3</v>
      </c>
      <c r="AP80" s="115" t="s">
        <v>1224</v>
      </c>
      <c r="AQ80" s="115" t="s">
        <v>3</v>
      </c>
      <c r="AR80" s="116" t="s">
        <v>3</v>
      </c>
      <c r="AS80" s="117">
        <f t="shared" si="1"/>
        <v>1</v>
      </c>
      <c r="AT80" s="30" t="s">
        <v>204</v>
      </c>
      <c r="AU80" s="302">
        <v>36165</v>
      </c>
      <c r="AV80" s="302">
        <v>36969</v>
      </c>
      <c r="AW80" s="120">
        <v>42482</v>
      </c>
      <c r="AX80" s="303">
        <v>42887</v>
      </c>
      <c r="AY80" s="302">
        <v>42069</v>
      </c>
      <c r="AZ80" s="305" t="s">
        <v>846</v>
      </c>
      <c r="BA80" s="469">
        <v>44183</v>
      </c>
      <c r="BB80" s="603" t="s">
        <v>2046</v>
      </c>
      <c r="BC80" s="394" t="s">
        <v>3</v>
      </c>
      <c r="BD80" s="394" t="s">
        <v>3</v>
      </c>
      <c r="BE80" s="174" t="s">
        <v>899</v>
      </c>
      <c r="BF80" s="404" t="s">
        <v>424</v>
      </c>
      <c r="BG80" s="397">
        <v>2019</v>
      </c>
      <c r="BH80" s="395">
        <v>4</v>
      </c>
      <c r="BI80" s="177" t="s">
        <v>3</v>
      </c>
      <c r="BJ80" s="446" t="s">
        <v>3</v>
      </c>
      <c r="BK80"/>
      <c r="BM80"/>
    </row>
    <row r="81" spans="1:65" ht="108" customHeight="1" outlineLevel="1">
      <c r="A81" s="383" t="s">
        <v>556</v>
      </c>
      <c r="B81" s="94" t="s">
        <v>76</v>
      </c>
      <c r="C81" s="293" t="s">
        <v>186</v>
      </c>
      <c r="D81" s="318" t="s">
        <v>1220</v>
      </c>
      <c r="E81" s="307">
        <v>1990</v>
      </c>
      <c r="F81" s="307">
        <v>2030</v>
      </c>
      <c r="G81" s="230" t="s">
        <v>3</v>
      </c>
      <c r="H81" s="176">
        <v>2021</v>
      </c>
      <c r="I81" s="176">
        <v>2030</v>
      </c>
      <c r="J81" s="24" t="s">
        <v>1221</v>
      </c>
      <c r="K81" s="308" t="s">
        <v>1222</v>
      </c>
      <c r="L81" s="293" t="s">
        <v>360</v>
      </c>
      <c r="M81" s="293" t="s">
        <v>131</v>
      </c>
      <c r="N81" s="293" t="s">
        <v>131</v>
      </c>
      <c r="O81" s="293" t="s">
        <v>131</v>
      </c>
      <c r="P81" s="293" t="s">
        <v>131</v>
      </c>
      <c r="Q81" s="293" t="s">
        <v>131</v>
      </c>
      <c r="R81" s="309" t="s">
        <v>131</v>
      </c>
      <c r="S81" s="293" t="s">
        <v>131</v>
      </c>
      <c r="T81" s="293" t="s">
        <v>131</v>
      </c>
      <c r="U81" s="293" t="s">
        <v>131</v>
      </c>
      <c r="V81" s="293" t="s">
        <v>131</v>
      </c>
      <c r="W81" s="293" t="s">
        <v>131</v>
      </c>
      <c r="X81" s="293" t="s">
        <v>131</v>
      </c>
      <c r="Y81" s="310" t="s">
        <v>131</v>
      </c>
      <c r="Z81" s="293">
        <v>34.200000000000003</v>
      </c>
      <c r="AA81" s="293">
        <v>5.9</v>
      </c>
      <c r="AB81" s="293">
        <v>3.3</v>
      </c>
      <c r="AC81" s="293">
        <v>0.5</v>
      </c>
      <c r="AD81" s="293">
        <v>0</v>
      </c>
      <c r="AE81" s="293" t="s">
        <v>3</v>
      </c>
      <c r="AF81" s="298" t="s">
        <v>3</v>
      </c>
      <c r="AG81" s="322" t="s">
        <v>3</v>
      </c>
      <c r="AH81" s="322" t="s">
        <v>3</v>
      </c>
      <c r="AI81" s="322" t="s">
        <v>3</v>
      </c>
      <c r="AJ81" s="312" t="s">
        <v>3</v>
      </c>
      <c r="AK81" s="308" t="s">
        <v>3</v>
      </c>
      <c r="AL81" s="26" t="s">
        <v>1223</v>
      </c>
      <c r="AM81" s="115" t="s">
        <v>135</v>
      </c>
      <c r="AN81" s="117" t="s">
        <v>3</v>
      </c>
      <c r="AO81" s="115" t="s">
        <v>3</v>
      </c>
      <c r="AP81" s="115" t="s">
        <v>1224</v>
      </c>
      <c r="AQ81" s="115" t="s">
        <v>3</v>
      </c>
      <c r="AR81" s="116" t="s">
        <v>3</v>
      </c>
      <c r="AS81" s="117">
        <f t="shared" si="1"/>
        <v>1</v>
      </c>
      <c r="AT81" s="30" t="s">
        <v>204</v>
      </c>
      <c r="AU81" s="302">
        <v>36217</v>
      </c>
      <c r="AV81" s="302">
        <v>37407</v>
      </c>
      <c r="AW81" s="120">
        <v>42482</v>
      </c>
      <c r="AX81" s="303">
        <v>42648</v>
      </c>
      <c r="AY81" s="302">
        <v>42069</v>
      </c>
      <c r="AZ81" s="305" t="s">
        <v>846</v>
      </c>
      <c r="BA81" s="469">
        <v>44183</v>
      </c>
      <c r="BB81" s="603" t="s">
        <v>2046</v>
      </c>
      <c r="BC81" s="394" t="s">
        <v>3</v>
      </c>
      <c r="BD81" s="394" t="s">
        <v>3</v>
      </c>
      <c r="BE81" s="174" t="s">
        <v>899</v>
      </c>
      <c r="BF81" s="404" t="s">
        <v>424</v>
      </c>
      <c r="BG81" s="397">
        <v>2019</v>
      </c>
      <c r="BH81" s="395">
        <v>4</v>
      </c>
      <c r="BI81" s="177" t="s">
        <v>3</v>
      </c>
      <c r="BJ81" s="446" t="s">
        <v>3</v>
      </c>
      <c r="BK81"/>
      <c r="BM81"/>
    </row>
    <row r="82" spans="1:65" ht="108" customHeight="1" outlineLevel="1">
      <c r="A82" s="383" t="s">
        <v>557</v>
      </c>
      <c r="B82" s="94" t="s">
        <v>76</v>
      </c>
      <c r="C82" s="293" t="s">
        <v>186</v>
      </c>
      <c r="D82" s="318" t="s">
        <v>1220</v>
      </c>
      <c r="E82" s="307">
        <v>1990</v>
      </c>
      <c r="F82" s="307">
        <v>2030</v>
      </c>
      <c r="G82" s="230" t="s">
        <v>3</v>
      </c>
      <c r="H82" s="176">
        <v>2021</v>
      </c>
      <c r="I82" s="176">
        <v>2030</v>
      </c>
      <c r="J82" s="24" t="s">
        <v>1221</v>
      </c>
      <c r="K82" s="308" t="s">
        <v>1222</v>
      </c>
      <c r="L82" s="293" t="s">
        <v>360</v>
      </c>
      <c r="M82" s="293" t="s">
        <v>131</v>
      </c>
      <c r="N82" s="293" t="s">
        <v>131</v>
      </c>
      <c r="O82" s="293" t="s">
        <v>131</v>
      </c>
      <c r="P82" s="293" t="s">
        <v>131</v>
      </c>
      <c r="Q82" s="293" t="s">
        <v>131</v>
      </c>
      <c r="R82" s="309" t="s">
        <v>131</v>
      </c>
      <c r="S82" s="293" t="s">
        <v>131</v>
      </c>
      <c r="T82" s="293" t="s">
        <v>131</v>
      </c>
      <c r="U82" s="293" t="s">
        <v>131</v>
      </c>
      <c r="V82" s="293" t="s">
        <v>131</v>
      </c>
      <c r="W82" s="293" t="s">
        <v>131</v>
      </c>
      <c r="X82" s="293" t="s">
        <v>131</v>
      </c>
      <c r="Y82" s="310" t="s">
        <v>131</v>
      </c>
      <c r="Z82" s="293">
        <v>13.6</v>
      </c>
      <c r="AA82" s="293">
        <v>3.5</v>
      </c>
      <c r="AB82" s="293">
        <v>0.8</v>
      </c>
      <c r="AC82" s="293">
        <v>0.6</v>
      </c>
      <c r="AD82" s="293">
        <v>0</v>
      </c>
      <c r="AE82" s="293">
        <v>0</v>
      </c>
      <c r="AF82" s="298" t="s">
        <v>3</v>
      </c>
      <c r="AG82" s="322" t="s">
        <v>3</v>
      </c>
      <c r="AH82" s="322" t="s">
        <v>3</v>
      </c>
      <c r="AI82" s="322" t="s">
        <v>3</v>
      </c>
      <c r="AJ82" s="312" t="s">
        <v>3</v>
      </c>
      <c r="AK82" s="308" t="s">
        <v>3</v>
      </c>
      <c r="AL82" s="26" t="s">
        <v>1223</v>
      </c>
      <c r="AM82" s="115" t="s">
        <v>135</v>
      </c>
      <c r="AN82" s="117" t="s">
        <v>3</v>
      </c>
      <c r="AO82" s="115" t="s">
        <v>3</v>
      </c>
      <c r="AP82" s="115" t="s">
        <v>1224</v>
      </c>
      <c r="AQ82" s="115" t="s">
        <v>3</v>
      </c>
      <c r="AR82" s="116" t="s">
        <v>3</v>
      </c>
      <c r="AS82" s="117">
        <f t="shared" si="1"/>
        <v>1</v>
      </c>
      <c r="AT82" s="30" t="s">
        <v>204</v>
      </c>
      <c r="AU82" s="302">
        <v>36089</v>
      </c>
      <c r="AV82" s="302">
        <v>37470</v>
      </c>
      <c r="AW82" s="120">
        <v>42482</v>
      </c>
      <c r="AX82" s="303">
        <v>42720</v>
      </c>
      <c r="AY82" s="302">
        <v>42069</v>
      </c>
      <c r="AZ82" s="305" t="s">
        <v>846</v>
      </c>
      <c r="BA82" s="469">
        <v>44183</v>
      </c>
      <c r="BB82" s="603" t="s">
        <v>2046</v>
      </c>
      <c r="BC82" s="394" t="s">
        <v>3</v>
      </c>
      <c r="BD82" s="394" t="s">
        <v>3</v>
      </c>
      <c r="BE82" s="174" t="s">
        <v>899</v>
      </c>
      <c r="BF82" s="404" t="s">
        <v>424</v>
      </c>
      <c r="BG82" s="397">
        <v>2020</v>
      </c>
      <c r="BH82" s="395">
        <v>4</v>
      </c>
      <c r="BI82" s="177" t="s">
        <v>3</v>
      </c>
      <c r="BJ82" s="446" t="s">
        <v>3</v>
      </c>
      <c r="BK82"/>
      <c r="BM82"/>
    </row>
    <row r="83" spans="1:65" ht="108" customHeight="1" outlineLevel="1">
      <c r="A83" s="383" t="s">
        <v>558</v>
      </c>
      <c r="B83" s="94" t="s">
        <v>76</v>
      </c>
      <c r="C83" s="293" t="s">
        <v>186</v>
      </c>
      <c r="D83" s="318" t="s">
        <v>1220</v>
      </c>
      <c r="E83" s="307">
        <v>1990</v>
      </c>
      <c r="F83" s="307">
        <v>2030</v>
      </c>
      <c r="G83" s="230" t="s">
        <v>3</v>
      </c>
      <c r="H83" s="176">
        <v>2021</v>
      </c>
      <c r="I83" s="176">
        <v>2030</v>
      </c>
      <c r="J83" s="24" t="s">
        <v>1221</v>
      </c>
      <c r="K83" s="308" t="s">
        <v>1222</v>
      </c>
      <c r="L83" s="293" t="s">
        <v>360</v>
      </c>
      <c r="M83" s="293" t="s">
        <v>131</v>
      </c>
      <c r="N83" s="293" t="s">
        <v>131</v>
      </c>
      <c r="O83" s="293" t="s">
        <v>131</v>
      </c>
      <c r="P83" s="293" t="s">
        <v>131</v>
      </c>
      <c r="Q83" s="293" t="s">
        <v>131</v>
      </c>
      <c r="R83" s="309" t="s">
        <v>131</v>
      </c>
      <c r="S83" s="293" t="s">
        <v>131</v>
      </c>
      <c r="T83" s="293" t="s">
        <v>131</v>
      </c>
      <c r="U83" s="293" t="s">
        <v>131</v>
      </c>
      <c r="V83" s="293" t="s">
        <v>131</v>
      </c>
      <c r="W83" s="293" t="s">
        <v>131</v>
      </c>
      <c r="X83" s="293" t="s">
        <v>131</v>
      </c>
      <c r="Y83" s="310" t="s">
        <v>131</v>
      </c>
      <c r="Z83" s="293">
        <v>265.5</v>
      </c>
      <c r="AA83" s="293">
        <v>42.9</v>
      </c>
      <c r="AB83" s="293">
        <v>24.1</v>
      </c>
      <c r="AC83" s="293">
        <v>10.3</v>
      </c>
      <c r="AD83" s="293">
        <v>1</v>
      </c>
      <c r="AE83" s="293">
        <v>1</v>
      </c>
      <c r="AF83" s="298" t="s">
        <v>3</v>
      </c>
      <c r="AG83" s="322" t="s">
        <v>3</v>
      </c>
      <c r="AH83" s="322" t="s">
        <v>3</v>
      </c>
      <c r="AI83" s="322" t="s">
        <v>3</v>
      </c>
      <c r="AJ83" s="312" t="s">
        <v>3</v>
      </c>
      <c r="AK83" s="308" t="s">
        <v>3</v>
      </c>
      <c r="AL83" s="26" t="s">
        <v>1223</v>
      </c>
      <c r="AM83" s="115" t="s">
        <v>135</v>
      </c>
      <c r="AN83" s="117" t="s">
        <v>3</v>
      </c>
      <c r="AO83" s="115" t="s">
        <v>3</v>
      </c>
      <c r="AP83" s="115" t="s">
        <v>1224</v>
      </c>
      <c r="AQ83" s="115" t="s">
        <v>3</v>
      </c>
      <c r="AR83" s="116" t="s">
        <v>3</v>
      </c>
      <c r="AS83" s="117">
        <f t="shared" si="1"/>
        <v>1</v>
      </c>
      <c r="AT83" s="30" t="s">
        <v>205</v>
      </c>
      <c r="AU83" s="302">
        <v>35914</v>
      </c>
      <c r="AV83" s="302">
        <v>37407</v>
      </c>
      <c r="AW83" s="120">
        <v>42482</v>
      </c>
      <c r="AX83" s="303">
        <v>42747</v>
      </c>
      <c r="AY83" s="302">
        <v>42069</v>
      </c>
      <c r="AZ83" s="305" t="s">
        <v>846</v>
      </c>
      <c r="BA83" s="469">
        <v>44183</v>
      </c>
      <c r="BB83" s="603" t="s">
        <v>2046</v>
      </c>
      <c r="BC83" s="394" t="s">
        <v>3</v>
      </c>
      <c r="BD83" s="394" t="s">
        <v>3</v>
      </c>
      <c r="BE83" s="174" t="s">
        <v>899</v>
      </c>
      <c r="BF83" s="404" t="s">
        <v>424</v>
      </c>
      <c r="BG83" s="397">
        <v>2019</v>
      </c>
      <c r="BH83" s="395">
        <v>4</v>
      </c>
      <c r="BI83" s="177" t="s">
        <v>3</v>
      </c>
      <c r="BJ83" s="446" t="s">
        <v>3</v>
      </c>
      <c r="BK83"/>
      <c r="BM83"/>
    </row>
    <row r="84" spans="1:65" ht="108" customHeight="1" outlineLevel="1">
      <c r="A84" s="383" t="s">
        <v>559</v>
      </c>
      <c r="B84" s="94" t="s">
        <v>76</v>
      </c>
      <c r="C84" s="293" t="s">
        <v>186</v>
      </c>
      <c r="D84" s="318" t="s">
        <v>1220</v>
      </c>
      <c r="E84" s="307">
        <v>1990</v>
      </c>
      <c r="F84" s="307">
        <v>2030</v>
      </c>
      <c r="G84" s="230" t="s">
        <v>3</v>
      </c>
      <c r="H84" s="176">
        <v>2021</v>
      </c>
      <c r="I84" s="176">
        <v>2030</v>
      </c>
      <c r="J84" s="24" t="s">
        <v>1221</v>
      </c>
      <c r="K84" s="308" t="s">
        <v>1222</v>
      </c>
      <c r="L84" s="293" t="s">
        <v>360</v>
      </c>
      <c r="M84" s="293" t="s">
        <v>131</v>
      </c>
      <c r="N84" s="293" t="s">
        <v>131</v>
      </c>
      <c r="O84" s="293" t="s">
        <v>131</v>
      </c>
      <c r="P84" s="293" t="s">
        <v>131</v>
      </c>
      <c r="Q84" s="293" t="s">
        <v>131</v>
      </c>
      <c r="R84" s="309" t="s">
        <v>131</v>
      </c>
      <c r="S84" s="293" t="s">
        <v>131</v>
      </c>
      <c r="T84" s="293" t="s">
        <v>131</v>
      </c>
      <c r="U84" s="293" t="s">
        <v>131</v>
      </c>
      <c r="V84" s="293" t="s">
        <v>131</v>
      </c>
      <c r="W84" s="293" t="s">
        <v>131</v>
      </c>
      <c r="X84" s="293" t="s">
        <v>131</v>
      </c>
      <c r="Y84" s="310" t="s">
        <v>131</v>
      </c>
      <c r="Z84" s="293">
        <v>42.2</v>
      </c>
      <c r="AA84" s="293">
        <v>11.9</v>
      </c>
      <c r="AB84" s="293">
        <v>9</v>
      </c>
      <c r="AC84" s="293">
        <v>1.8</v>
      </c>
      <c r="AD84" s="293">
        <v>0.3</v>
      </c>
      <c r="AE84" s="293">
        <v>0.1</v>
      </c>
      <c r="AF84" s="298" t="s">
        <v>3</v>
      </c>
      <c r="AG84" s="322" t="s">
        <v>3</v>
      </c>
      <c r="AH84" s="322" t="s">
        <v>3</v>
      </c>
      <c r="AI84" s="322" t="s">
        <v>3</v>
      </c>
      <c r="AJ84" s="312" t="s">
        <v>3</v>
      </c>
      <c r="AK84" s="308" t="s">
        <v>3</v>
      </c>
      <c r="AL84" s="26" t="s">
        <v>1223</v>
      </c>
      <c r="AM84" s="115" t="s">
        <v>135</v>
      </c>
      <c r="AN84" s="117" t="s">
        <v>3</v>
      </c>
      <c r="AO84" s="115" t="s">
        <v>3</v>
      </c>
      <c r="AP84" s="115" t="s">
        <v>1224</v>
      </c>
      <c r="AQ84" s="115" t="s">
        <v>3</v>
      </c>
      <c r="AR84" s="116" t="s">
        <v>3</v>
      </c>
      <c r="AS84" s="117">
        <f t="shared" si="1"/>
        <v>1</v>
      </c>
      <c r="AT84" s="30" t="s">
        <v>205</v>
      </c>
      <c r="AU84" s="302">
        <v>35914</v>
      </c>
      <c r="AV84" s="302">
        <v>37407</v>
      </c>
      <c r="AW84" s="120">
        <v>42482</v>
      </c>
      <c r="AX84" s="303">
        <v>42656</v>
      </c>
      <c r="AY84" s="302">
        <v>42069</v>
      </c>
      <c r="AZ84" s="305" t="s">
        <v>846</v>
      </c>
      <c r="BA84" s="469">
        <v>44183</v>
      </c>
      <c r="BB84" s="603" t="s">
        <v>2046</v>
      </c>
      <c r="BC84" s="394" t="s">
        <v>3</v>
      </c>
      <c r="BD84" s="394" t="s">
        <v>3</v>
      </c>
      <c r="BE84" s="174" t="s">
        <v>899</v>
      </c>
      <c r="BF84" s="404" t="s">
        <v>424</v>
      </c>
      <c r="BG84" s="397">
        <v>2019</v>
      </c>
      <c r="BH84" s="395">
        <v>4</v>
      </c>
      <c r="BI84" s="177" t="s">
        <v>3</v>
      </c>
      <c r="BJ84" s="446" t="s">
        <v>3</v>
      </c>
      <c r="BK84"/>
      <c r="BM84"/>
    </row>
    <row r="85" spans="1:65" ht="205.5" customHeight="1">
      <c r="A85" s="32" t="s">
        <v>560</v>
      </c>
      <c r="B85" s="97" t="s">
        <v>25</v>
      </c>
      <c r="C85" s="293" t="s">
        <v>185</v>
      </c>
      <c r="D85" s="293" t="s">
        <v>1068</v>
      </c>
      <c r="E85" s="307" t="s">
        <v>1</v>
      </c>
      <c r="F85" s="307">
        <v>2030</v>
      </c>
      <c r="G85" s="230" t="s">
        <v>3</v>
      </c>
      <c r="H85" s="173">
        <v>2021</v>
      </c>
      <c r="I85" s="173">
        <v>2030</v>
      </c>
      <c r="J85" s="24" t="s">
        <v>1313</v>
      </c>
      <c r="K85" s="308" t="s">
        <v>1314</v>
      </c>
      <c r="L85" s="293" t="s">
        <v>1315</v>
      </c>
      <c r="M85" s="293" t="s">
        <v>131</v>
      </c>
      <c r="N85" s="293" t="s">
        <v>3</v>
      </c>
      <c r="O85" s="293" t="s">
        <v>131</v>
      </c>
      <c r="P85" s="293" t="s">
        <v>3</v>
      </c>
      <c r="Q85" s="293" t="s">
        <v>3</v>
      </c>
      <c r="R85" s="309" t="s">
        <v>3</v>
      </c>
      <c r="S85" s="293" t="s">
        <v>131</v>
      </c>
      <c r="T85" s="293" t="s">
        <v>1297</v>
      </c>
      <c r="U85" s="293" t="s">
        <v>1297</v>
      </c>
      <c r="V85" s="293" t="s">
        <v>3</v>
      </c>
      <c r="W85" s="293" t="s">
        <v>3</v>
      </c>
      <c r="X85" s="293" t="s">
        <v>3</v>
      </c>
      <c r="Y85" s="310" t="s">
        <v>3</v>
      </c>
      <c r="Z85" s="293" t="s">
        <v>452</v>
      </c>
      <c r="AA85" s="293" t="s">
        <v>452</v>
      </c>
      <c r="AB85" s="293" t="s">
        <v>452</v>
      </c>
      <c r="AC85" s="293" t="s">
        <v>452</v>
      </c>
      <c r="AD85" s="293" t="s">
        <v>452</v>
      </c>
      <c r="AE85" s="293" t="s">
        <v>452</v>
      </c>
      <c r="AF85" s="298" t="s">
        <v>3</v>
      </c>
      <c r="AG85" s="322" t="s">
        <v>1298</v>
      </c>
      <c r="AH85" s="322" t="s">
        <v>3</v>
      </c>
      <c r="AI85" s="322">
        <v>2.97</v>
      </c>
      <c r="AJ85" s="312" t="s">
        <v>1316</v>
      </c>
      <c r="AK85" s="308" t="s">
        <v>1298</v>
      </c>
      <c r="AL85" s="22" t="s">
        <v>1317</v>
      </c>
      <c r="AM85" s="115" t="s">
        <v>131</v>
      </c>
      <c r="AN85" s="115" t="s">
        <v>131</v>
      </c>
      <c r="AO85" s="115" t="s">
        <v>131</v>
      </c>
      <c r="AP85" s="117" t="s">
        <v>3</v>
      </c>
      <c r="AQ85" s="115" t="s">
        <v>131</v>
      </c>
      <c r="AR85" s="300" t="s">
        <v>3</v>
      </c>
      <c r="AS85" s="117">
        <f t="shared" si="1"/>
        <v>1</v>
      </c>
      <c r="AT85" s="30" t="s">
        <v>203</v>
      </c>
      <c r="AU85" s="302">
        <v>36055</v>
      </c>
      <c r="AV85" s="302">
        <v>36055</v>
      </c>
      <c r="AW85" s="120">
        <v>42482</v>
      </c>
      <c r="AX85" s="120">
        <v>42482</v>
      </c>
      <c r="AY85" s="302">
        <v>42313</v>
      </c>
      <c r="AZ85" s="305" t="s">
        <v>721</v>
      </c>
      <c r="BA85" s="321">
        <v>44196</v>
      </c>
      <c r="BB85" s="606" t="s">
        <v>2050</v>
      </c>
      <c r="BC85" s="394" t="s">
        <v>3</v>
      </c>
      <c r="BD85" s="394" t="s">
        <v>3</v>
      </c>
      <c r="BE85" s="174" t="s">
        <v>899</v>
      </c>
      <c r="BF85" s="404" t="s">
        <v>424</v>
      </c>
      <c r="BG85" s="396" t="s">
        <v>3</v>
      </c>
      <c r="BH85" s="394" t="s">
        <v>3</v>
      </c>
      <c r="BI85" s="402" t="s">
        <v>3</v>
      </c>
      <c r="BJ85" s="403" t="s">
        <v>3</v>
      </c>
      <c r="BK85"/>
      <c r="BM85"/>
    </row>
    <row r="86" spans="1:65" ht="96" customHeight="1">
      <c r="A86" s="31" t="s">
        <v>561</v>
      </c>
      <c r="B86" s="92" t="s">
        <v>180</v>
      </c>
      <c r="C86" s="230" t="s">
        <v>873</v>
      </c>
      <c r="D86" s="230" t="s">
        <v>1940</v>
      </c>
      <c r="E86" s="230">
        <v>2005</v>
      </c>
      <c r="F86" s="230">
        <v>2030</v>
      </c>
      <c r="G86" s="230" t="s">
        <v>3</v>
      </c>
      <c r="H86" s="180">
        <v>2020</v>
      </c>
      <c r="I86" s="180">
        <v>2030</v>
      </c>
      <c r="J86" s="46" t="s">
        <v>1944</v>
      </c>
      <c r="K86" s="308" t="s">
        <v>1939</v>
      </c>
      <c r="L86" s="293" t="s">
        <v>360</v>
      </c>
      <c r="M86" s="293" t="s">
        <v>131</v>
      </c>
      <c r="N86" s="293" t="s">
        <v>131</v>
      </c>
      <c r="O86" s="293" t="s">
        <v>131</v>
      </c>
      <c r="P86" s="293" t="s">
        <v>1941</v>
      </c>
      <c r="Q86" s="293" t="s">
        <v>131</v>
      </c>
      <c r="R86" s="309" t="s">
        <v>1941</v>
      </c>
      <c r="S86" s="30" t="s">
        <v>131</v>
      </c>
      <c r="T86" s="30" t="s">
        <v>131</v>
      </c>
      <c r="U86" s="30" t="s">
        <v>131</v>
      </c>
      <c r="V86" s="30" t="s">
        <v>3</v>
      </c>
      <c r="W86" s="30" t="s">
        <v>3</v>
      </c>
      <c r="X86" s="30" t="s">
        <v>3</v>
      </c>
      <c r="Y86" s="298" t="s">
        <v>3</v>
      </c>
      <c r="Z86" s="30">
        <v>6.4</v>
      </c>
      <c r="AA86" s="30">
        <v>8.3000000000000007</v>
      </c>
      <c r="AB86" s="30">
        <v>0.5</v>
      </c>
      <c r="AC86" s="30">
        <v>0</v>
      </c>
      <c r="AD86" s="30" t="s">
        <v>3</v>
      </c>
      <c r="AE86" s="30" t="s">
        <v>3</v>
      </c>
      <c r="AF86" s="298" t="s">
        <v>3</v>
      </c>
      <c r="AG86" s="311" t="s">
        <v>3</v>
      </c>
      <c r="AH86" s="311" t="s">
        <v>3</v>
      </c>
      <c r="AI86" s="311" t="s">
        <v>3</v>
      </c>
      <c r="AJ86" s="312" t="s">
        <v>3</v>
      </c>
      <c r="AK86" s="308" t="s">
        <v>3</v>
      </c>
      <c r="AL86" s="22" t="s">
        <v>1942</v>
      </c>
      <c r="AM86" s="115" t="s">
        <v>967</v>
      </c>
      <c r="AN86" s="115" t="s">
        <v>1943</v>
      </c>
      <c r="AO86" s="115" t="s">
        <v>967</v>
      </c>
      <c r="AP86" s="115" t="s">
        <v>3</v>
      </c>
      <c r="AQ86" s="115" t="s">
        <v>3</v>
      </c>
      <c r="AR86" s="116" t="s">
        <v>3</v>
      </c>
      <c r="AS86" s="117">
        <f t="shared" si="1"/>
        <v>1</v>
      </c>
      <c r="AT86" s="30" t="s">
        <v>203</v>
      </c>
      <c r="AU86" s="302" t="s">
        <v>3</v>
      </c>
      <c r="AV86" s="302">
        <v>39063</v>
      </c>
      <c r="AW86" s="120">
        <v>42482</v>
      </c>
      <c r="AX86" s="120">
        <v>42676</v>
      </c>
      <c r="AY86" s="325">
        <v>42095</v>
      </c>
      <c r="AZ86" s="317" t="s">
        <v>842</v>
      </c>
      <c r="BA86" s="321">
        <v>44748</v>
      </c>
      <c r="BB86" s="603" t="s">
        <v>2049</v>
      </c>
      <c r="BC86" s="394" t="s">
        <v>3</v>
      </c>
      <c r="BD86" s="394" t="s">
        <v>3</v>
      </c>
      <c r="BE86" s="174" t="s">
        <v>910</v>
      </c>
      <c r="BF86" s="404" t="s">
        <v>860</v>
      </c>
      <c r="BG86" s="396" t="s">
        <v>3</v>
      </c>
      <c r="BH86" s="394" t="s">
        <v>3</v>
      </c>
      <c r="BI86" s="402">
        <v>2021</v>
      </c>
      <c r="BJ86" s="403">
        <v>1</v>
      </c>
      <c r="BK86"/>
      <c r="BM86"/>
    </row>
    <row r="87" spans="1:65" ht="156" customHeight="1">
      <c r="A87" s="31" t="s">
        <v>562</v>
      </c>
      <c r="B87" s="92" t="s">
        <v>180</v>
      </c>
      <c r="C87" s="230" t="s">
        <v>1619</v>
      </c>
      <c r="D87" s="323">
        <v>0.497</v>
      </c>
      <c r="E87" s="230" t="s">
        <v>1620</v>
      </c>
      <c r="F87" s="230">
        <v>2030</v>
      </c>
      <c r="G87" s="230" t="s">
        <v>3</v>
      </c>
      <c r="H87" s="180">
        <v>2021</v>
      </c>
      <c r="I87" s="180">
        <v>2030</v>
      </c>
      <c r="J87" s="46" t="s">
        <v>1621</v>
      </c>
      <c r="K87" s="308" t="s">
        <v>1622</v>
      </c>
      <c r="L87" s="293" t="s">
        <v>360</v>
      </c>
      <c r="M87" s="293" t="s">
        <v>131</v>
      </c>
      <c r="N87" s="293" t="s">
        <v>131</v>
      </c>
      <c r="O87" s="293" t="s">
        <v>131</v>
      </c>
      <c r="P87" s="293" t="s">
        <v>131</v>
      </c>
      <c r="Q87" s="293" t="s">
        <v>1623</v>
      </c>
      <c r="R87" s="309" t="s">
        <v>131</v>
      </c>
      <c r="S87" s="293" t="s">
        <v>131</v>
      </c>
      <c r="T87" s="293" t="s">
        <v>131</v>
      </c>
      <c r="U87" s="293" t="s">
        <v>131</v>
      </c>
      <c r="V87" s="293" t="s">
        <v>131</v>
      </c>
      <c r="W87" s="293" t="s">
        <v>1624</v>
      </c>
      <c r="X87" s="293" t="s">
        <v>1624</v>
      </c>
      <c r="Y87" s="310" t="s">
        <v>1624</v>
      </c>
      <c r="Z87" s="293" t="s">
        <v>424</v>
      </c>
      <c r="AA87" s="293" t="s">
        <v>452</v>
      </c>
      <c r="AB87" s="293" t="s">
        <v>452</v>
      </c>
      <c r="AC87" s="293" t="s">
        <v>452</v>
      </c>
      <c r="AD87" s="293" t="s">
        <v>452</v>
      </c>
      <c r="AE87" s="293" t="s">
        <v>452</v>
      </c>
      <c r="AF87" s="298" t="s">
        <v>3</v>
      </c>
      <c r="AG87" s="311" t="s">
        <v>3</v>
      </c>
      <c r="AH87" s="311">
        <v>0.82289999999999996</v>
      </c>
      <c r="AI87" s="311">
        <f>AH87</f>
        <v>0.82289999999999996</v>
      </c>
      <c r="AJ87" s="312" t="s">
        <v>1624</v>
      </c>
      <c r="AK87" s="308" t="s">
        <v>1625</v>
      </c>
      <c r="AL87" s="22" t="s">
        <v>1626</v>
      </c>
      <c r="AM87" s="115" t="s">
        <v>967</v>
      </c>
      <c r="AN87" s="115" t="s">
        <v>1627</v>
      </c>
      <c r="AO87" s="115" t="s">
        <v>967</v>
      </c>
      <c r="AP87" s="115" t="s">
        <v>3</v>
      </c>
      <c r="AQ87" s="115" t="s">
        <v>1624</v>
      </c>
      <c r="AR87" s="116" t="s">
        <v>3</v>
      </c>
      <c r="AS87" s="117">
        <f t="shared" si="1"/>
        <v>1</v>
      </c>
      <c r="AT87" s="30" t="s">
        <v>203</v>
      </c>
      <c r="AU87" s="302" t="s">
        <v>3</v>
      </c>
      <c r="AV87" s="302">
        <v>37043</v>
      </c>
      <c r="AW87" s="120">
        <v>42486</v>
      </c>
      <c r="AX87" s="120">
        <v>42681</v>
      </c>
      <c r="AY87" s="302">
        <v>42277</v>
      </c>
      <c r="AZ87" s="305" t="s">
        <v>755</v>
      </c>
      <c r="BA87" s="302">
        <v>42681</v>
      </c>
      <c r="BB87" s="605" t="s">
        <v>424</v>
      </c>
      <c r="BC87" s="321">
        <v>44451</v>
      </c>
      <c r="BD87" s="597" t="s">
        <v>2048</v>
      </c>
      <c r="BE87" s="174" t="s">
        <v>899</v>
      </c>
      <c r="BF87" s="404" t="s">
        <v>424</v>
      </c>
      <c r="BG87" s="396" t="s">
        <v>3</v>
      </c>
      <c r="BH87" s="394" t="s">
        <v>3</v>
      </c>
      <c r="BI87" s="402" t="s">
        <v>3</v>
      </c>
      <c r="BJ87" s="403" t="s">
        <v>3</v>
      </c>
      <c r="BK87"/>
      <c r="BM87"/>
    </row>
    <row r="88" spans="1:65" ht="117" customHeight="1">
      <c r="A88" s="31" t="s">
        <v>563</v>
      </c>
      <c r="B88" s="93" t="s">
        <v>183</v>
      </c>
      <c r="C88" s="293" t="s">
        <v>186</v>
      </c>
      <c r="D88" s="230" t="s">
        <v>1390</v>
      </c>
      <c r="E88" s="230">
        <v>1990</v>
      </c>
      <c r="F88" s="230">
        <v>2030</v>
      </c>
      <c r="G88" s="230" t="s">
        <v>3</v>
      </c>
      <c r="H88" s="176">
        <v>2021</v>
      </c>
      <c r="I88" s="176">
        <v>2030</v>
      </c>
      <c r="J88" s="320" t="s">
        <v>1391</v>
      </c>
      <c r="K88" s="314" t="s">
        <v>1392</v>
      </c>
      <c r="L88" s="30" t="s">
        <v>360</v>
      </c>
      <c r="M88" s="30" t="s">
        <v>131</v>
      </c>
      <c r="N88" s="30" t="s">
        <v>131</v>
      </c>
      <c r="O88" s="30" t="s">
        <v>131</v>
      </c>
      <c r="P88" s="30" t="s">
        <v>131</v>
      </c>
      <c r="Q88" s="30" t="s">
        <v>3</v>
      </c>
      <c r="R88" s="315" t="s">
        <v>131</v>
      </c>
      <c r="S88" s="293" t="s">
        <v>131</v>
      </c>
      <c r="T88" s="293" t="s">
        <v>131</v>
      </c>
      <c r="U88" s="293" t="s">
        <v>131</v>
      </c>
      <c r="V88" s="293" t="s">
        <v>131</v>
      </c>
      <c r="W88" s="293" t="s">
        <v>131</v>
      </c>
      <c r="X88" s="293" t="s">
        <v>131</v>
      </c>
      <c r="Y88" s="310" t="s">
        <v>1393</v>
      </c>
      <c r="Z88" s="293">
        <v>9.9</v>
      </c>
      <c r="AA88" s="293">
        <v>3.1</v>
      </c>
      <c r="AB88" s="293">
        <v>2</v>
      </c>
      <c r="AC88" s="293">
        <v>0</v>
      </c>
      <c r="AD88" s="293" t="s">
        <v>3</v>
      </c>
      <c r="AE88" s="293" t="s">
        <v>3</v>
      </c>
      <c r="AF88" s="298" t="s">
        <v>3</v>
      </c>
      <c r="AG88" s="232" t="s">
        <v>3</v>
      </c>
      <c r="AH88" s="232">
        <v>2</v>
      </c>
      <c r="AI88" s="232">
        <v>2</v>
      </c>
      <c r="AJ88" s="316" t="s">
        <v>1394</v>
      </c>
      <c r="AK88" s="314" t="s">
        <v>1394</v>
      </c>
      <c r="AL88" s="21" t="s">
        <v>3</v>
      </c>
      <c r="AM88" s="115" t="s">
        <v>3</v>
      </c>
      <c r="AN88" s="115" t="s">
        <v>3</v>
      </c>
      <c r="AO88" s="115" t="s">
        <v>3</v>
      </c>
      <c r="AP88" s="115" t="s">
        <v>3</v>
      </c>
      <c r="AQ88" s="115" t="s">
        <v>3</v>
      </c>
      <c r="AR88" s="116" t="s">
        <v>3</v>
      </c>
      <c r="AS88" s="117" t="str">
        <f t="shared" si="1"/>
        <v/>
      </c>
      <c r="AT88" s="30" t="s">
        <v>203</v>
      </c>
      <c r="AU88" s="302" t="s">
        <v>3</v>
      </c>
      <c r="AV88" s="302">
        <v>36327</v>
      </c>
      <c r="AW88" s="120">
        <v>42482</v>
      </c>
      <c r="AX88" s="120">
        <v>42863</v>
      </c>
      <c r="AY88" s="325">
        <v>42272</v>
      </c>
      <c r="AZ88" s="317" t="s">
        <v>804</v>
      </c>
      <c r="BA88" s="321">
        <v>44321</v>
      </c>
      <c r="BB88" s="603" t="s">
        <v>2047</v>
      </c>
      <c r="BC88" s="394" t="s">
        <v>3</v>
      </c>
      <c r="BD88" s="402" t="s">
        <v>3</v>
      </c>
      <c r="BE88" s="174" t="s">
        <v>899</v>
      </c>
      <c r="BF88" s="404" t="s">
        <v>424</v>
      </c>
      <c r="BG88" s="396" t="s">
        <v>3</v>
      </c>
      <c r="BH88" s="394" t="s">
        <v>3</v>
      </c>
      <c r="BI88" s="440">
        <v>2019</v>
      </c>
      <c r="BJ88" s="447">
        <v>2</v>
      </c>
      <c r="BK88"/>
      <c r="BM88"/>
    </row>
    <row r="89" spans="1:65" ht="84" customHeight="1">
      <c r="A89" s="31" t="s">
        <v>564</v>
      </c>
      <c r="B89" s="92" t="s">
        <v>180</v>
      </c>
      <c r="C89" s="230" t="s">
        <v>873</v>
      </c>
      <c r="D89" s="230" t="s">
        <v>1809</v>
      </c>
      <c r="E89" s="341">
        <v>2019</v>
      </c>
      <c r="F89" s="337">
        <v>2030</v>
      </c>
      <c r="G89" s="230" t="s">
        <v>3</v>
      </c>
      <c r="H89" s="176">
        <v>2021</v>
      </c>
      <c r="I89" s="176">
        <v>2030</v>
      </c>
      <c r="J89" s="46" t="s">
        <v>1808</v>
      </c>
      <c r="K89" s="308" t="s">
        <v>1810</v>
      </c>
      <c r="L89" s="293" t="s">
        <v>360</v>
      </c>
      <c r="M89" s="293" t="s">
        <v>1802</v>
      </c>
      <c r="N89" s="293" t="s">
        <v>3</v>
      </c>
      <c r="O89" s="293" t="s">
        <v>131</v>
      </c>
      <c r="P89" s="293" t="s">
        <v>131</v>
      </c>
      <c r="Q89" s="293" t="s">
        <v>131</v>
      </c>
      <c r="R89" s="309" t="s">
        <v>131</v>
      </c>
      <c r="S89" s="293" t="s">
        <v>131</v>
      </c>
      <c r="T89" s="293" t="s">
        <v>131</v>
      </c>
      <c r="U89" s="293" t="s">
        <v>131</v>
      </c>
      <c r="V89" s="293" t="s">
        <v>131</v>
      </c>
      <c r="W89" s="293" t="s">
        <v>3</v>
      </c>
      <c r="X89" s="293" t="s">
        <v>3</v>
      </c>
      <c r="Y89" s="310" t="s">
        <v>3</v>
      </c>
      <c r="Z89" s="293">
        <v>15.4</v>
      </c>
      <c r="AA89" s="293">
        <v>18.7</v>
      </c>
      <c r="AB89" s="293">
        <v>4.7</v>
      </c>
      <c r="AC89" s="293">
        <v>0</v>
      </c>
      <c r="AD89" s="293" t="s">
        <v>3</v>
      </c>
      <c r="AE89" s="293" t="s">
        <v>3</v>
      </c>
      <c r="AF89" s="298" t="s">
        <v>3</v>
      </c>
      <c r="AG89" s="231" t="s">
        <v>3</v>
      </c>
      <c r="AH89" s="232" t="s">
        <v>3</v>
      </c>
      <c r="AI89" s="232">
        <v>5.4</v>
      </c>
      <c r="AJ89" s="312" t="s">
        <v>1811</v>
      </c>
      <c r="AK89" s="308" t="s">
        <v>3</v>
      </c>
      <c r="AL89" s="22" t="s">
        <v>1812</v>
      </c>
      <c r="AM89" s="115" t="s">
        <v>1792</v>
      </c>
      <c r="AN89" s="115" t="s">
        <v>3</v>
      </c>
      <c r="AO89" s="115" t="s">
        <v>1802</v>
      </c>
      <c r="AP89" s="115" t="s">
        <v>3</v>
      </c>
      <c r="AQ89" s="115" t="s">
        <v>3</v>
      </c>
      <c r="AR89" s="116" t="s">
        <v>3</v>
      </c>
      <c r="AS89" s="117">
        <f t="shared" si="1"/>
        <v>1</v>
      </c>
      <c r="AT89" s="30" t="s">
        <v>203</v>
      </c>
      <c r="AU89" s="302" t="s">
        <v>3</v>
      </c>
      <c r="AV89" s="302">
        <v>37771</v>
      </c>
      <c r="AW89" s="120">
        <v>42482</v>
      </c>
      <c r="AX89" s="120">
        <v>42634</v>
      </c>
      <c r="AY89" s="302">
        <v>42270</v>
      </c>
      <c r="AZ89" s="305" t="s">
        <v>817</v>
      </c>
      <c r="BA89" s="321">
        <v>44504</v>
      </c>
      <c r="BB89" s="603" t="s">
        <v>2051</v>
      </c>
      <c r="BC89" s="394" t="s">
        <v>3</v>
      </c>
      <c r="BD89" s="402" t="s">
        <v>3</v>
      </c>
      <c r="BE89" s="174" t="s">
        <v>899</v>
      </c>
      <c r="BF89" s="404" t="s">
        <v>424</v>
      </c>
      <c r="BG89" s="396" t="s">
        <v>3</v>
      </c>
      <c r="BH89" s="394" t="s">
        <v>3</v>
      </c>
      <c r="BI89" s="440">
        <v>2021</v>
      </c>
      <c r="BJ89" s="447">
        <v>3</v>
      </c>
      <c r="BK89"/>
      <c r="BM89"/>
    </row>
    <row r="90" spans="1:65" ht="91.95" customHeight="1">
      <c r="A90" s="32" t="s">
        <v>565</v>
      </c>
      <c r="B90" s="95" t="s">
        <v>181</v>
      </c>
      <c r="C90" s="293" t="s">
        <v>186</v>
      </c>
      <c r="D90" s="318">
        <v>0.4</v>
      </c>
      <c r="E90" s="307">
        <v>2010</v>
      </c>
      <c r="F90" s="293">
        <v>2030</v>
      </c>
      <c r="G90" s="230" t="s">
        <v>3</v>
      </c>
      <c r="H90" s="452">
        <v>2020</v>
      </c>
      <c r="I90" s="173">
        <v>2030</v>
      </c>
      <c r="J90" s="24" t="s">
        <v>1160</v>
      </c>
      <c r="K90" s="308" t="s">
        <v>1157</v>
      </c>
      <c r="L90" s="293" t="s">
        <v>360</v>
      </c>
      <c r="M90" s="293" t="s">
        <v>131</v>
      </c>
      <c r="N90" s="293" t="s">
        <v>1157</v>
      </c>
      <c r="O90" s="293" t="s">
        <v>131</v>
      </c>
      <c r="P90" s="293" t="s">
        <v>131</v>
      </c>
      <c r="Q90" s="293" t="s">
        <v>131</v>
      </c>
      <c r="R90" s="309" t="s">
        <v>1158</v>
      </c>
      <c r="S90" s="293" t="s">
        <v>131</v>
      </c>
      <c r="T90" s="293" t="s">
        <v>131</v>
      </c>
      <c r="U90" s="293" t="s">
        <v>3</v>
      </c>
      <c r="V90" s="293" t="s">
        <v>1158</v>
      </c>
      <c r="W90" s="293" t="s">
        <v>3</v>
      </c>
      <c r="X90" s="293" t="s">
        <v>3</v>
      </c>
      <c r="Y90" s="310" t="s">
        <v>3</v>
      </c>
      <c r="Z90" s="293" t="s">
        <v>452</v>
      </c>
      <c r="AA90" s="293" t="s">
        <v>452</v>
      </c>
      <c r="AB90" s="293" t="s">
        <v>452</v>
      </c>
      <c r="AC90" s="293" t="s">
        <v>452</v>
      </c>
      <c r="AD90" s="293" t="s">
        <v>452</v>
      </c>
      <c r="AE90" s="293" t="s">
        <v>452</v>
      </c>
      <c r="AF90" s="298" t="s">
        <v>3</v>
      </c>
      <c r="AG90" s="322" t="s">
        <v>3</v>
      </c>
      <c r="AH90" s="322" t="s">
        <v>3</v>
      </c>
      <c r="AI90" s="322" t="s">
        <v>1170</v>
      </c>
      <c r="AJ90" s="312" t="s">
        <v>1184</v>
      </c>
      <c r="AK90" s="308" t="s">
        <v>1157</v>
      </c>
      <c r="AL90" s="22" t="s">
        <v>1159</v>
      </c>
      <c r="AM90" s="115" t="s">
        <v>132</v>
      </c>
      <c r="AN90" s="115" t="s">
        <v>3</v>
      </c>
      <c r="AO90" s="115" t="s">
        <v>3</v>
      </c>
      <c r="AP90" s="115" t="s">
        <v>3</v>
      </c>
      <c r="AQ90" s="115" t="s">
        <v>3</v>
      </c>
      <c r="AR90" s="116" t="s">
        <v>3</v>
      </c>
      <c r="AS90" s="117">
        <f t="shared" si="1"/>
        <v>1</v>
      </c>
      <c r="AT90" s="30" t="s">
        <v>203</v>
      </c>
      <c r="AU90" s="302" t="s">
        <v>3</v>
      </c>
      <c r="AV90" s="302">
        <v>37474</v>
      </c>
      <c r="AW90" s="120">
        <v>42482</v>
      </c>
      <c r="AX90" s="120">
        <v>42482</v>
      </c>
      <c r="AY90" s="302">
        <v>42277</v>
      </c>
      <c r="AZ90" s="305" t="s">
        <v>767</v>
      </c>
      <c r="BA90" s="302">
        <v>42482</v>
      </c>
      <c r="BB90" s="605" t="s">
        <v>424</v>
      </c>
      <c r="BC90" s="321">
        <v>44166</v>
      </c>
      <c r="BD90" s="486" t="s">
        <v>2052</v>
      </c>
      <c r="BE90" s="174" t="s">
        <v>899</v>
      </c>
      <c r="BF90" s="404" t="s">
        <v>424</v>
      </c>
      <c r="BG90" s="396" t="s">
        <v>3</v>
      </c>
      <c r="BH90" s="394" t="s">
        <v>3</v>
      </c>
      <c r="BI90" s="402" t="s">
        <v>3</v>
      </c>
      <c r="BJ90" s="403" t="s">
        <v>3</v>
      </c>
      <c r="BK90"/>
      <c r="BM90"/>
    </row>
    <row r="91" spans="1:65" ht="132" customHeight="1">
      <c r="A91" s="32" t="s">
        <v>566</v>
      </c>
      <c r="B91" s="95" t="s">
        <v>181</v>
      </c>
      <c r="C91" s="293" t="s">
        <v>717</v>
      </c>
      <c r="D91" s="293" t="s">
        <v>1031</v>
      </c>
      <c r="E91" s="307" t="s">
        <v>1896</v>
      </c>
      <c r="F91" s="293">
        <v>2030</v>
      </c>
      <c r="G91" s="230" t="s">
        <v>3</v>
      </c>
      <c r="H91" s="173" t="s">
        <v>424</v>
      </c>
      <c r="I91" s="173">
        <v>2030</v>
      </c>
      <c r="J91" s="24" t="s">
        <v>1912</v>
      </c>
      <c r="K91" s="308" t="s">
        <v>1897</v>
      </c>
      <c r="L91" s="293" t="s">
        <v>360</v>
      </c>
      <c r="M91" s="293" t="s">
        <v>1898</v>
      </c>
      <c r="N91" s="293" t="s">
        <v>1898</v>
      </c>
      <c r="O91" s="293" t="s">
        <v>1898</v>
      </c>
      <c r="P91" s="293" t="s">
        <v>1898</v>
      </c>
      <c r="Q91" s="293" t="s">
        <v>1898</v>
      </c>
      <c r="R91" s="309" t="s">
        <v>471</v>
      </c>
      <c r="S91" s="293" t="s">
        <v>131</v>
      </c>
      <c r="T91" s="293" t="s">
        <v>131</v>
      </c>
      <c r="U91" s="293" t="s">
        <v>131</v>
      </c>
      <c r="V91" s="293" t="s">
        <v>3</v>
      </c>
      <c r="W91" s="293" t="s">
        <v>3</v>
      </c>
      <c r="X91" s="293" t="s">
        <v>3</v>
      </c>
      <c r="Y91" s="310" t="s">
        <v>3</v>
      </c>
      <c r="Z91" s="293">
        <v>16.8</v>
      </c>
      <c r="AA91" s="293">
        <v>10.9</v>
      </c>
      <c r="AB91" s="293">
        <v>3.8</v>
      </c>
      <c r="AC91" s="293">
        <v>0.8</v>
      </c>
      <c r="AD91" s="293" t="s">
        <v>3</v>
      </c>
      <c r="AE91" s="293" t="s">
        <v>3</v>
      </c>
      <c r="AF91" s="298" t="s">
        <v>3</v>
      </c>
      <c r="AG91" s="342" t="s">
        <v>3</v>
      </c>
      <c r="AH91" s="342" t="s">
        <v>3</v>
      </c>
      <c r="AI91" s="342" t="s">
        <v>3</v>
      </c>
      <c r="AJ91" s="312" t="s">
        <v>3</v>
      </c>
      <c r="AK91" s="308" t="s">
        <v>3</v>
      </c>
      <c r="AL91" s="22" t="s">
        <v>1899</v>
      </c>
      <c r="AM91" s="115" t="s">
        <v>1899</v>
      </c>
      <c r="AN91" s="115" t="s">
        <v>3</v>
      </c>
      <c r="AO91" s="115" t="s">
        <v>3</v>
      </c>
      <c r="AP91" s="115" t="s">
        <v>3</v>
      </c>
      <c r="AQ91" s="115" t="s">
        <v>3</v>
      </c>
      <c r="AR91" s="116" t="s">
        <v>3</v>
      </c>
      <c r="AS91" s="117" t="str">
        <f t="shared" si="1"/>
        <v/>
      </c>
      <c r="AT91" s="30" t="s">
        <v>203</v>
      </c>
      <c r="AU91" s="302">
        <v>35986</v>
      </c>
      <c r="AV91" s="302">
        <v>36438</v>
      </c>
      <c r="AW91" s="120">
        <v>42482</v>
      </c>
      <c r="AX91" s="120">
        <v>42760</v>
      </c>
      <c r="AY91" s="302">
        <v>42277</v>
      </c>
      <c r="AZ91" s="305" t="s">
        <v>778</v>
      </c>
      <c r="BA91" s="321">
        <v>44704</v>
      </c>
      <c r="BB91" s="603" t="s">
        <v>2053</v>
      </c>
      <c r="BC91" s="394" t="s">
        <v>3</v>
      </c>
      <c r="BD91" s="402" t="s">
        <v>3</v>
      </c>
      <c r="BE91" s="177" t="s">
        <v>898</v>
      </c>
      <c r="BF91" s="404" t="s">
        <v>860</v>
      </c>
      <c r="BG91" s="396" t="s">
        <v>3</v>
      </c>
      <c r="BH91" s="394" t="s">
        <v>3</v>
      </c>
      <c r="BI91" s="402" t="s">
        <v>3</v>
      </c>
      <c r="BJ91" s="403" t="s">
        <v>3</v>
      </c>
      <c r="BK91" s="283"/>
      <c r="BM91"/>
    </row>
    <row r="92" spans="1:65" ht="120" customHeight="1">
      <c r="A92" s="31" t="s">
        <v>567</v>
      </c>
      <c r="B92" s="92" t="s">
        <v>180</v>
      </c>
      <c r="C92" s="230" t="s">
        <v>717</v>
      </c>
      <c r="D92" s="319" t="s">
        <v>1461</v>
      </c>
      <c r="E92" s="337">
        <v>2020</v>
      </c>
      <c r="F92" s="337">
        <v>2030</v>
      </c>
      <c r="G92" s="230" t="s">
        <v>3</v>
      </c>
      <c r="H92" s="176">
        <v>2020</v>
      </c>
      <c r="I92" s="176">
        <v>2030</v>
      </c>
      <c r="J92" s="46" t="s">
        <v>1462</v>
      </c>
      <c r="K92" s="308" t="s">
        <v>1464</v>
      </c>
      <c r="L92" s="293" t="s">
        <v>360</v>
      </c>
      <c r="M92" s="293" t="s">
        <v>131</v>
      </c>
      <c r="N92" s="293" t="s">
        <v>131</v>
      </c>
      <c r="O92" s="293" t="s">
        <v>131</v>
      </c>
      <c r="P92" s="293" t="s">
        <v>1460</v>
      </c>
      <c r="Q92" s="293" t="s">
        <v>131</v>
      </c>
      <c r="R92" s="309" t="s">
        <v>1460</v>
      </c>
      <c r="S92" s="293" t="s">
        <v>131</v>
      </c>
      <c r="T92" s="293" t="s">
        <v>1460</v>
      </c>
      <c r="U92" s="293" t="s">
        <v>1460</v>
      </c>
      <c r="V92" s="293" t="s">
        <v>3</v>
      </c>
      <c r="W92" s="293" t="s">
        <v>3</v>
      </c>
      <c r="X92" s="293" t="s">
        <v>3</v>
      </c>
      <c r="Y92" s="310" t="s">
        <v>3</v>
      </c>
      <c r="Z92" s="293" t="s">
        <v>452</v>
      </c>
      <c r="AA92" s="293" t="s">
        <v>452</v>
      </c>
      <c r="AB92" s="293" t="s">
        <v>452</v>
      </c>
      <c r="AC92" s="293" t="s">
        <v>452</v>
      </c>
      <c r="AD92" s="293" t="s">
        <v>452</v>
      </c>
      <c r="AE92" s="293" t="s">
        <v>452</v>
      </c>
      <c r="AF92" s="298" t="s">
        <v>3</v>
      </c>
      <c r="AG92" s="231">
        <v>13.8</v>
      </c>
      <c r="AH92" s="232">
        <v>1</v>
      </c>
      <c r="AI92" s="232">
        <f>AG92+AH92</f>
        <v>14.8</v>
      </c>
      <c r="AJ92" s="312" t="s">
        <v>1465</v>
      </c>
      <c r="AK92" s="308" t="s">
        <v>1466</v>
      </c>
      <c r="AL92" s="22" t="s">
        <v>1463</v>
      </c>
      <c r="AM92" s="115" t="s">
        <v>131</v>
      </c>
      <c r="AN92" s="115" t="s">
        <v>3</v>
      </c>
      <c r="AO92" s="115" t="s">
        <v>3</v>
      </c>
      <c r="AP92" s="115" t="s">
        <v>3</v>
      </c>
      <c r="AQ92" s="115" t="s">
        <v>131</v>
      </c>
      <c r="AR92" s="116" t="s">
        <v>3</v>
      </c>
      <c r="AS92" s="117">
        <f t="shared" si="1"/>
        <v>1</v>
      </c>
      <c r="AT92" s="30" t="s">
        <v>203</v>
      </c>
      <c r="AU92" s="302" t="s">
        <v>3</v>
      </c>
      <c r="AV92" s="302">
        <v>36776</v>
      </c>
      <c r="AW92" s="120">
        <v>42482</v>
      </c>
      <c r="AX92" s="120">
        <v>42634</v>
      </c>
      <c r="AY92" s="302">
        <v>42278</v>
      </c>
      <c r="AZ92" s="305" t="s">
        <v>730</v>
      </c>
      <c r="BA92" s="321">
        <v>44405</v>
      </c>
      <c r="BB92" s="603" t="s">
        <v>2054</v>
      </c>
      <c r="BC92" s="394" t="s">
        <v>3</v>
      </c>
      <c r="BD92" s="402" t="s">
        <v>3</v>
      </c>
      <c r="BE92" s="177" t="s">
        <v>897</v>
      </c>
      <c r="BF92" s="404" t="s">
        <v>860</v>
      </c>
      <c r="BG92" s="396" t="s">
        <v>3</v>
      </c>
      <c r="BH92" s="394" t="s">
        <v>3</v>
      </c>
      <c r="BI92" s="402" t="s">
        <v>3</v>
      </c>
      <c r="BJ92" s="403" t="s">
        <v>3</v>
      </c>
      <c r="BK92"/>
      <c r="BM92"/>
    </row>
    <row r="93" spans="1:65" ht="126.45" customHeight="1">
      <c r="A93" s="31" t="s">
        <v>673</v>
      </c>
      <c r="B93" s="92" t="s">
        <v>180</v>
      </c>
      <c r="C93" s="230" t="s">
        <v>717</v>
      </c>
      <c r="D93" s="230" t="s">
        <v>1701</v>
      </c>
      <c r="E93" s="337" t="s">
        <v>1692</v>
      </c>
      <c r="F93" s="337">
        <v>2030</v>
      </c>
      <c r="G93" s="230" t="s">
        <v>3</v>
      </c>
      <c r="H93" s="412">
        <v>2021</v>
      </c>
      <c r="I93" s="412">
        <v>2030</v>
      </c>
      <c r="J93" s="46" t="s">
        <v>1702</v>
      </c>
      <c r="K93" s="308" t="s">
        <v>1704</v>
      </c>
      <c r="L93" s="293" t="s">
        <v>360</v>
      </c>
      <c r="M93" s="293" t="s">
        <v>131</v>
      </c>
      <c r="N93" s="293" t="s">
        <v>1705</v>
      </c>
      <c r="O93" s="293" t="s">
        <v>471</v>
      </c>
      <c r="P93" s="293" t="s">
        <v>1705</v>
      </c>
      <c r="Q93" s="293" t="s">
        <v>1705</v>
      </c>
      <c r="R93" s="309" t="s">
        <v>3</v>
      </c>
      <c r="S93" s="293" t="s">
        <v>131</v>
      </c>
      <c r="T93" s="293" t="s">
        <v>131</v>
      </c>
      <c r="U93" s="293" t="s">
        <v>131</v>
      </c>
      <c r="V93" s="293" t="s">
        <v>3</v>
      </c>
      <c r="W93" s="293" t="s">
        <v>3</v>
      </c>
      <c r="X93" s="293" t="s">
        <v>3</v>
      </c>
      <c r="Y93" s="310" t="s">
        <v>3</v>
      </c>
      <c r="Z93" s="293" t="s">
        <v>452</v>
      </c>
      <c r="AA93" s="293" t="s">
        <v>452</v>
      </c>
      <c r="AB93" s="293" t="s">
        <v>452</v>
      </c>
      <c r="AC93" s="293" t="s">
        <v>452</v>
      </c>
      <c r="AD93" s="293" t="s">
        <v>452</v>
      </c>
      <c r="AE93" s="293" t="s">
        <v>452</v>
      </c>
      <c r="AF93" s="298" t="s">
        <v>3</v>
      </c>
      <c r="AG93" s="231">
        <f>0.664+0.531</f>
        <v>1.1950000000000001</v>
      </c>
      <c r="AH93" s="232" t="s">
        <v>1706</v>
      </c>
      <c r="AI93" s="232">
        <f>AG93</f>
        <v>1.1950000000000001</v>
      </c>
      <c r="AJ93" s="312" t="s">
        <v>1707</v>
      </c>
      <c r="AK93" s="308" t="s">
        <v>1708</v>
      </c>
      <c r="AL93" s="22" t="s">
        <v>1703</v>
      </c>
      <c r="AM93" s="115" t="s">
        <v>131</v>
      </c>
      <c r="AN93" s="115" t="s">
        <v>3</v>
      </c>
      <c r="AO93" s="115" t="s">
        <v>1705</v>
      </c>
      <c r="AP93" s="115" t="s">
        <v>3</v>
      </c>
      <c r="AQ93" s="115" t="s">
        <v>3</v>
      </c>
      <c r="AR93" s="116" t="s">
        <v>3</v>
      </c>
      <c r="AS93" s="117">
        <f t="shared" si="1"/>
        <v>1</v>
      </c>
      <c r="AT93" s="30" t="s">
        <v>203</v>
      </c>
      <c r="AU93" s="302" t="s">
        <v>3</v>
      </c>
      <c r="AV93" s="302">
        <v>38674</v>
      </c>
      <c r="AW93" s="120">
        <v>42482</v>
      </c>
      <c r="AX93" s="120">
        <v>43395</v>
      </c>
      <c r="AY93" s="302">
        <v>42277</v>
      </c>
      <c r="AZ93" s="305" t="s">
        <v>771</v>
      </c>
      <c r="BA93" s="321">
        <v>44481</v>
      </c>
      <c r="BB93" s="603" t="s">
        <v>2055</v>
      </c>
      <c r="BC93" s="394" t="s">
        <v>3</v>
      </c>
      <c r="BD93" s="402" t="s">
        <v>3</v>
      </c>
      <c r="BE93" s="177" t="s">
        <v>899</v>
      </c>
      <c r="BF93" s="404" t="s">
        <v>424</v>
      </c>
      <c r="BG93" s="396" t="s">
        <v>3</v>
      </c>
      <c r="BH93" s="394" t="s">
        <v>3</v>
      </c>
      <c r="BI93" s="402">
        <v>2020</v>
      </c>
      <c r="BJ93" s="403">
        <v>1</v>
      </c>
      <c r="BK93"/>
      <c r="BM93"/>
    </row>
    <row r="94" spans="1:65" ht="120" customHeight="1">
      <c r="A94" s="32" t="s">
        <v>568</v>
      </c>
      <c r="B94" s="95" t="s">
        <v>181</v>
      </c>
      <c r="C94" s="293" t="s">
        <v>189</v>
      </c>
      <c r="D94" s="293" t="s">
        <v>66</v>
      </c>
      <c r="E94" s="307" t="s">
        <v>3</v>
      </c>
      <c r="F94" s="307">
        <v>2025</v>
      </c>
      <c r="G94" s="230" t="s">
        <v>3</v>
      </c>
      <c r="H94" s="175" t="s">
        <v>424</v>
      </c>
      <c r="I94" s="173">
        <v>2025</v>
      </c>
      <c r="J94" s="343" t="s">
        <v>285</v>
      </c>
      <c r="K94" s="338" t="s">
        <v>320</v>
      </c>
      <c r="L94" s="293" t="s">
        <v>360</v>
      </c>
      <c r="M94" s="293" t="s">
        <v>131</v>
      </c>
      <c r="N94" s="293" t="s">
        <v>3</v>
      </c>
      <c r="O94" s="293" t="s">
        <v>3</v>
      </c>
      <c r="P94" s="293" t="s">
        <v>3</v>
      </c>
      <c r="Q94" s="293" t="s">
        <v>131</v>
      </c>
      <c r="R94" s="309" t="s">
        <v>3</v>
      </c>
      <c r="S94" s="293" t="s">
        <v>131</v>
      </c>
      <c r="T94" s="293" t="s">
        <v>3</v>
      </c>
      <c r="U94" s="293" t="s">
        <v>3</v>
      </c>
      <c r="V94" s="293" t="s">
        <v>3</v>
      </c>
      <c r="W94" s="293" t="s">
        <v>3</v>
      </c>
      <c r="X94" s="293" t="s">
        <v>3</v>
      </c>
      <c r="Y94" s="310" t="s">
        <v>3</v>
      </c>
      <c r="Z94" s="293" t="s">
        <v>452</v>
      </c>
      <c r="AA94" s="293" t="s">
        <v>452</v>
      </c>
      <c r="AB94" s="293" t="s">
        <v>452</v>
      </c>
      <c r="AC94" s="293" t="s">
        <v>452</v>
      </c>
      <c r="AD94" s="293" t="s">
        <v>452</v>
      </c>
      <c r="AE94" s="293" t="s">
        <v>452</v>
      </c>
      <c r="AF94" s="298" t="s">
        <v>3</v>
      </c>
      <c r="AG94" s="231" t="s">
        <v>3</v>
      </c>
      <c r="AH94" s="231">
        <v>1.6</v>
      </c>
      <c r="AI94" s="231">
        <v>1.6</v>
      </c>
      <c r="AJ94" s="344" t="s">
        <v>115</v>
      </c>
      <c r="AK94" s="338" t="s">
        <v>3</v>
      </c>
      <c r="AL94" s="22" t="s">
        <v>84</v>
      </c>
      <c r="AM94" s="115" t="s">
        <v>135</v>
      </c>
      <c r="AN94" s="115" t="s">
        <v>3</v>
      </c>
      <c r="AO94" s="115" t="s">
        <v>131</v>
      </c>
      <c r="AP94" s="117" t="s">
        <v>3</v>
      </c>
      <c r="AQ94" s="115" t="s">
        <v>3</v>
      </c>
      <c r="AR94" s="300" t="s">
        <v>3</v>
      </c>
      <c r="AS94" s="117">
        <f t="shared" si="1"/>
        <v>1</v>
      </c>
      <c r="AT94" s="30" t="s">
        <v>203</v>
      </c>
      <c r="AU94" s="302" t="s">
        <v>3</v>
      </c>
      <c r="AV94" s="302">
        <v>37838</v>
      </c>
      <c r="AW94" s="120">
        <v>42482</v>
      </c>
      <c r="AX94" s="120">
        <v>42510</v>
      </c>
      <c r="AY94" s="303">
        <v>42331</v>
      </c>
      <c r="AZ94" s="305" t="s">
        <v>705</v>
      </c>
      <c r="BA94" s="303">
        <v>42510</v>
      </c>
      <c r="BB94" s="603" t="s">
        <v>2056</v>
      </c>
      <c r="BC94" s="394" t="s">
        <v>3</v>
      </c>
      <c r="BD94" s="394" t="s">
        <v>3</v>
      </c>
      <c r="BE94" s="177" t="s">
        <v>899</v>
      </c>
      <c r="BF94" s="404" t="s">
        <v>424</v>
      </c>
      <c r="BG94" s="396" t="s">
        <v>3</v>
      </c>
      <c r="BH94" s="394" t="s">
        <v>3</v>
      </c>
      <c r="BI94" s="402" t="s">
        <v>3</v>
      </c>
      <c r="BJ94" s="403" t="s">
        <v>3</v>
      </c>
      <c r="BK94"/>
      <c r="BM94"/>
    </row>
    <row r="95" spans="1:65" ht="86.4" customHeight="1">
      <c r="A95" s="32" t="s">
        <v>569</v>
      </c>
      <c r="B95" s="95" t="s">
        <v>181</v>
      </c>
      <c r="C95" s="293" t="s">
        <v>185</v>
      </c>
      <c r="D95" s="293" t="s">
        <v>1914</v>
      </c>
      <c r="E95" s="307" t="s">
        <v>1</v>
      </c>
      <c r="F95" s="307">
        <v>2030</v>
      </c>
      <c r="G95" s="230" t="s">
        <v>3</v>
      </c>
      <c r="H95" s="173">
        <v>2022</v>
      </c>
      <c r="I95" s="173">
        <v>2030</v>
      </c>
      <c r="J95" s="24" t="s">
        <v>1915</v>
      </c>
      <c r="K95" s="308" t="s">
        <v>1916</v>
      </c>
      <c r="L95" s="293" t="s">
        <v>360</v>
      </c>
      <c r="M95" s="293" t="s">
        <v>131</v>
      </c>
      <c r="N95" s="293" t="s">
        <v>131</v>
      </c>
      <c r="O95" s="293" t="s">
        <v>1917</v>
      </c>
      <c r="P95" s="293" t="s">
        <v>131</v>
      </c>
      <c r="Q95" s="293" t="s">
        <v>131</v>
      </c>
      <c r="R95" s="309" t="s">
        <v>3</v>
      </c>
      <c r="S95" s="293" t="s">
        <v>131</v>
      </c>
      <c r="T95" s="293" t="s">
        <v>1917</v>
      </c>
      <c r="U95" s="293" t="s">
        <v>131</v>
      </c>
      <c r="V95" s="293" t="s">
        <v>3</v>
      </c>
      <c r="W95" s="293" t="s">
        <v>3</v>
      </c>
      <c r="X95" s="293" t="s">
        <v>3</v>
      </c>
      <c r="Y95" s="310" t="s">
        <v>3</v>
      </c>
      <c r="Z95" s="293">
        <v>3.5</v>
      </c>
      <c r="AA95" s="293">
        <v>9.8000000000000007</v>
      </c>
      <c r="AB95" s="293">
        <v>1.5</v>
      </c>
      <c r="AC95" s="293" t="s">
        <v>3</v>
      </c>
      <c r="AD95" s="293" t="s">
        <v>3</v>
      </c>
      <c r="AE95" s="293" t="s">
        <v>3</v>
      </c>
      <c r="AF95" s="298" t="s">
        <v>3</v>
      </c>
      <c r="AG95" s="322">
        <v>4</v>
      </c>
      <c r="AH95" s="322">
        <v>13</v>
      </c>
      <c r="AI95" s="322">
        <v>22</v>
      </c>
      <c r="AJ95" s="312" t="s">
        <v>1918</v>
      </c>
      <c r="AK95" s="308" t="s">
        <v>1919</v>
      </c>
      <c r="AL95" s="22" t="s">
        <v>1920</v>
      </c>
      <c r="AM95" s="115" t="s">
        <v>131</v>
      </c>
      <c r="AN95" s="115" t="s">
        <v>3</v>
      </c>
      <c r="AO95" s="115" t="s">
        <v>3</v>
      </c>
      <c r="AP95" s="115" t="s">
        <v>3</v>
      </c>
      <c r="AQ95" s="115" t="s">
        <v>3</v>
      </c>
      <c r="AR95" s="116" t="s">
        <v>3</v>
      </c>
      <c r="AS95" s="117">
        <f t="shared" si="1"/>
        <v>1</v>
      </c>
      <c r="AT95" s="30" t="s">
        <v>203</v>
      </c>
      <c r="AU95" s="302" t="s">
        <v>3</v>
      </c>
      <c r="AV95" s="302">
        <v>38539</v>
      </c>
      <c r="AW95" s="120">
        <v>42482</v>
      </c>
      <c r="AX95" s="120">
        <v>42947</v>
      </c>
      <c r="AY95" s="302">
        <v>42277</v>
      </c>
      <c r="AZ95" s="305" t="s">
        <v>776</v>
      </c>
      <c r="BA95" s="321">
        <v>44713</v>
      </c>
      <c r="BB95" s="603" t="s">
        <v>2057</v>
      </c>
      <c r="BC95" s="394" t="s">
        <v>3</v>
      </c>
      <c r="BD95" s="394" t="s">
        <v>3</v>
      </c>
      <c r="BE95" s="177" t="s">
        <v>897</v>
      </c>
      <c r="BF95" s="404" t="s">
        <v>860</v>
      </c>
      <c r="BG95" s="396" t="s">
        <v>3</v>
      </c>
      <c r="BH95" s="394" t="s">
        <v>3</v>
      </c>
      <c r="BI95" s="402" t="s">
        <v>3</v>
      </c>
      <c r="BJ95" s="403" t="s">
        <v>3</v>
      </c>
      <c r="BK95" s="283"/>
      <c r="BM95"/>
    </row>
    <row r="96" spans="1:65" ht="144" customHeight="1">
      <c r="A96" s="32" t="s">
        <v>570</v>
      </c>
      <c r="B96" s="95" t="s">
        <v>181</v>
      </c>
      <c r="C96" s="293" t="s">
        <v>185</v>
      </c>
      <c r="D96" s="318" t="s">
        <v>1405</v>
      </c>
      <c r="E96" s="307" t="s">
        <v>1</v>
      </c>
      <c r="F96" s="307">
        <v>2030</v>
      </c>
      <c r="G96" s="230" t="s">
        <v>3</v>
      </c>
      <c r="H96" s="173">
        <v>2021</v>
      </c>
      <c r="I96" s="173">
        <v>2030</v>
      </c>
      <c r="J96" s="24" t="s">
        <v>1407</v>
      </c>
      <c r="K96" s="308" t="s">
        <v>1408</v>
      </c>
      <c r="L96" s="293" t="s">
        <v>360</v>
      </c>
      <c r="M96" s="293" t="s">
        <v>131</v>
      </c>
      <c r="N96" s="293" t="s">
        <v>131</v>
      </c>
      <c r="O96" s="293" t="s">
        <v>1406</v>
      </c>
      <c r="P96" s="293" t="s">
        <v>131</v>
      </c>
      <c r="Q96" s="293" t="s">
        <v>3</v>
      </c>
      <c r="R96" s="309" t="s">
        <v>131</v>
      </c>
      <c r="S96" s="293" t="s">
        <v>131</v>
      </c>
      <c r="T96" s="293" t="s">
        <v>131</v>
      </c>
      <c r="U96" s="293" t="s">
        <v>131</v>
      </c>
      <c r="V96" s="293" t="s">
        <v>1406</v>
      </c>
      <c r="W96" s="293" t="s">
        <v>3</v>
      </c>
      <c r="X96" s="293" t="s">
        <v>3</v>
      </c>
      <c r="Y96" s="310" t="s">
        <v>3</v>
      </c>
      <c r="Z96" s="293">
        <v>10.1</v>
      </c>
      <c r="AA96" s="293">
        <v>7.6</v>
      </c>
      <c r="AB96" s="293">
        <v>3.2</v>
      </c>
      <c r="AC96" s="293" t="s">
        <v>3</v>
      </c>
      <c r="AD96" s="293" t="s">
        <v>3</v>
      </c>
      <c r="AE96" s="293" t="s">
        <v>3</v>
      </c>
      <c r="AF96" s="298" t="s">
        <v>3</v>
      </c>
      <c r="AG96" s="322" t="s">
        <v>3</v>
      </c>
      <c r="AH96" s="339" t="s">
        <v>3</v>
      </c>
      <c r="AI96" s="339" t="s">
        <v>3</v>
      </c>
      <c r="AJ96" s="434" t="s">
        <v>3</v>
      </c>
      <c r="AK96" s="308" t="s">
        <v>1409</v>
      </c>
      <c r="AL96" s="22" t="s">
        <v>1410</v>
      </c>
      <c r="AM96" s="115" t="s">
        <v>1411</v>
      </c>
      <c r="AN96" s="115" t="s">
        <v>3</v>
      </c>
      <c r="AO96" s="115" t="s">
        <v>3</v>
      </c>
      <c r="AP96" s="115" t="s">
        <v>3</v>
      </c>
      <c r="AQ96" s="115" t="s">
        <v>3</v>
      </c>
      <c r="AR96" s="116" t="s">
        <v>3</v>
      </c>
      <c r="AS96" s="117">
        <f t="shared" si="1"/>
        <v>1</v>
      </c>
      <c r="AT96" s="30" t="s">
        <v>203</v>
      </c>
      <c r="AU96" s="302">
        <v>36216</v>
      </c>
      <c r="AV96" s="302">
        <v>36726</v>
      </c>
      <c r="AW96" s="120">
        <v>42482</v>
      </c>
      <c r="AX96" s="120">
        <v>42634</v>
      </c>
      <c r="AY96" s="302">
        <v>42278</v>
      </c>
      <c r="AZ96" s="317" t="s">
        <v>747</v>
      </c>
      <c r="BA96" s="321">
        <v>44335</v>
      </c>
      <c r="BB96" s="603" t="s">
        <v>2058</v>
      </c>
      <c r="BC96" s="394" t="s">
        <v>3</v>
      </c>
      <c r="BD96" s="394" t="s">
        <v>3</v>
      </c>
      <c r="BE96" s="177" t="s">
        <v>898</v>
      </c>
      <c r="BF96" s="404" t="s">
        <v>911</v>
      </c>
      <c r="BG96" s="396" t="s">
        <v>3</v>
      </c>
      <c r="BH96" s="394" t="s">
        <v>3</v>
      </c>
      <c r="BI96" s="402">
        <v>2020</v>
      </c>
      <c r="BJ96" s="403">
        <v>1</v>
      </c>
      <c r="BK96" s="283"/>
      <c r="BM96"/>
    </row>
    <row r="97" spans="1:65" ht="96" customHeight="1">
      <c r="A97" s="32" t="s">
        <v>571</v>
      </c>
      <c r="B97" s="94" t="s">
        <v>76</v>
      </c>
      <c r="C97" s="293" t="s">
        <v>186</v>
      </c>
      <c r="D97" s="318">
        <v>0.55000000000000004</v>
      </c>
      <c r="E97" s="307">
        <v>1990</v>
      </c>
      <c r="F97" s="307">
        <v>2030</v>
      </c>
      <c r="G97" s="230" t="s">
        <v>3</v>
      </c>
      <c r="H97" s="177">
        <v>2021</v>
      </c>
      <c r="I97" s="177">
        <v>2030</v>
      </c>
      <c r="J97" s="24" t="s">
        <v>1322</v>
      </c>
      <c r="K97" s="308" t="s">
        <v>3</v>
      </c>
      <c r="L97" s="293" t="s">
        <v>360</v>
      </c>
      <c r="M97" s="293" t="s">
        <v>131</v>
      </c>
      <c r="N97" s="293" t="s">
        <v>131</v>
      </c>
      <c r="O97" s="293" t="s">
        <v>131</v>
      </c>
      <c r="P97" s="293" t="s">
        <v>131</v>
      </c>
      <c r="Q97" s="293" t="s">
        <v>131</v>
      </c>
      <c r="R97" s="309" t="s">
        <v>131</v>
      </c>
      <c r="S97" s="293" t="s">
        <v>131</v>
      </c>
      <c r="T97" s="293" t="s">
        <v>131</v>
      </c>
      <c r="U97" s="293" t="s">
        <v>131</v>
      </c>
      <c r="V97" s="293" t="s">
        <v>131</v>
      </c>
      <c r="W97" s="293" t="s">
        <v>131</v>
      </c>
      <c r="X97" s="293" t="s">
        <v>131</v>
      </c>
      <c r="Y97" s="310" t="s">
        <v>131</v>
      </c>
      <c r="Z97" s="293">
        <v>3.8</v>
      </c>
      <c r="AA97" s="293">
        <v>0.5</v>
      </c>
      <c r="AB97" s="293">
        <v>0.4</v>
      </c>
      <c r="AC97" s="293">
        <v>0.1</v>
      </c>
      <c r="AD97" s="293">
        <v>0</v>
      </c>
      <c r="AE97" s="293">
        <v>0</v>
      </c>
      <c r="AF97" s="298" t="s">
        <v>3</v>
      </c>
      <c r="AG97" s="322" t="s">
        <v>3</v>
      </c>
      <c r="AH97" s="322" t="s">
        <v>3</v>
      </c>
      <c r="AI97" s="322" t="s">
        <v>3</v>
      </c>
      <c r="AJ97" s="312" t="s">
        <v>3</v>
      </c>
      <c r="AK97" s="308" t="s">
        <v>3</v>
      </c>
      <c r="AL97" s="22" t="s">
        <v>1323</v>
      </c>
      <c r="AM97" s="115" t="s">
        <v>3</v>
      </c>
      <c r="AN97" s="115" t="s">
        <v>1325</v>
      </c>
      <c r="AO97" s="115" t="s">
        <v>3</v>
      </c>
      <c r="AP97" s="115" t="s">
        <v>1324</v>
      </c>
      <c r="AQ97" s="115" t="s">
        <v>3</v>
      </c>
      <c r="AR97" s="116" t="s">
        <v>3</v>
      </c>
      <c r="AS97" s="117">
        <f t="shared" si="1"/>
        <v>1</v>
      </c>
      <c r="AT97" s="30" t="s">
        <v>205</v>
      </c>
      <c r="AU97" s="302" t="s">
        <v>3</v>
      </c>
      <c r="AV97" s="302">
        <v>37399</v>
      </c>
      <c r="AW97" s="120">
        <v>42482</v>
      </c>
      <c r="AX97" s="120">
        <v>42634</v>
      </c>
      <c r="AY97" s="302">
        <v>42185</v>
      </c>
      <c r="AZ97" s="305" t="s">
        <v>834</v>
      </c>
      <c r="BA97" s="489">
        <v>44245</v>
      </c>
      <c r="BB97" s="603" t="s">
        <v>2059</v>
      </c>
      <c r="BC97" s="394" t="s">
        <v>3</v>
      </c>
      <c r="BD97" s="394" t="s">
        <v>3</v>
      </c>
      <c r="BE97" s="177" t="s">
        <v>899</v>
      </c>
      <c r="BF97" s="404" t="s">
        <v>424</v>
      </c>
      <c r="BG97" s="397">
        <v>2020</v>
      </c>
      <c r="BH97" s="395">
        <v>4</v>
      </c>
      <c r="BI97" s="177" t="s">
        <v>3</v>
      </c>
      <c r="BJ97" s="446" t="s">
        <v>3</v>
      </c>
      <c r="BK97"/>
      <c r="BM97"/>
    </row>
    <row r="98" spans="1:65" ht="144" customHeight="1">
      <c r="A98" s="31" t="s">
        <v>572</v>
      </c>
      <c r="B98" s="90" t="s">
        <v>23</v>
      </c>
      <c r="C98" s="230" t="s">
        <v>187</v>
      </c>
      <c r="D98" s="319">
        <v>0.45</v>
      </c>
      <c r="E98" s="230">
        <v>2005</v>
      </c>
      <c r="F98" s="230">
        <v>2030</v>
      </c>
      <c r="G98" s="230" t="s">
        <v>3</v>
      </c>
      <c r="H98" s="176" t="s">
        <v>1966</v>
      </c>
      <c r="I98" s="176">
        <v>2030</v>
      </c>
      <c r="J98" s="320" t="s">
        <v>1967</v>
      </c>
      <c r="K98" s="314" t="s">
        <v>89</v>
      </c>
      <c r="L98" s="30" t="s">
        <v>360</v>
      </c>
      <c r="M98" s="30" t="s">
        <v>131</v>
      </c>
      <c r="N98" s="30" t="s">
        <v>131</v>
      </c>
      <c r="O98" s="30" t="s">
        <v>131</v>
      </c>
      <c r="P98" s="30" t="s">
        <v>131</v>
      </c>
      <c r="Q98" s="30" t="s">
        <v>131</v>
      </c>
      <c r="R98" s="315" t="s">
        <v>131</v>
      </c>
      <c r="S98" s="30" t="s">
        <v>131</v>
      </c>
      <c r="T98" s="30" t="s">
        <v>3</v>
      </c>
      <c r="U98" s="30" t="s">
        <v>3</v>
      </c>
      <c r="V98" s="30" t="s">
        <v>3</v>
      </c>
      <c r="W98" s="30" t="s">
        <v>3</v>
      </c>
      <c r="X98" s="30" t="s">
        <v>3</v>
      </c>
      <c r="Y98" s="298" t="s">
        <v>3</v>
      </c>
      <c r="Z98" s="336">
        <v>2232.1</v>
      </c>
      <c r="AA98" s="30">
        <v>768.5</v>
      </c>
      <c r="AB98" s="30">
        <v>252.1</v>
      </c>
      <c r="AC98" s="30">
        <v>17.7</v>
      </c>
      <c r="AD98" s="30">
        <v>0.7</v>
      </c>
      <c r="AE98" s="30">
        <v>5.5</v>
      </c>
      <c r="AF98" s="298" t="s">
        <v>3</v>
      </c>
      <c r="AG98" s="232">
        <v>834</v>
      </c>
      <c r="AH98" s="232">
        <v>206</v>
      </c>
      <c r="AI98" s="232">
        <v>2500</v>
      </c>
      <c r="AJ98" s="316" t="s">
        <v>318</v>
      </c>
      <c r="AK98" s="314" t="s">
        <v>88</v>
      </c>
      <c r="AL98" s="22" t="s">
        <v>133</v>
      </c>
      <c r="AM98" s="115" t="s">
        <v>131</v>
      </c>
      <c r="AN98" s="115" t="s">
        <v>3</v>
      </c>
      <c r="AO98" s="115" t="s">
        <v>3</v>
      </c>
      <c r="AP98" s="115" t="s">
        <v>3</v>
      </c>
      <c r="AQ98" s="115" t="s">
        <v>3</v>
      </c>
      <c r="AR98" s="116" t="s">
        <v>3</v>
      </c>
      <c r="AS98" s="117">
        <f t="shared" si="1"/>
        <v>1</v>
      </c>
      <c r="AT98" s="30" t="s">
        <v>203</v>
      </c>
      <c r="AU98" s="302" t="s">
        <v>3</v>
      </c>
      <c r="AV98" s="302">
        <v>37494</v>
      </c>
      <c r="AW98" s="120">
        <v>42482</v>
      </c>
      <c r="AX98" s="120">
        <v>42645</v>
      </c>
      <c r="AY98" s="302">
        <v>42278</v>
      </c>
      <c r="AZ98" s="305" t="s">
        <v>740</v>
      </c>
      <c r="BA98" s="321">
        <v>44799</v>
      </c>
      <c r="BB98" s="603" t="s">
        <v>2060</v>
      </c>
      <c r="BC98" s="394" t="s">
        <v>3</v>
      </c>
      <c r="BD98" s="394" t="s">
        <v>3</v>
      </c>
      <c r="BE98" s="177" t="s">
        <v>899</v>
      </c>
      <c r="BF98" s="404" t="s">
        <v>424</v>
      </c>
      <c r="BG98" s="396" t="s">
        <v>3</v>
      </c>
      <c r="BH98" s="394" t="s">
        <v>3</v>
      </c>
      <c r="BI98" s="440">
        <v>2021</v>
      </c>
      <c r="BJ98" s="447">
        <v>3</v>
      </c>
      <c r="BK98"/>
      <c r="BM98"/>
    </row>
    <row r="99" spans="1:65" ht="127.8" customHeight="1">
      <c r="A99" s="31" t="s">
        <v>573</v>
      </c>
      <c r="B99" s="90" t="s">
        <v>23</v>
      </c>
      <c r="C99" s="230" t="s">
        <v>185</v>
      </c>
      <c r="D99" s="230" t="s">
        <v>1984</v>
      </c>
      <c r="E99" s="230" t="s">
        <v>1</v>
      </c>
      <c r="F99" s="230">
        <v>2030</v>
      </c>
      <c r="G99" s="230" t="s">
        <v>3</v>
      </c>
      <c r="H99" s="176" t="s">
        <v>1979</v>
      </c>
      <c r="I99" s="176" t="s">
        <v>1979</v>
      </c>
      <c r="J99" s="320" t="s">
        <v>1985</v>
      </c>
      <c r="K99" s="314" t="s">
        <v>1986</v>
      </c>
      <c r="L99" s="30" t="s">
        <v>360</v>
      </c>
      <c r="M99" s="30" t="s">
        <v>131</v>
      </c>
      <c r="N99" s="30" t="s">
        <v>131</v>
      </c>
      <c r="O99" s="30" t="s">
        <v>131</v>
      </c>
      <c r="P99" s="30" t="s">
        <v>131</v>
      </c>
      <c r="Q99" s="30" t="s">
        <v>131</v>
      </c>
      <c r="R99" s="315" t="s">
        <v>131</v>
      </c>
      <c r="S99" s="30" t="s">
        <v>131</v>
      </c>
      <c r="T99" s="30" t="s">
        <v>131</v>
      </c>
      <c r="U99" s="30" t="s">
        <v>131</v>
      </c>
      <c r="V99" s="30" t="s">
        <v>3</v>
      </c>
      <c r="W99" s="30" t="s">
        <v>3</v>
      </c>
      <c r="X99" s="30" t="s">
        <v>3</v>
      </c>
      <c r="Y99" s="298" t="s">
        <v>3</v>
      </c>
      <c r="Z99" s="30">
        <v>504.7</v>
      </c>
      <c r="AA99" s="30">
        <v>351.8</v>
      </c>
      <c r="AB99" s="30">
        <v>103.9</v>
      </c>
      <c r="AC99" s="30" t="s">
        <v>3</v>
      </c>
      <c r="AD99" s="30">
        <v>0</v>
      </c>
      <c r="AE99" s="30">
        <v>1.1000000000000001</v>
      </c>
      <c r="AF99" s="298" t="s">
        <v>3</v>
      </c>
      <c r="AG99" s="311" t="s">
        <v>3</v>
      </c>
      <c r="AH99" s="311" t="s">
        <v>3</v>
      </c>
      <c r="AI99" s="311" t="s">
        <v>3</v>
      </c>
      <c r="AJ99" s="316" t="s">
        <v>1987</v>
      </c>
      <c r="AK99" s="314" t="s">
        <v>3</v>
      </c>
      <c r="AL99" s="22" t="s">
        <v>1988</v>
      </c>
      <c r="AM99" s="115" t="s">
        <v>131</v>
      </c>
      <c r="AN99" s="115" t="s">
        <v>131</v>
      </c>
      <c r="AO99" s="115" t="s">
        <v>131</v>
      </c>
      <c r="AP99" s="117" t="s">
        <v>3</v>
      </c>
      <c r="AQ99" s="115" t="s">
        <v>3</v>
      </c>
      <c r="AR99" s="300" t="s">
        <v>246</v>
      </c>
      <c r="AS99" s="117">
        <f t="shared" si="1"/>
        <v>1</v>
      </c>
      <c r="AT99" s="30" t="s">
        <v>203</v>
      </c>
      <c r="AU99" s="302">
        <v>35989</v>
      </c>
      <c r="AV99" s="302">
        <v>38324</v>
      </c>
      <c r="AW99" s="120">
        <v>42482</v>
      </c>
      <c r="AX99" s="303">
        <v>42674</v>
      </c>
      <c r="AY99" s="302">
        <v>42271</v>
      </c>
      <c r="AZ99" s="305" t="s">
        <v>809</v>
      </c>
      <c r="BA99" s="302">
        <v>44827</v>
      </c>
      <c r="BB99" s="603" t="s">
        <v>2162</v>
      </c>
      <c r="BC99" s="394" t="s">
        <v>3</v>
      </c>
      <c r="BD99" s="394" t="s">
        <v>3</v>
      </c>
      <c r="BE99" s="177" t="s">
        <v>899</v>
      </c>
      <c r="BF99" s="404" t="s">
        <v>424</v>
      </c>
      <c r="BG99" s="396" t="s">
        <v>3</v>
      </c>
      <c r="BH99" s="394" t="s">
        <v>3</v>
      </c>
      <c r="BI99" s="440">
        <v>2021</v>
      </c>
      <c r="BJ99" s="447">
        <v>3</v>
      </c>
      <c r="BK99"/>
      <c r="BM99"/>
    </row>
    <row r="100" spans="1:65" ht="144" customHeight="1">
      <c r="A100" s="31" t="s">
        <v>574</v>
      </c>
      <c r="B100" s="203" t="s">
        <v>182</v>
      </c>
      <c r="C100" s="230" t="s">
        <v>185</v>
      </c>
      <c r="D100" s="319" t="s">
        <v>1134</v>
      </c>
      <c r="E100" s="230" t="s">
        <v>1</v>
      </c>
      <c r="F100" s="230">
        <v>2030</v>
      </c>
      <c r="G100" s="230" t="s">
        <v>3</v>
      </c>
      <c r="H100" s="174" t="s">
        <v>424</v>
      </c>
      <c r="I100" s="174" t="s">
        <v>424</v>
      </c>
      <c r="J100" s="320" t="s">
        <v>1136</v>
      </c>
      <c r="K100" s="314" t="s">
        <v>1135</v>
      </c>
      <c r="L100" s="30" t="s">
        <v>360</v>
      </c>
      <c r="M100" s="30" t="s">
        <v>131</v>
      </c>
      <c r="N100" s="30" t="s">
        <v>131</v>
      </c>
      <c r="O100" s="30" t="s">
        <v>3</v>
      </c>
      <c r="P100" s="30" t="s">
        <v>131</v>
      </c>
      <c r="Q100" s="30" t="s">
        <v>131</v>
      </c>
      <c r="R100" s="315" t="s">
        <v>131</v>
      </c>
      <c r="S100" s="30" t="s">
        <v>131</v>
      </c>
      <c r="T100" s="30" t="s">
        <v>131</v>
      </c>
      <c r="U100" s="30" t="s">
        <v>131</v>
      </c>
      <c r="V100" s="30" t="s">
        <v>131</v>
      </c>
      <c r="W100" s="30" t="s">
        <v>131</v>
      </c>
      <c r="X100" s="30" t="s">
        <v>131</v>
      </c>
      <c r="Y100" s="298" t="s">
        <v>131</v>
      </c>
      <c r="Z100" s="30">
        <v>6209</v>
      </c>
      <c r="AA100" s="30">
        <v>169.9</v>
      </c>
      <c r="AB100" s="30">
        <v>27.2</v>
      </c>
      <c r="AC100" s="30" t="s">
        <v>3</v>
      </c>
      <c r="AD100" s="30">
        <v>0</v>
      </c>
      <c r="AE100" s="30">
        <v>2.9</v>
      </c>
      <c r="AF100" s="298" t="s">
        <v>3</v>
      </c>
      <c r="AG100" s="232">
        <v>52.5</v>
      </c>
      <c r="AH100" s="232">
        <v>140</v>
      </c>
      <c r="AI100" s="232">
        <v>192.5</v>
      </c>
      <c r="AJ100" s="316" t="s">
        <v>1102</v>
      </c>
      <c r="AK100" s="314" t="s">
        <v>100</v>
      </c>
      <c r="AL100" s="22" t="s">
        <v>134</v>
      </c>
      <c r="AM100" s="115" t="s">
        <v>131</v>
      </c>
      <c r="AN100" s="115" t="s">
        <v>3</v>
      </c>
      <c r="AO100" s="115" t="s">
        <v>3</v>
      </c>
      <c r="AP100" s="115" t="s">
        <v>3</v>
      </c>
      <c r="AQ100" s="115" t="s">
        <v>3</v>
      </c>
      <c r="AR100" s="116" t="s">
        <v>3</v>
      </c>
      <c r="AS100" s="117">
        <f t="shared" si="1"/>
        <v>1</v>
      </c>
      <c r="AT100" s="30" t="s">
        <v>203</v>
      </c>
      <c r="AU100" s="302" t="s">
        <v>3</v>
      </c>
      <c r="AV100" s="302">
        <v>38586</v>
      </c>
      <c r="AW100" s="120">
        <v>42482</v>
      </c>
      <c r="AX100" s="120" t="s">
        <v>3</v>
      </c>
      <c r="AY100" s="303">
        <v>42329</v>
      </c>
      <c r="AZ100" s="305" t="s">
        <v>706</v>
      </c>
      <c r="BA100" s="174" t="s">
        <v>3</v>
      </c>
      <c r="BB100" s="611" t="s">
        <v>3</v>
      </c>
      <c r="BC100" s="394" t="s">
        <v>3</v>
      </c>
      <c r="BD100" s="394" t="s">
        <v>3</v>
      </c>
      <c r="BE100" s="176" t="s">
        <v>912</v>
      </c>
      <c r="BF100" s="404" t="s">
        <v>424</v>
      </c>
      <c r="BG100" s="396" t="s">
        <v>3</v>
      </c>
      <c r="BH100" s="394" t="s">
        <v>3</v>
      </c>
      <c r="BI100" s="402" t="s">
        <v>3</v>
      </c>
      <c r="BJ100" s="403" t="s">
        <v>3</v>
      </c>
      <c r="BK100"/>
      <c r="BM100"/>
    </row>
    <row r="101" spans="1:65" ht="69" customHeight="1">
      <c r="A101" s="31" t="s">
        <v>575</v>
      </c>
      <c r="B101" s="203" t="s">
        <v>182</v>
      </c>
      <c r="C101" s="230" t="s">
        <v>1762</v>
      </c>
      <c r="D101" s="230" t="s">
        <v>424</v>
      </c>
      <c r="E101" s="230" t="s">
        <v>1763</v>
      </c>
      <c r="F101" s="230" t="s">
        <v>1763</v>
      </c>
      <c r="G101" s="230" t="s">
        <v>3</v>
      </c>
      <c r="H101" s="174" t="s">
        <v>424</v>
      </c>
      <c r="I101" s="174" t="s">
        <v>424</v>
      </c>
      <c r="J101" s="320" t="s">
        <v>1765</v>
      </c>
      <c r="K101" s="314" t="s">
        <v>1767</v>
      </c>
      <c r="L101" s="30" t="s">
        <v>3</v>
      </c>
      <c r="M101" s="30" t="s">
        <v>1764</v>
      </c>
      <c r="N101" s="30" t="s">
        <v>1764</v>
      </c>
      <c r="O101" s="30" t="s">
        <v>1764</v>
      </c>
      <c r="P101" s="30" t="s">
        <v>1764</v>
      </c>
      <c r="Q101" s="30" t="s">
        <v>3</v>
      </c>
      <c r="R101" s="315" t="s">
        <v>1764</v>
      </c>
      <c r="S101" s="30" t="s">
        <v>1764</v>
      </c>
      <c r="T101" s="30" t="s">
        <v>1764</v>
      </c>
      <c r="U101" s="30" t="s">
        <v>1764</v>
      </c>
      <c r="V101" s="30" t="s">
        <v>3</v>
      </c>
      <c r="W101" s="30" t="s">
        <v>3</v>
      </c>
      <c r="X101" s="30" t="s">
        <v>3</v>
      </c>
      <c r="Y101" s="298" t="s">
        <v>3</v>
      </c>
      <c r="Z101" s="30">
        <v>167.3</v>
      </c>
      <c r="AA101" s="30">
        <v>67.2</v>
      </c>
      <c r="AB101" s="30">
        <v>7.2</v>
      </c>
      <c r="AC101" s="30" t="s">
        <v>3</v>
      </c>
      <c r="AD101" s="30" t="s">
        <v>3</v>
      </c>
      <c r="AE101" s="30">
        <v>0.1</v>
      </c>
      <c r="AF101" s="298" t="s">
        <v>3</v>
      </c>
      <c r="AG101" s="322" t="s">
        <v>3</v>
      </c>
      <c r="AH101" s="339" t="s">
        <v>3</v>
      </c>
      <c r="AI101" s="339" t="s">
        <v>3</v>
      </c>
      <c r="AJ101" s="316" t="s">
        <v>3</v>
      </c>
      <c r="AK101" s="314" t="s">
        <v>1766</v>
      </c>
      <c r="AL101" s="21" t="s">
        <v>1763</v>
      </c>
      <c r="AM101" s="115" t="s">
        <v>1760</v>
      </c>
      <c r="AN101" s="115" t="s">
        <v>1760</v>
      </c>
      <c r="AO101" s="115" t="s">
        <v>1760</v>
      </c>
      <c r="AP101" s="115" t="s">
        <v>1760</v>
      </c>
      <c r="AQ101" s="115" t="s">
        <v>1760</v>
      </c>
      <c r="AR101" s="116" t="s">
        <v>1760</v>
      </c>
      <c r="AS101" s="117" t="str">
        <f t="shared" si="1"/>
        <v/>
      </c>
      <c r="AT101" s="30" t="s">
        <v>203</v>
      </c>
      <c r="AU101" s="302" t="s">
        <v>3</v>
      </c>
      <c r="AV101" s="302">
        <v>40022</v>
      </c>
      <c r="AW101" s="120">
        <v>42712</v>
      </c>
      <c r="AX101" s="120">
        <v>44501</v>
      </c>
      <c r="AY101" s="328">
        <v>42320</v>
      </c>
      <c r="AZ101" s="317" t="s">
        <v>718</v>
      </c>
      <c r="BA101" s="303">
        <v>44484</v>
      </c>
      <c r="BB101" s="603" t="s">
        <v>2061</v>
      </c>
      <c r="BC101" s="394" t="s">
        <v>3</v>
      </c>
      <c r="BD101" s="394" t="s">
        <v>3</v>
      </c>
      <c r="BE101" s="177" t="s">
        <v>904</v>
      </c>
      <c r="BF101" s="404" t="s">
        <v>424</v>
      </c>
      <c r="BG101" s="396" t="s">
        <v>3</v>
      </c>
      <c r="BH101" s="394" t="s">
        <v>3</v>
      </c>
      <c r="BI101" s="402" t="s">
        <v>3</v>
      </c>
      <c r="BJ101" s="403" t="s">
        <v>3</v>
      </c>
      <c r="BK101" s="283"/>
      <c r="BM101"/>
    </row>
    <row r="102" spans="1:65" ht="72" customHeight="1">
      <c r="A102" s="31" t="s">
        <v>576</v>
      </c>
      <c r="B102" s="203" t="s">
        <v>182</v>
      </c>
      <c r="C102" s="230" t="s">
        <v>1467</v>
      </c>
      <c r="D102" s="319" t="s">
        <v>1468</v>
      </c>
      <c r="E102" s="230">
        <v>2015</v>
      </c>
      <c r="F102" s="230" t="s">
        <v>988</v>
      </c>
      <c r="G102" s="230" t="s">
        <v>3</v>
      </c>
      <c r="H102" s="179">
        <v>2021</v>
      </c>
      <c r="I102" s="179">
        <v>2030</v>
      </c>
      <c r="J102" s="320" t="s">
        <v>1469</v>
      </c>
      <c r="K102" s="314" t="s">
        <v>1470</v>
      </c>
      <c r="L102" s="30" t="s">
        <v>360</v>
      </c>
      <c r="M102" s="30" t="s">
        <v>131</v>
      </c>
      <c r="N102" s="30" t="s">
        <v>131</v>
      </c>
      <c r="O102" s="30" t="s">
        <v>131</v>
      </c>
      <c r="P102" s="30" t="s">
        <v>131</v>
      </c>
      <c r="Q102" s="30" t="s">
        <v>1471</v>
      </c>
      <c r="R102" s="315" t="s">
        <v>131</v>
      </c>
      <c r="S102" s="30" t="s">
        <v>131</v>
      </c>
      <c r="T102" s="30" t="s">
        <v>131</v>
      </c>
      <c r="U102" s="30" t="s">
        <v>131</v>
      </c>
      <c r="V102" s="30" t="s">
        <v>131</v>
      </c>
      <c r="W102" s="30" t="s">
        <v>131</v>
      </c>
      <c r="X102" s="30" t="s">
        <v>131</v>
      </c>
      <c r="Y102" s="298" t="s">
        <v>3</v>
      </c>
      <c r="Z102" s="30">
        <v>68</v>
      </c>
      <c r="AA102" s="30">
        <v>9.1999999999999993</v>
      </c>
      <c r="AB102" s="30">
        <v>2.2999999999999998</v>
      </c>
      <c r="AC102" s="30">
        <v>2</v>
      </c>
      <c r="AD102" s="30">
        <v>0.1</v>
      </c>
      <c r="AE102" s="30">
        <v>0.7</v>
      </c>
      <c r="AF102" s="298" t="s">
        <v>3</v>
      </c>
      <c r="AG102" s="311" t="s">
        <v>3</v>
      </c>
      <c r="AH102" s="311" t="s">
        <v>3</v>
      </c>
      <c r="AI102" s="311" t="s">
        <v>3</v>
      </c>
      <c r="AJ102" s="316" t="s">
        <v>3</v>
      </c>
      <c r="AK102" s="314" t="s">
        <v>1473</v>
      </c>
      <c r="AL102" s="22" t="s">
        <v>1472</v>
      </c>
      <c r="AM102" s="115" t="s">
        <v>3</v>
      </c>
      <c r="AN102" s="115" t="s">
        <v>3</v>
      </c>
      <c r="AO102" s="115" t="s">
        <v>3</v>
      </c>
      <c r="AP102" s="115" t="s">
        <v>3</v>
      </c>
      <c r="AQ102" s="115" t="s">
        <v>3</v>
      </c>
      <c r="AR102" s="116" t="s">
        <v>3</v>
      </c>
      <c r="AS102" s="117" t="str">
        <f t="shared" si="1"/>
        <v/>
      </c>
      <c r="AT102" s="30" t="s">
        <v>203</v>
      </c>
      <c r="AU102" s="302">
        <v>36145</v>
      </c>
      <c r="AV102" s="302">
        <v>38061</v>
      </c>
      <c r="AW102" s="120">
        <v>42482</v>
      </c>
      <c r="AX102" s="120">
        <v>42696</v>
      </c>
      <c r="AY102" s="324">
        <v>42277</v>
      </c>
      <c r="AZ102" s="317" t="s">
        <v>779</v>
      </c>
      <c r="BA102" s="321">
        <v>44406</v>
      </c>
      <c r="BB102" s="603" t="s">
        <v>2062</v>
      </c>
      <c r="BC102" s="394" t="s">
        <v>3</v>
      </c>
      <c r="BD102" s="394" t="s">
        <v>3</v>
      </c>
      <c r="BE102" s="177" t="s">
        <v>899</v>
      </c>
      <c r="BF102" s="404" t="s">
        <v>424</v>
      </c>
      <c r="BG102" s="396" t="s">
        <v>3</v>
      </c>
      <c r="BH102" s="394" t="s">
        <v>3</v>
      </c>
      <c r="BI102" s="440">
        <v>2016</v>
      </c>
      <c r="BJ102" s="447">
        <v>1</v>
      </c>
      <c r="BK102"/>
      <c r="BM102"/>
    </row>
    <row r="103" spans="1:65" ht="120" customHeight="1">
      <c r="A103" s="32" t="s">
        <v>577</v>
      </c>
      <c r="B103" s="95" t="s">
        <v>458</v>
      </c>
      <c r="C103" s="293" t="s">
        <v>185</v>
      </c>
      <c r="D103" s="345" t="s">
        <v>1033</v>
      </c>
      <c r="E103" s="307" t="s">
        <v>1</v>
      </c>
      <c r="F103" s="307">
        <v>2030</v>
      </c>
      <c r="G103" s="230" t="s">
        <v>3</v>
      </c>
      <c r="H103" s="173">
        <v>2005</v>
      </c>
      <c r="I103" s="173">
        <v>2030</v>
      </c>
      <c r="J103" s="420" t="s">
        <v>999</v>
      </c>
      <c r="K103" s="308" t="s">
        <v>994</v>
      </c>
      <c r="L103" s="293" t="s">
        <v>360</v>
      </c>
      <c r="M103" s="293" t="s">
        <v>131</v>
      </c>
      <c r="N103" s="293" t="s">
        <v>991</v>
      </c>
      <c r="O103" s="293" t="s">
        <v>131</v>
      </c>
      <c r="P103" s="293" t="s">
        <v>3</v>
      </c>
      <c r="Q103" s="293" t="s">
        <v>991</v>
      </c>
      <c r="R103" s="309" t="s">
        <v>3</v>
      </c>
      <c r="S103" s="293" t="s">
        <v>131</v>
      </c>
      <c r="T103" s="293" t="s">
        <v>131</v>
      </c>
      <c r="U103" s="293" t="s">
        <v>131</v>
      </c>
      <c r="V103" s="293" t="s">
        <v>991</v>
      </c>
      <c r="W103" s="293" t="s">
        <v>3</v>
      </c>
      <c r="X103" s="293" t="s">
        <v>3</v>
      </c>
      <c r="Y103" s="310" t="s">
        <v>3</v>
      </c>
      <c r="Z103" s="293">
        <v>7.4</v>
      </c>
      <c r="AA103" s="293">
        <v>1.7</v>
      </c>
      <c r="AB103" s="293">
        <v>0.4</v>
      </c>
      <c r="AC103" s="293">
        <v>0.1</v>
      </c>
      <c r="AD103" s="293" t="s">
        <v>3</v>
      </c>
      <c r="AE103" s="293" t="s">
        <v>3</v>
      </c>
      <c r="AF103" s="298" t="s">
        <v>3</v>
      </c>
      <c r="AG103" s="322" t="s">
        <v>3</v>
      </c>
      <c r="AH103" s="322" t="s">
        <v>3</v>
      </c>
      <c r="AI103" s="322" t="s">
        <v>3</v>
      </c>
      <c r="AJ103" s="312" t="s">
        <v>995</v>
      </c>
      <c r="AK103" s="308" t="s">
        <v>996</v>
      </c>
      <c r="AL103" s="21" t="s">
        <v>992</v>
      </c>
      <c r="AM103" s="115" t="s">
        <v>135</v>
      </c>
      <c r="AN103" s="115" t="s">
        <v>3</v>
      </c>
      <c r="AO103" s="115" t="s">
        <v>3</v>
      </c>
      <c r="AP103" s="115" t="s">
        <v>3</v>
      </c>
      <c r="AQ103" s="115" t="s">
        <v>3</v>
      </c>
      <c r="AR103" s="116" t="s">
        <v>3</v>
      </c>
      <c r="AS103" s="117">
        <f t="shared" si="1"/>
        <v>1</v>
      </c>
      <c r="AT103" s="30" t="s">
        <v>203</v>
      </c>
      <c r="AU103" s="302" t="s">
        <v>3</v>
      </c>
      <c r="AV103" s="302">
        <v>36188</v>
      </c>
      <c r="AW103" s="120">
        <v>42482</v>
      </c>
      <c r="AX103" s="120">
        <v>42835</v>
      </c>
      <c r="AY103" s="302">
        <v>42335</v>
      </c>
      <c r="AZ103" s="317" t="s">
        <v>695</v>
      </c>
      <c r="BA103" s="321">
        <v>44013</v>
      </c>
      <c r="BB103" s="603" t="s">
        <v>2069</v>
      </c>
      <c r="BC103" s="394" t="s">
        <v>3</v>
      </c>
      <c r="BD103" s="394" t="s">
        <v>3</v>
      </c>
      <c r="BE103" s="177" t="s">
        <v>899</v>
      </c>
      <c r="BF103" s="404" t="s">
        <v>424</v>
      </c>
      <c r="BG103" s="396" t="s">
        <v>3</v>
      </c>
      <c r="BH103" s="394" t="s">
        <v>3</v>
      </c>
      <c r="BI103" s="440">
        <v>2016</v>
      </c>
      <c r="BJ103" s="447">
        <v>1</v>
      </c>
      <c r="BK103"/>
      <c r="BM103"/>
    </row>
    <row r="104" spans="1:65" ht="156" customHeight="1">
      <c r="A104" s="31" t="s">
        <v>578</v>
      </c>
      <c r="B104" s="90" t="s">
        <v>23</v>
      </c>
      <c r="C104" s="230" t="s">
        <v>186</v>
      </c>
      <c r="D104" s="319">
        <v>0.46</v>
      </c>
      <c r="E104" s="230">
        <v>2013</v>
      </c>
      <c r="F104" s="230">
        <v>2030</v>
      </c>
      <c r="G104" s="230" t="s">
        <v>3</v>
      </c>
      <c r="H104" s="174" t="s">
        <v>425</v>
      </c>
      <c r="I104" s="174" t="s">
        <v>426</v>
      </c>
      <c r="J104" s="320" t="s">
        <v>1737</v>
      </c>
      <c r="K104" s="314" t="s">
        <v>1351</v>
      </c>
      <c r="L104" s="30" t="s">
        <v>360</v>
      </c>
      <c r="M104" s="30" t="s">
        <v>131</v>
      </c>
      <c r="N104" s="30" t="s">
        <v>131</v>
      </c>
      <c r="O104" s="30" t="s">
        <v>131</v>
      </c>
      <c r="P104" s="30" t="s">
        <v>131</v>
      </c>
      <c r="Q104" s="30" t="s">
        <v>131</v>
      </c>
      <c r="R104" s="315" t="s">
        <v>131</v>
      </c>
      <c r="S104" s="30" t="s">
        <v>131</v>
      </c>
      <c r="T104" s="30" t="s">
        <v>131</v>
      </c>
      <c r="U104" s="30" t="s">
        <v>131</v>
      </c>
      <c r="V104" s="30" t="s">
        <v>131</v>
      </c>
      <c r="W104" s="30" t="s">
        <v>131</v>
      </c>
      <c r="X104" s="30" t="s">
        <v>131</v>
      </c>
      <c r="Y104" s="298" t="s">
        <v>131</v>
      </c>
      <c r="Z104" s="336">
        <v>1231.4000000000001</v>
      </c>
      <c r="AA104" s="30">
        <v>45</v>
      </c>
      <c r="AB104" s="30">
        <v>22.3</v>
      </c>
      <c r="AC104" s="30">
        <v>42.6</v>
      </c>
      <c r="AD104" s="30">
        <v>5.7</v>
      </c>
      <c r="AE104" s="30">
        <v>3.9</v>
      </c>
      <c r="AF104" s="298" t="s">
        <v>3</v>
      </c>
      <c r="AG104" s="311" t="s">
        <v>3</v>
      </c>
      <c r="AH104" s="311" t="s">
        <v>3</v>
      </c>
      <c r="AI104" s="311" t="s">
        <v>3</v>
      </c>
      <c r="AJ104" s="316" t="s">
        <v>3</v>
      </c>
      <c r="AK104" s="314" t="s">
        <v>3</v>
      </c>
      <c r="AL104" s="22" t="s">
        <v>1738</v>
      </c>
      <c r="AM104" s="117" t="s">
        <v>3</v>
      </c>
      <c r="AN104" s="115" t="s">
        <v>3</v>
      </c>
      <c r="AO104" s="115" t="s">
        <v>131</v>
      </c>
      <c r="AP104" s="117" t="s">
        <v>246</v>
      </c>
      <c r="AQ104" s="115" t="s">
        <v>3</v>
      </c>
      <c r="AR104" s="300" t="s">
        <v>131</v>
      </c>
      <c r="AS104" s="117">
        <f t="shared" si="1"/>
        <v>1</v>
      </c>
      <c r="AT104" s="30" t="s">
        <v>205</v>
      </c>
      <c r="AU104" s="302">
        <v>35913</v>
      </c>
      <c r="AV104" s="302">
        <v>37411</v>
      </c>
      <c r="AW104" s="120">
        <v>42482</v>
      </c>
      <c r="AX104" s="303">
        <v>42682</v>
      </c>
      <c r="AY104" s="302">
        <v>42202</v>
      </c>
      <c r="AZ104" s="305" t="s">
        <v>830</v>
      </c>
      <c r="BA104" s="321">
        <v>44491</v>
      </c>
      <c r="BB104" s="603" t="s">
        <v>2068</v>
      </c>
      <c r="BC104" s="394" t="s">
        <v>3</v>
      </c>
      <c r="BD104" s="394" t="s">
        <v>3</v>
      </c>
      <c r="BE104" s="177" t="s">
        <v>899</v>
      </c>
      <c r="BF104" s="404" t="s">
        <v>424</v>
      </c>
      <c r="BG104" s="397">
        <v>2019</v>
      </c>
      <c r="BH104" s="395">
        <v>4</v>
      </c>
      <c r="BI104" s="177" t="s">
        <v>3</v>
      </c>
      <c r="BJ104" s="446" t="s">
        <v>3</v>
      </c>
      <c r="BK104"/>
      <c r="BM104"/>
    </row>
    <row r="105" spans="1:65" ht="120" customHeight="1">
      <c r="A105" s="31" t="s">
        <v>579</v>
      </c>
      <c r="B105" s="203" t="s">
        <v>182</v>
      </c>
      <c r="C105" s="230" t="s">
        <v>185</v>
      </c>
      <c r="D105" s="318" t="s">
        <v>1722</v>
      </c>
      <c r="E105" s="230" t="s">
        <v>1</v>
      </c>
      <c r="F105" s="230">
        <v>2030</v>
      </c>
      <c r="G105" s="230" t="s">
        <v>3</v>
      </c>
      <c r="H105" s="179">
        <v>2020</v>
      </c>
      <c r="I105" s="179">
        <v>2030</v>
      </c>
      <c r="J105" s="320" t="s">
        <v>1721</v>
      </c>
      <c r="K105" s="314" t="s">
        <v>1724</v>
      </c>
      <c r="L105" s="30" t="s">
        <v>1723</v>
      </c>
      <c r="M105" s="30" t="s">
        <v>131</v>
      </c>
      <c r="N105" s="30" t="s">
        <v>131</v>
      </c>
      <c r="O105" s="30" t="s">
        <v>131</v>
      </c>
      <c r="P105" s="30" t="s">
        <v>131</v>
      </c>
      <c r="Q105" s="30" t="s">
        <v>131</v>
      </c>
      <c r="R105" s="315" t="s">
        <v>131</v>
      </c>
      <c r="S105" s="30" t="s">
        <v>131</v>
      </c>
      <c r="T105" s="30" t="s">
        <v>131</v>
      </c>
      <c r="U105" s="30" t="s">
        <v>131</v>
      </c>
      <c r="V105" s="30" t="s">
        <v>131</v>
      </c>
      <c r="W105" s="30" t="s">
        <v>1706</v>
      </c>
      <c r="X105" s="30" t="s">
        <v>1706</v>
      </c>
      <c r="Y105" s="298" t="s">
        <v>3</v>
      </c>
      <c r="Z105" s="30">
        <v>25.6</v>
      </c>
      <c r="AA105" s="30">
        <v>3.8</v>
      </c>
      <c r="AB105" s="30">
        <v>1.1000000000000001</v>
      </c>
      <c r="AC105" s="30">
        <v>0.2</v>
      </c>
      <c r="AD105" s="30" t="s">
        <v>3</v>
      </c>
      <c r="AE105" s="30" t="s">
        <v>3</v>
      </c>
      <c r="AF105" s="298" t="s">
        <v>3</v>
      </c>
      <c r="AG105" s="311">
        <f>7.54-0.565</f>
        <v>6.9749999999999996</v>
      </c>
      <c r="AH105" s="311" t="s">
        <v>3</v>
      </c>
      <c r="AI105" s="311">
        <f>AG105</f>
        <v>6.9749999999999996</v>
      </c>
      <c r="AJ105" s="316" t="s">
        <v>1725</v>
      </c>
      <c r="AK105" s="314" t="s">
        <v>1726</v>
      </c>
      <c r="AL105" s="22" t="s">
        <v>1727</v>
      </c>
      <c r="AM105" s="115" t="s">
        <v>967</v>
      </c>
      <c r="AN105" s="115" t="s">
        <v>3</v>
      </c>
      <c r="AO105" s="115" t="s">
        <v>3</v>
      </c>
      <c r="AP105" s="115" t="s">
        <v>3</v>
      </c>
      <c r="AQ105" s="115" t="s">
        <v>3</v>
      </c>
      <c r="AR105" s="116" t="s">
        <v>3</v>
      </c>
      <c r="AS105" s="117">
        <f t="shared" si="1"/>
        <v>1</v>
      </c>
      <c r="AT105" s="30" t="s">
        <v>203</v>
      </c>
      <c r="AU105" s="302" t="s">
        <v>3</v>
      </c>
      <c r="AV105" s="302">
        <v>37638</v>
      </c>
      <c r="AW105" s="120">
        <v>42482</v>
      </c>
      <c r="AX105" s="120">
        <v>42678</v>
      </c>
      <c r="AY105" s="302">
        <v>42257</v>
      </c>
      <c r="AZ105" s="305" t="s">
        <v>765</v>
      </c>
      <c r="BA105" s="321">
        <v>44481</v>
      </c>
      <c r="BB105" s="603" t="s">
        <v>2067</v>
      </c>
      <c r="BC105" s="394" t="s">
        <v>3</v>
      </c>
      <c r="BD105" s="394" t="s">
        <v>3</v>
      </c>
      <c r="BE105" s="177" t="s">
        <v>899</v>
      </c>
      <c r="BF105" s="404" t="s">
        <v>424</v>
      </c>
      <c r="BG105" s="396" t="s">
        <v>3</v>
      </c>
      <c r="BH105" s="394" t="s">
        <v>3</v>
      </c>
      <c r="BI105" s="440">
        <v>2021</v>
      </c>
      <c r="BJ105" s="447">
        <v>2</v>
      </c>
      <c r="BK105"/>
      <c r="BM105"/>
    </row>
    <row r="106" spans="1:65" ht="80.55" customHeight="1">
      <c r="A106" s="31" t="s">
        <v>580</v>
      </c>
      <c r="B106" s="93" t="s">
        <v>183</v>
      </c>
      <c r="C106" s="230" t="s">
        <v>186</v>
      </c>
      <c r="D106" s="319" t="s">
        <v>1029</v>
      </c>
      <c r="E106" s="230">
        <v>1990</v>
      </c>
      <c r="F106" s="230">
        <v>2030</v>
      </c>
      <c r="G106" s="230" t="s">
        <v>3</v>
      </c>
      <c r="H106" s="176">
        <v>2021</v>
      </c>
      <c r="I106" s="176">
        <v>2030</v>
      </c>
      <c r="J106" s="320" t="s">
        <v>53</v>
      </c>
      <c r="K106" s="314" t="s">
        <v>3</v>
      </c>
      <c r="L106" s="30" t="s">
        <v>360</v>
      </c>
      <c r="M106" s="30" t="s">
        <v>131</v>
      </c>
      <c r="N106" s="30" t="s">
        <v>131</v>
      </c>
      <c r="O106" s="30" t="s">
        <v>131</v>
      </c>
      <c r="P106" s="30" t="s">
        <v>131</v>
      </c>
      <c r="Q106" s="30" t="s">
        <v>131</v>
      </c>
      <c r="R106" s="315" t="s">
        <v>131</v>
      </c>
      <c r="S106" s="293" t="s">
        <v>131</v>
      </c>
      <c r="T106" s="293" t="s">
        <v>131</v>
      </c>
      <c r="U106" s="293" t="s">
        <v>131</v>
      </c>
      <c r="V106" s="293" t="s">
        <v>131</v>
      </c>
      <c r="W106" s="293" t="s">
        <v>131</v>
      </c>
      <c r="X106" s="293" t="s">
        <v>131</v>
      </c>
      <c r="Y106" s="310" t="s">
        <v>3</v>
      </c>
      <c r="Z106" s="293">
        <v>269.60000000000002</v>
      </c>
      <c r="AA106" s="293">
        <v>88.5</v>
      </c>
      <c r="AB106" s="293">
        <v>14.6</v>
      </c>
      <c r="AC106" s="293">
        <v>0.6</v>
      </c>
      <c r="AD106" s="293" t="s">
        <v>3</v>
      </c>
      <c r="AE106" s="293" t="s">
        <v>3</v>
      </c>
      <c r="AF106" s="298" t="s">
        <v>3</v>
      </c>
      <c r="AG106" s="311" t="s">
        <v>3</v>
      </c>
      <c r="AH106" s="311" t="s">
        <v>3</v>
      </c>
      <c r="AI106" s="311" t="s">
        <v>3</v>
      </c>
      <c r="AJ106" s="316" t="s">
        <v>3</v>
      </c>
      <c r="AK106" s="314" t="s">
        <v>3</v>
      </c>
      <c r="AL106" s="22" t="s">
        <v>15</v>
      </c>
      <c r="AM106" s="115" t="s">
        <v>131</v>
      </c>
      <c r="AN106" s="115" t="s">
        <v>3</v>
      </c>
      <c r="AO106" s="115" t="s">
        <v>3</v>
      </c>
      <c r="AP106" s="115" t="s">
        <v>246</v>
      </c>
      <c r="AQ106" s="115" t="s">
        <v>3</v>
      </c>
      <c r="AR106" s="116" t="s">
        <v>3</v>
      </c>
      <c r="AS106" s="117">
        <f t="shared" si="1"/>
        <v>1</v>
      </c>
      <c r="AT106" s="30" t="s">
        <v>203</v>
      </c>
      <c r="AU106" s="302">
        <v>36231</v>
      </c>
      <c r="AV106" s="302">
        <v>39983</v>
      </c>
      <c r="AW106" s="120">
        <v>42584</v>
      </c>
      <c r="AX106" s="120">
        <v>42710</v>
      </c>
      <c r="AY106" s="302">
        <v>42276</v>
      </c>
      <c r="AZ106" s="305" t="s">
        <v>793</v>
      </c>
      <c r="BA106" s="302">
        <v>42710</v>
      </c>
      <c r="BB106" s="603" t="s">
        <v>2070</v>
      </c>
      <c r="BC106" s="394" t="s">
        <v>3</v>
      </c>
      <c r="BD106" s="394" t="s">
        <v>3</v>
      </c>
      <c r="BE106" s="177" t="s">
        <v>899</v>
      </c>
      <c r="BF106" s="404" t="s">
        <v>424</v>
      </c>
      <c r="BG106" s="408">
        <v>2017</v>
      </c>
      <c r="BH106" s="402">
        <v>3</v>
      </c>
      <c r="BI106" s="402" t="s">
        <v>3</v>
      </c>
      <c r="BJ106" s="403" t="s">
        <v>3</v>
      </c>
      <c r="BK106"/>
      <c r="BM106"/>
    </row>
    <row r="107" spans="1:65" ht="117" customHeight="1">
      <c r="A107" s="31" t="s">
        <v>581</v>
      </c>
      <c r="B107" s="92" t="s">
        <v>180</v>
      </c>
      <c r="C107" s="230" t="s">
        <v>185</v>
      </c>
      <c r="D107" s="319">
        <v>0.32</v>
      </c>
      <c r="E107" s="337" t="s">
        <v>1</v>
      </c>
      <c r="F107" s="337">
        <v>2030</v>
      </c>
      <c r="G107" s="230" t="s">
        <v>3</v>
      </c>
      <c r="H107" s="176">
        <v>2021</v>
      </c>
      <c r="I107" s="176">
        <v>2030</v>
      </c>
      <c r="J107" s="46" t="s">
        <v>1252</v>
      </c>
      <c r="K107" s="308" t="s">
        <v>1254</v>
      </c>
      <c r="L107" s="293" t="s">
        <v>360</v>
      </c>
      <c r="M107" s="293" t="s">
        <v>131</v>
      </c>
      <c r="N107" s="293" t="s">
        <v>131</v>
      </c>
      <c r="O107" s="293" t="s">
        <v>131</v>
      </c>
      <c r="P107" s="293" t="s">
        <v>131</v>
      </c>
      <c r="Q107" s="293" t="s">
        <v>131</v>
      </c>
      <c r="R107" s="309" t="s">
        <v>131</v>
      </c>
      <c r="S107" s="293" t="s">
        <v>131</v>
      </c>
      <c r="T107" s="293" t="s">
        <v>131</v>
      </c>
      <c r="U107" s="293" t="s">
        <v>131</v>
      </c>
      <c r="V107" s="293" t="s">
        <v>1233</v>
      </c>
      <c r="W107" s="293" t="s">
        <v>1233</v>
      </c>
      <c r="X107" s="293" t="s">
        <v>1233</v>
      </c>
      <c r="Y107" s="310" t="s">
        <v>1233</v>
      </c>
      <c r="Z107" s="293">
        <v>17.3</v>
      </c>
      <c r="AA107" s="293">
        <v>45.8</v>
      </c>
      <c r="AB107" s="293">
        <v>14.2</v>
      </c>
      <c r="AC107" s="293" t="s">
        <v>3</v>
      </c>
      <c r="AD107" s="293" t="s">
        <v>3</v>
      </c>
      <c r="AE107" s="293" t="s">
        <v>3</v>
      </c>
      <c r="AF107" s="298" t="s">
        <v>3</v>
      </c>
      <c r="AG107" s="231">
        <v>14</v>
      </c>
      <c r="AH107" s="232">
        <f>44*0.9</f>
        <v>39.6</v>
      </c>
      <c r="AI107" s="232">
        <f>AG107+AH107</f>
        <v>53.6</v>
      </c>
      <c r="AJ107" s="312" t="s">
        <v>1255</v>
      </c>
      <c r="AK107" s="308" t="s">
        <v>3</v>
      </c>
      <c r="AL107" s="22" t="s">
        <v>1253</v>
      </c>
      <c r="AM107" s="115" t="s">
        <v>132</v>
      </c>
      <c r="AN107" s="115" t="s">
        <v>3</v>
      </c>
      <c r="AO107" s="115" t="s">
        <v>3</v>
      </c>
      <c r="AP107" s="115" t="s">
        <v>3</v>
      </c>
      <c r="AQ107" s="115" t="s">
        <v>3</v>
      </c>
      <c r="AR107" s="300" t="s">
        <v>246</v>
      </c>
      <c r="AS107" s="117">
        <f t="shared" si="1"/>
        <v>1</v>
      </c>
      <c r="AT107" s="30" t="s">
        <v>203</v>
      </c>
      <c r="AU107" s="302" t="s">
        <v>3</v>
      </c>
      <c r="AV107" s="302">
        <v>38408</v>
      </c>
      <c r="AW107" s="120">
        <v>42482</v>
      </c>
      <c r="AX107" s="120">
        <v>42732</v>
      </c>
      <c r="AY107" s="302">
        <v>42209</v>
      </c>
      <c r="AZ107" s="305" t="s">
        <v>828</v>
      </c>
      <c r="BA107" s="302">
        <v>44193</v>
      </c>
      <c r="BB107" s="603" t="s">
        <v>2064</v>
      </c>
      <c r="BC107" s="394" t="s">
        <v>3</v>
      </c>
      <c r="BD107" s="394" t="s">
        <v>3</v>
      </c>
      <c r="BE107" s="177" t="s">
        <v>899</v>
      </c>
      <c r="BF107" s="404" t="s">
        <v>424</v>
      </c>
      <c r="BG107" s="396" t="s">
        <v>3</v>
      </c>
      <c r="BH107" s="394" t="s">
        <v>3</v>
      </c>
      <c r="BI107" s="402" t="s">
        <v>3</v>
      </c>
      <c r="BJ107" s="403" t="s">
        <v>3</v>
      </c>
      <c r="BK107"/>
      <c r="BM107"/>
    </row>
    <row r="108" spans="1:65" ht="96" customHeight="1">
      <c r="A108" s="32" t="s">
        <v>582</v>
      </c>
      <c r="B108" s="97" t="s">
        <v>25</v>
      </c>
      <c r="C108" s="293" t="s">
        <v>185</v>
      </c>
      <c r="D108" s="318" t="s">
        <v>1140</v>
      </c>
      <c r="E108" s="293" t="s">
        <v>1</v>
      </c>
      <c r="F108" s="293" t="s">
        <v>1139</v>
      </c>
      <c r="G108" s="230" t="s">
        <v>3</v>
      </c>
      <c r="H108" s="173">
        <v>2020</v>
      </c>
      <c r="I108" s="173">
        <v>2030</v>
      </c>
      <c r="J108" s="22" t="s">
        <v>46</v>
      </c>
      <c r="K108" s="314" t="s">
        <v>125</v>
      </c>
      <c r="L108" s="293" t="s">
        <v>360</v>
      </c>
      <c r="M108" s="293" t="s">
        <v>131</v>
      </c>
      <c r="N108" s="293" t="s">
        <v>3</v>
      </c>
      <c r="O108" s="293" t="s">
        <v>131</v>
      </c>
      <c r="P108" s="293" t="s">
        <v>3</v>
      </c>
      <c r="Q108" s="293" t="s">
        <v>3</v>
      </c>
      <c r="R108" s="309" t="s">
        <v>3</v>
      </c>
      <c r="S108" s="293" t="s">
        <v>131</v>
      </c>
      <c r="T108" s="293" t="s">
        <v>3</v>
      </c>
      <c r="U108" s="293" t="s">
        <v>3</v>
      </c>
      <c r="V108" s="293" t="s">
        <v>3</v>
      </c>
      <c r="W108" s="293" t="s">
        <v>3</v>
      </c>
      <c r="X108" s="293" t="s">
        <v>3</v>
      </c>
      <c r="Y108" s="310" t="s">
        <v>3</v>
      </c>
      <c r="Z108" s="293" t="s">
        <v>452</v>
      </c>
      <c r="AA108" s="293" t="s">
        <v>452</v>
      </c>
      <c r="AB108" s="293" t="s">
        <v>452</v>
      </c>
      <c r="AC108" s="293" t="s">
        <v>452</v>
      </c>
      <c r="AD108" s="293" t="s">
        <v>452</v>
      </c>
      <c r="AE108" s="293" t="s">
        <v>452</v>
      </c>
      <c r="AF108" s="298" t="s">
        <v>3</v>
      </c>
      <c r="AG108" s="346" t="s">
        <v>3</v>
      </c>
      <c r="AH108" s="346" t="s">
        <v>3</v>
      </c>
      <c r="AI108" s="346">
        <v>7.4999999999999997E-2</v>
      </c>
      <c r="AJ108" s="316" t="s">
        <v>175</v>
      </c>
      <c r="AK108" s="314" t="s">
        <v>3</v>
      </c>
      <c r="AL108" s="22" t="s">
        <v>19</v>
      </c>
      <c r="AM108" s="115" t="s">
        <v>132</v>
      </c>
      <c r="AN108" s="115" t="s">
        <v>3</v>
      </c>
      <c r="AO108" s="115" t="s">
        <v>3</v>
      </c>
      <c r="AP108" s="115" t="s">
        <v>3</v>
      </c>
      <c r="AQ108" s="115" t="s">
        <v>3</v>
      </c>
      <c r="AR108" s="116" t="s">
        <v>3</v>
      </c>
      <c r="AS108" s="117">
        <f t="shared" si="1"/>
        <v>1</v>
      </c>
      <c r="AT108" s="30" t="s">
        <v>203</v>
      </c>
      <c r="AU108" s="302" t="s">
        <v>3</v>
      </c>
      <c r="AV108" s="302">
        <v>36776</v>
      </c>
      <c r="AW108" s="120">
        <v>42482</v>
      </c>
      <c r="AX108" s="120">
        <v>42634</v>
      </c>
      <c r="AY108" s="302">
        <v>42275</v>
      </c>
      <c r="AZ108" s="305" t="s">
        <v>800</v>
      </c>
      <c r="BA108" s="302">
        <v>42634</v>
      </c>
      <c r="BB108" s="603" t="s">
        <v>2065</v>
      </c>
      <c r="BC108" s="394" t="s">
        <v>3</v>
      </c>
      <c r="BD108" s="394" t="s">
        <v>3</v>
      </c>
      <c r="BE108" s="177" t="s">
        <v>899</v>
      </c>
      <c r="BF108" s="404" t="s">
        <v>424</v>
      </c>
      <c r="BG108" s="396" t="s">
        <v>3</v>
      </c>
      <c r="BH108" s="394" t="s">
        <v>3</v>
      </c>
      <c r="BI108" s="402" t="s">
        <v>3</v>
      </c>
      <c r="BJ108" s="403" t="s">
        <v>3</v>
      </c>
      <c r="BK108"/>
      <c r="BM108"/>
    </row>
    <row r="109" spans="1:65" ht="80.55" customHeight="1">
      <c r="A109" s="31" t="s">
        <v>583</v>
      </c>
      <c r="B109" s="203" t="s">
        <v>182</v>
      </c>
      <c r="C109" s="230" t="s">
        <v>1717</v>
      </c>
      <c r="D109" s="323">
        <v>7.3999999999999996E-2</v>
      </c>
      <c r="E109" s="230" t="s">
        <v>1715</v>
      </c>
      <c r="F109" s="230">
        <v>2035</v>
      </c>
      <c r="G109" s="230" t="s">
        <v>3</v>
      </c>
      <c r="H109" s="412">
        <v>2015</v>
      </c>
      <c r="I109" s="412">
        <v>2035</v>
      </c>
      <c r="J109" s="320" t="s">
        <v>1729</v>
      </c>
      <c r="K109" s="314" t="s">
        <v>3</v>
      </c>
      <c r="L109" s="30" t="s">
        <v>3</v>
      </c>
      <c r="M109" s="30" t="s">
        <v>1705</v>
      </c>
      <c r="N109" s="30" t="s">
        <v>1705</v>
      </c>
      <c r="O109" s="30" t="s">
        <v>1705</v>
      </c>
      <c r="P109" s="30" t="s">
        <v>3</v>
      </c>
      <c r="Q109" s="30" t="s">
        <v>1705</v>
      </c>
      <c r="R109" s="315" t="s">
        <v>1705</v>
      </c>
      <c r="S109" s="30" t="s">
        <v>1705</v>
      </c>
      <c r="T109" s="30" t="s">
        <v>1705</v>
      </c>
      <c r="U109" s="30" t="s">
        <v>1705</v>
      </c>
      <c r="V109" s="30" t="s">
        <v>3</v>
      </c>
      <c r="W109" s="30" t="s">
        <v>3</v>
      </c>
      <c r="X109" s="30" t="s">
        <v>3</v>
      </c>
      <c r="Y109" s="298" t="s">
        <v>3</v>
      </c>
      <c r="Z109" s="30">
        <v>98.8</v>
      </c>
      <c r="AA109" s="30">
        <v>25.5</v>
      </c>
      <c r="AB109" s="30">
        <v>0.8</v>
      </c>
      <c r="AC109" s="30">
        <v>0.9</v>
      </c>
      <c r="AD109" s="30" t="s">
        <v>3</v>
      </c>
      <c r="AE109" s="30">
        <v>0.5</v>
      </c>
      <c r="AF109" s="298" t="s">
        <v>3</v>
      </c>
      <c r="AG109" s="322" t="s">
        <v>3</v>
      </c>
      <c r="AH109" s="339" t="s">
        <v>3</v>
      </c>
      <c r="AI109" s="339" t="s">
        <v>3</v>
      </c>
      <c r="AJ109" s="316" t="s">
        <v>3</v>
      </c>
      <c r="AK109" s="314" t="s">
        <v>3</v>
      </c>
      <c r="AL109" s="22" t="s">
        <v>1730</v>
      </c>
      <c r="AM109" s="115" t="s">
        <v>967</v>
      </c>
      <c r="AN109" s="115" t="s">
        <v>1706</v>
      </c>
      <c r="AO109" s="115" t="s">
        <v>1706</v>
      </c>
      <c r="AP109" s="117" t="s">
        <v>1706</v>
      </c>
      <c r="AQ109" s="115" t="s">
        <v>1706</v>
      </c>
      <c r="AR109" s="300" t="s">
        <v>1706</v>
      </c>
      <c r="AS109" s="117">
        <f t="shared" si="1"/>
        <v>1</v>
      </c>
      <c r="AT109" s="30" t="s">
        <v>203</v>
      </c>
      <c r="AU109" s="302" t="s">
        <v>3</v>
      </c>
      <c r="AV109" s="302">
        <v>38422</v>
      </c>
      <c r="AW109" s="120">
        <v>42482</v>
      </c>
      <c r="AX109" s="303">
        <v>43213</v>
      </c>
      <c r="AY109" s="324">
        <v>42333</v>
      </c>
      <c r="AZ109" s="317" t="s">
        <v>698</v>
      </c>
      <c r="BA109" s="321">
        <v>44481</v>
      </c>
      <c r="BB109" s="603" t="s">
        <v>2063</v>
      </c>
      <c r="BC109" s="394" t="s">
        <v>3</v>
      </c>
      <c r="BD109" s="402" t="s">
        <v>3</v>
      </c>
      <c r="BE109" s="177" t="s">
        <v>904</v>
      </c>
      <c r="BF109" s="404" t="s">
        <v>471</v>
      </c>
      <c r="BG109" s="396" t="s">
        <v>3</v>
      </c>
      <c r="BH109" s="394" t="s">
        <v>3</v>
      </c>
      <c r="BI109" s="402">
        <v>2019</v>
      </c>
      <c r="BJ109" s="403">
        <v>1</v>
      </c>
      <c r="BK109"/>
      <c r="BM109"/>
    </row>
    <row r="110" spans="1:65" ht="117" customHeight="1">
      <c r="A110" s="31" t="s">
        <v>669</v>
      </c>
      <c r="B110" s="93" t="s">
        <v>183</v>
      </c>
      <c r="C110" s="230" t="s">
        <v>185</v>
      </c>
      <c r="D110" s="319" t="s">
        <v>1655</v>
      </c>
      <c r="E110" s="230" t="s">
        <v>1</v>
      </c>
      <c r="F110" s="230" t="s">
        <v>1644</v>
      </c>
      <c r="G110" s="230" t="s">
        <v>3</v>
      </c>
      <c r="H110" s="174" t="s">
        <v>424</v>
      </c>
      <c r="I110" s="174" t="s">
        <v>424</v>
      </c>
      <c r="J110" s="320" t="s">
        <v>1654</v>
      </c>
      <c r="K110" s="314" t="s">
        <v>1656</v>
      </c>
      <c r="L110" s="30" t="s">
        <v>360</v>
      </c>
      <c r="M110" s="30" t="s">
        <v>131</v>
      </c>
      <c r="N110" s="30" t="s">
        <v>131</v>
      </c>
      <c r="O110" s="30" t="s">
        <v>3</v>
      </c>
      <c r="P110" s="30" t="s">
        <v>131</v>
      </c>
      <c r="Q110" s="30" t="s">
        <v>131</v>
      </c>
      <c r="R110" s="315" t="s">
        <v>131</v>
      </c>
      <c r="S110" s="30" t="s">
        <v>131</v>
      </c>
      <c r="T110" s="30" t="s">
        <v>1624</v>
      </c>
      <c r="U110" s="30" t="s">
        <v>1624</v>
      </c>
      <c r="V110" s="30" t="s">
        <v>1624</v>
      </c>
      <c r="W110" s="30" t="s">
        <v>1624</v>
      </c>
      <c r="X110" s="30" t="s">
        <v>1624</v>
      </c>
      <c r="Y110" s="298" t="s">
        <v>1624</v>
      </c>
      <c r="Z110" s="30">
        <v>10.5</v>
      </c>
      <c r="AA110" s="30">
        <v>6</v>
      </c>
      <c r="AB110" s="30">
        <v>1.6</v>
      </c>
      <c r="AC110" s="30">
        <v>0</v>
      </c>
      <c r="AD110" s="30" t="s">
        <v>3</v>
      </c>
      <c r="AE110" s="30" t="s">
        <v>3</v>
      </c>
      <c r="AF110" s="298" t="s">
        <v>3</v>
      </c>
      <c r="AG110" s="311" t="s">
        <v>1624</v>
      </c>
      <c r="AH110" s="311" t="s">
        <v>1624</v>
      </c>
      <c r="AI110" s="311">
        <v>6.3</v>
      </c>
      <c r="AJ110" s="316" t="s">
        <v>1657</v>
      </c>
      <c r="AK110" s="314" t="s">
        <v>3</v>
      </c>
      <c r="AL110" s="21" t="s">
        <v>3</v>
      </c>
      <c r="AM110" s="115" t="s">
        <v>3</v>
      </c>
      <c r="AN110" s="115" t="s">
        <v>3</v>
      </c>
      <c r="AO110" s="115" t="s">
        <v>3</v>
      </c>
      <c r="AP110" s="115" t="s">
        <v>3</v>
      </c>
      <c r="AQ110" s="115" t="s">
        <v>3</v>
      </c>
      <c r="AR110" s="116" t="s">
        <v>3</v>
      </c>
      <c r="AS110" s="117" t="str">
        <f t="shared" si="1"/>
        <v/>
      </c>
      <c r="AT110" s="30" t="s">
        <v>203</v>
      </c>
      <c r="AU110" s="302" t="s">
        <v>3</v>
      </c>
      <c r="AV110" s="302">
        <v>37754</v>
      </c>
      <c r="AW110" s="120">
        <v>42481</v>
      </c>
      <c r="AX110" s="303">
        <v>43879</v>
      </c>
      <c r="AY110" s="325">
        <v>42276</v>
      </c>
      <c r="AZ110" s="317" t="s">
        <v>788</v>
      </c>
      <c r="BA110" s="321">
        <v>44478</v>
      </c>
      <c r="BB110" s="603" t="s">
        <v>2077</v>
      </c>
      <c r="BC110" s="394" t="s">
        <v>3</v>
      </c>
      <c r="BD110" s="402" t="s">
        <v>3</v>
      </c>
      <c r="BE110" s="177" t="s">
        <v>906</v>
      </c>
      <c r="BF110" s="404" t="s">
        <v>471</v>
      </c>
      <c r="BG110" s="396" t="s">
        <v>3</v>
      </c>
      <c r="BH110" s="394" t="s">
        <v>3</v>
      </c>
      <c r="BI110" s="402" t="s">
        <v>3</v>
      </c>
      <c r="BJ110" s="403" t="s">
        <v>3</v>
      </c>
      <c r="BK110"/>
      <c r="BM110"/>
    </row>
    <row r="111" spans="1:65" ht="168" customHeight="1">
      <c r="A111" s="31" t="s">
        <v>584</v>
      </c>
      <c r="B111" s="90" t="s">
        <v>23</v>
      </c>
      <c r="C111" s="230" t="s">
        <v>1397</v>
      </c>
      <c r="D111" s="319" t="s">
        <v>1398</v>
      </c>
      <c r="E111" s="230" t="s">
        <v>3</v>
      </c>
      <c r="F111" s="230">
        <v>2030</v>
      </c>
      <c r="G111" s="230" t="s">
        <v>3</v>
      </c>
      <c r="H111" s="175" t="s">
        <v>424</v>
      </c>
      <c r="I111" s="175" t="s">
        <v>424</v>
      </c>
      <c r="J111" s="320" t="s">
        <v>1399</v>
      </c>
      <c r="K111" s="314" t="s">
        <v>1400</v>
      </c>
      <c r="L111" s="30" t="s">
        <v>360</v>
      </c>
      <c r="M111" s="30" t="s">
        <v>131</v>
      </c>
      <c r="N111" s="30" t="s">
        <v>131</v>
      </c>
      <c r="O111" s="30" t="s">
        <v>131</v>
      </c>
      <c r="P111" s="30" t="s">
        <v>1401</v>
      </c>
      <c r="Q111" s="30" t="s">
        <v>131</v>
      </c>
      <c r="R111" s="315" t="s">
        <v>3</v>
      </c>
      <c r="S111" s="30" t="s">
        <v>3</v>
      </c>
      <c r="T111" s="30" t="s">
        <v>3</v>
      </c>
      <c r="U111" s="30" t="s">
        <v>3</v>
      </c>
      <c r="V111" s="30" t="s">
        <v>3</v>
      </c>
      <c r="W111" s="30" t="s">
        <v>3</v>
      </c>
      <c r="X111" s="30" t="s">
        <v>3</v>
      </c>
      <c r="Y111" s="298" t="s">
        <v>3</v>
      </c>
      <c r="Z111" s="293" t="s">
        <v>452</v>
      </c>
      <c r="AA111" s="293" t="s">
        <v>452</v>
      </c>
      <c r="AB111" s="293" t="s">
        <v>452</v>
      </c>
      <c r="AC111" s="293" t="s">
        <v>452</v>
      </c>
      <c r="AD111" s="293" t="s">
        <v>452</v>
      </c>
      <c r="AE111" s="293" t="s">
        <v>452</v>
      </c>
      <c r="AF111" s="298" t="s">
        <v>3</v>
      </c>
      <c r="AG111" s="231">
        <v>4.7</v>
      </c>
      <c r="AH111" s="232" t="s">
        <v>1402</v>
      </c>
      <c r="AI111" s="232">
        <v>4.7</v>
      </c>
      <c r="AJ111" s="316" t="s">
        <v>1403</v>
      </c>
      <c r="AK111" s="314" t="s">
        <v>1402</v>
      </c>
      <c r="AL111" s="22" t="s">
        <v>1404</v>
      </c>
      <c r="AM111" s="115" t="s">
        <v>132</v>
      </c>
      <c r="AN111" s="115" t="s">
        <v>3</v>
      </c>
      <c r="AO111" s="115" t="s">
        <v>3</v>
      </c>
      <c r="AP111" s="115" t="s">
        <v>3</v>
      </c>
      <c r="AQ111" s="115" t="s">
        <v>3</v>
      </c>
      <c r="AR111" s="116" t="s">
        <v>246</v>
      </c>
      <c r="AS111" s="117">
        <f t="shared" si="1"/>
        <v>1</v>
      </c>
      <c r="AT111" s="30" t="s">
        <v>203</v>
      </c>
      <c r="AU111" s="302" t="s">
        <v>3</v>
      </c>
      <c r="AV111" s="302">
        <v>37658</v>
      </c>
      <c r="AW111" s="120">
        <v>42482</v>
      </c>
      <c r="AX111" s="120">
        <v>42620</v>
      </c>
      <c r="AY111" s="302">
        <v>42278</v>
      </c>
      <c r="AZ111" s="305" t="s">
        <v>749</v>
      </c>
      <c r="BA111" s="321">
        <v>44327</v>
      </c>
      <c r="BB111" s="603" t="s">
        <v>2076</v>
      </c>
      <c r="BC111" s="394" t="s">
        <v>3</v>
      </c>
      <c r="BD111" s="402" t="s">
        <v>3</v>
      </c>
      <c r="BE111" s="177" t="s">
        <v>899</v>
      </c>
      <c r="BF111" s="404" t="s">
        <v>424</v>
      </c>
      <c r="BG111" s="396" t="s">
        <v>3</v>
      </c>
      <c r="BH111" s="394" t="s">
        <v>3</v>
      </c>
      <c r="BI111" s="402">
        <v>2020</v>
      </c>
      <c r="BJ111" s="403">
        <v>1</v>
      </c>
      <c r="BK111"/>
      <c r="BM111"/>
    </row>
    <row r="112" spans="1:65" ht="171.45" customHeight="1">
      <c r="A112" s="31" t="s">
        <v>670</v>
      </c>
      <c r="B112" s="203" t="s">
        <v>182</v>
      </c>
      <c r="C112" s="230" t="s">
        <v>185</v>
      </c>
      <c r="D112" s="230" t="s">
        <v>1329</v>
      </c>
      <c r="E112" s="230" t="s">
        <v>1</v>
      </c>
      <c r="F112" s="230">
        <v>2030</v>
      </c>
      <c r="G112" s="230" t="s">
        <v>3</v>
      </c>
      <c r="H112" s="174" t="s">
        <v>424</v>
      </c>
      <c r="I112" s="177">
        <v>2030</v>
      </c>
      <c r="J112" s="492" t="s">
        <v>1330</v>
      </c>
      <c r="K112" s="493" t="s">
        <v>1331</v>
      </c>
      <c r="L112" s="30" t="s">
        <v>360</v>
      </c>
      <c r="M112" s="30" t="s">
        <v>131</v>
      </c>
      <c r="N112" s="30" t="s">
        <v>131</v>
      </c>
      <c r="O112" s="30" t="s">
        <v>131</v>
      </c>
      <c r="P112" s="30" t="s">
        <v>131</v>
      </c>
      <c r="Q112" s="30" t="s">
        <v>131</v>
      </c>
      <c r="R112" s="315" t="s">
        <v>131</v>
      </c>
      <c r="S112" s="30" t="s">
        <v>131</v>
      </c>
      <c r="T112" s="30" t="s">
        <v>131</v>
      </c>
      <c r="U112" s="30" t="s">
        <v>131</v>
      </c>
      <c r="V112" s="30" t="s">
        <v>3</v>
      </c>
      <c r="W112" s="30" t="s">
        <v>3</v>
      </c>
      <c r="X112" s="30" t="s">
        <v>3</v>
      </c>
      <c r="Y112" s="298" t="s">
        <v>3</v>
      </c>
      <c r="Z112" s="30">
        <v>26.7</v>
      </c>
      <c r="AA112" s="30">
        <v>2.6</v>
      </c>
      <c r="AB112" s="30">
        <v>1</v>
      </c>
      <c r="AC112" s="30" t="s">
        <v>3</v>
      </c>
      <c r="AD112" s="30" t="s">
        <v>3</v>
      </c>
      <c r="AE112" s="30" t="s">
        <v>3</v>
      </c>
      <c r="AF112" s="298" t="s">
        <v>3</v>
      </c>
      <c r="AG112" s="311" t="s">
        <v>3</v>
      </c>
      <c r="AH112" s="311" t="s">
        <v>3</v>
      </c>
      <c r="AI112" s="311" t="s">
        <v>3</v>
      </c>
      <c r="AJ112" s="316" t="s">
        <v>3</v>
      </c>
      <c r="AK112" s="314" t="s">
        <v>3</v>
      </c>
      <c r="AL112" s="22" t="s">
        <v>1332</v>
      </c>
      <c r="AM112" s="115" t="s">
        <v>132</v>
      </c>
      <c r="AN112" s="115" t="s">
        <v>3</v>
      </c>
      <c r="AO112" s="115" t="s">
        <v>3</v>
      </c>
      <c r="AP112" s="115" t="s">
        <v>3</v>
      </c>
      <c r="AQ112" s="115" t="s">
        <v>3</v>
      </c>
      <c r="AR112" s="116" t="s">
        <v>3</v>
      </c>
      <c r="AS112" s="117">
        <f t="shared" si="1"/>
        <v>1</v>
      </c>
      <c r="AT112" s="30" t="s">
        <v>203</v>
      </c>
      <c r="AU112" s="302" t="s">
        <v>3</v>
      </c>
      <c r="AV112" s="302">
        <v>39034</v>
      </c>
      <c r="AW112" s="120">
        <v>42482</v>
      </c>
      <c r="AX112" s="303">
        <v>43866</v>
      </c>
      <c r="AY112" s="302">
        <v>42277</v>
      </c>
      <c r="AZ112" s="305" t="s">
        <v>774</v>
      </c>
      <c r="BA112" s="321">
        <v>44271</v>
      </c>
      <c r="BB112" s="609" t="s">
        <v>2161</v>
      </c>
      <c r="BC112" s="394" t="s">
        <v>3</v>
      </c>
      <c r="BD112" s="402" t="s">
        <v>3</v>
      </c>
      <c r="BE112" s="177" t="s">
        <v>899</v>
      </c>
      <c r="BF112" s="404" t="s">
        <v>424</v>
      </c>
      <c r="BG112" s="396" t="s">
        <v>3</v>
      </c>
      <c r="BH112" s="394" t="s">
        <v>3</v>
      </c>
      <c r="BI112" s="440">
        <v>2021</v>
      </c>
      <c r="BJ112" s="447">
        <v>4</v>
      </c>
      <c r="BK112"/>
      <c r="BM112"/>
    </row>
    <row r="113" spans="1:65" ht="240" customHeight="1">
      <c r="A113" s="31" t="s">
        <v>585</v>
      </c>
      <c r="B113" s="92" t="s">
        <v>180</v>
      </c>
      <c r="C113" s="230" t="s">
        <v>185</v>
      </c>
      <c r="D113" s="230" t="s">
        <v>1035</v>
      </c>
      <c r="E113" s="337" t="s">
        <v>1</v>
      </c>
      <c r="F113" s="337">
        <v>2030</v>
      </c>
      <c r="G113" s="230" t="s">
        <v>3</v>
      </c>
      <c r="H113" s="176" t="s">
        <v>424</v>
      </c>
      <c r="I113" s="176">
        <v>2030</v>
      </c>
      <c r="J113" s="24" t="s">
        <v>1091</v>
      </c>
      <c r="K113" s="308" t="s">
        <v>814</v>
      </c>
      <c r="L113" s="293" t="s">
        <v>360</v>
      </c>
      <c r="M113" s="293" t="s">
        <v>131</v>
      </c>
      <c r="N113" s="293" t="s">
        <v>131</v>
      </c>
      <c r="O113" s="293" t="s">
        <v>131</v>
      </c>
      <c r="P113" s="293" t="s">
        <v>131</v>
      </c>
      <c r="Q113" s="293" t="s">
        <v>131</v>
      </c>
      <c r="R113" s="309" t="s">
        <v>666</v>
      </c>
      <c r="S113" s="293" t="s">
        <v>131</v>
      </c>
      <c r="T113" s="293" t="s">
        <v>131</v>
      </c>
      <c r="U113" s="293" t="s">
        <v>131</v>
      </c>
      <c r="V113" s="293" t="s">
        <v>3</v>
      </c>
      <c r="W113" s="293" t="s">
        <v>3</v>
      </c>
      <c r="X113" s="293" t="s">
        <v>3</v>
      </c>
      <c r="Y113" s="310" t="s">
        <v>3</v>
      </c>
      <c r="Z113" s="293" t="s">
        <v>452</v>
      </c>
      <c r="AA113" s="293" t="s">
        <v>452</v>
      </c>
      <c r="AB113" s="293" t="s">
        <v>452</v>
      </c>
      <c r="AC113" s="293" t="s">
        <v>452</v>
      </c>
      <c r="AD113" s="293" t="s">
        <v>452</v>
      </c>
      <c r="AE113" s="293" t="s">
        <v>452</v>
      </c>
      <c r="AF113" s="298" t="s">
        <v>3</v>
      </c>
      <c r="AG113" s="347">
        <v>0.59</v>
      </c>
      <c r="AH113" s="232" t="s">
        <v>3</v>
      </c>
      <c r="AI113" s="348">
        <v>0.59</v>
      </c>
      <c r="AJ113" s="312" t="s">
        <v>816</v>
      </c>
      <c r="AK113" s="308" t="s">
        <v>815</v>
      </c>
      <c r="AL113" s="22" t="s">
        <v>678</v>
      </c>
      <c r="AM113" s="115" t="s">
        <v>3</v>
      </c>
      <c r="AN113" s="115" t="s">
        <v>3</v>
      </c>
      <c r="AO113" s="115" t="s">
        <v>3</v>
      </c>
      <c r="AP113" s="115" t="s">
        <v>3</v>
      </c>
      <c r="AQ113" s="115" t="s">
        <v>3</v>
      </c>
      <c r="AR113" s="116" t="s">
        <v>3</v>
      </c>
      <c r="AS113" s="117" t="str">
        <f t="shared" si="1"/>
        <v/>
      </c>
      <c r="AT113" s="30" t="s">
        <v>203</v>
      </c>
      <c r="AU113" s="302" t="s">
        <v>3</v>
      </c>
      <c r="AV113" s="302">
        <v>36775</v>
      </c>
      <c r="AW113" s="120">
        <v>42482</v>
      </c>
      <c r="AX113" s="120">
        <v>42755</v>
      </c>
      <c r="AY113" s="302">
        <v>42277</v>
      </c>
      <c r="AZ113" s="305" t="s">
        <v>758</v>
      </c>
      <c r="BA113" s="120">
        <v>43273</v>
      </c>
      <c r="BB113" s="603" t="s">
        <v>2074</v>
      </c>
      <c r="BC113" s="394" t="s">
        <v>3</v>
      </c>
      <c r="BD113" s="394" t="s">
        <v>3</v>
      </c>
      <c r="BE113" s="177" t="s">
        <v>903</v>
      </c>
      <c r="BF113" s="404" t="s">
        <v>424</v>
      </c>
      <c r="BG113" s="396" t="s">
        <v>3</v>
      </c>
      <c r="BH113" s="394" t="s">
        <v>3</v>
      </c>
      <c r="BI113" s="402">
        <v>2021</v>
      </c>
      <c r="BJ113" s="403">
        <v>1</v>
      </c>
      <c r="BK113"/>
      <c r="BM113"/>
    </row>
    <row r="114" spans="1:65" ht="202.5" customHeight="1">
      <c r="A114" s="31" t="s">
        <v>586</v>
      </c>
      <c r="B114" s="92" t="s">
        <v>180</v>
      </c>
      <c r="C114" s="230" t="s">
        <v>185</v>
      </c>
      <c r="D114" s="319" t="s">
        <v>1567</v>
      </c>
      <c r="E114" s="337" t="s">
        <v>1</v>
      </c>
      <c r="F114" s="230">
        <v>2030</v>
      </c>
      <c r="G114" s="230" t="s">
        <v>3</v>
      </c>
      <c r="H114" s="177">
        <v>2022</v>
      </c>
      <c r="I114" s="177">
        <v>2030</v>
      </c>
      <c r="J114" s="46" t="s">
        <v>1566</v>
      </c>
      <c r="K114" s="308" t="s">
        <v>1573</v>
      </c>
      <c r="L114" s="293" t="s">
        <v>1568</v>
      </c>
      <c r="M114" s="293" t="s">
        <v>131</v>
      </c>
      <c r="N114" s="293" t="s">
        <v>1569</v>
      </c>
      <c r="O114" s="293" t="s">
        <v>131</v>
      </c>
      <c r="P114" s="293" t="s">
        <v>131</v>
      </c>
      <c r="Q114" s="293" t="s">
        <v>1569</v>
      </c>
      <c r="R114" s="309" t="s">
        <v>1569</v>
      </c>
      <c r="S114" s="293" t="s">
        <v>131</v>
      </c>
      <c r="T114" s="293" t="s">
        <v>131</v>
      </c>
      <c r="U114" s="293" t="s">
        <v>131</v>
      </c>
      <c r="V114" s="293" t="s">
        <v>1569</v>
      </c>
      <c r="W114" s="293" t="s">
        <v>3</v>
      </c>
      <c r="X114" s="293" t="s">
        <v>3</v>
      </c>
      <c r="Y114" s="310" t="s">
        <v>3</v>
      </c>
      <c r="Z114" s="293" t="s">
        <v>452</v>
      </c>
      <c r="AA114" s="293" t="s">
        <v>452</v>
      </c>
      <c r="AB114" s="293" t="s">
        <v>452</v>
      </c>
      <c r="AC114" s="293" t="s">
        <v>452</v>
      </c>
      <c r="AD114" s="293" t="s">
        <v>452</v>
      </c>
      <c r="AE114" s="293" t="s">
        <v>452</v>
      </c>
      <c r="AF114" s="298" t="s">
        <v>3</v>
      </c>
      <c r="AG114" s="311">
        <v>0.4</v>
      </c>
      <c r="AH114" s="311">
        <v>0.08</v>
      </c>
      <c r="AI114" s="311">
        <f>AG114+AH114</f>
        <v>0.48000000000000004</v>
      </c>
      <c r="AJ114" s="312" t="s">
        <v>1571</v>
      </c>
      <c r="AK114" s="308" t="s">
        <v>1570</v>
      </c>
      <c r="AL114" s="22" t="s">
        <v>1572</v>
      </c>
      <c r="AM114" s="115" t="s">
        <v>132</v>
      </c>
      <c r="AN114" s="115" t="s">
        <v>3</v>
      </c>
      <c r="AO114" s="115" t="s">
        <v>3</v>
      </c>
      <c r="AP114" s="115" t="s">
        <v>3</v>
      </c>
      <c r="AQ114" s="115" t="s">
        <v>131</v>
      </c>
      <c r="AR114" s="116" t="s">
        <v>3</v>
      </c>
      <c r="AS114" s="117">
        <f t="shared" si="1"/>
        <v>1</v>
      </c>
      <c r="AT114" s="30" t="s">
        <v>203</v>
      </c>
      <c r="AU114" s="302" t="s">
        <v>3</v>
      </c>
      <c r="AV114" s="302">
        <v>37565</v>
      </c>
      <c r="AW114" s="120">
        <v>42482</v>
      </c>
      <c r="AX114" s="120">
        <v>43339</v>
      </c>
      <c r="AY114" s="302">
        <v>42277</v>
      </c>
      <c r="AZ114" s="305" t="s">
        <v>756</v>
      </c>
      <c r="BA114" s="321">
        <v>44412</v>
      </c>
      <c r="BB114" s="603" t="s">
        <v>2075</v>
      </c>
      <c r="BC114" s="394" t="s">
        <v>3</v>
      </c>
      <c r="BD114" s="394" t="s">
        <v>3</v>
      </c>
      <c r="BE114" s="177" t="s">
        <v>903</v>
      </c>
      <c r="BF114" s="404" t="s">
        <v>424</v>
      </c>
      <c r="BG114" s="396" t="s">
        <v>3</v>
      </c>
      <c r="BH114" s="394" t="s">
        <v>3</v>
      </c>
      <c r="BI114" s="402">
        <v>2021</v>
      </c>
      <c r="BJ114" s="403">
        <v>1</v>
      </c>
      <c r="BK114"/>
      <c r="BM114"/>
    </row>
    <row r="115" spans="1:65" ht="36" customHeight="1">
      <c r="A115" s="31" t="s">
        <v>587</v>
      </c>
      <c r="B115" s="203" t="s">
        <v>182</v>
      </c>
      <c r="C115" s="230" t="s">
        <v>3</v>
      </c>
      <c r="D115" s="230" t="s">
        <v>21</v>
      </c>
      <c r="E115" s="337" t="s">
        <v>3</v>
      </c>
      <c r="F115" s="337" t="s">
        <v>3</v>
      </c>
      <c r="G115" s="230" t="s">
        <v>3</v>
      </c>
      <c r="H115" s="174" t="s">
        <v>424</v>
      </c>
      <c r="I115" s="174" t="s">
        <v>424</v>
      </c>
      <c r="J115" s="349" t="s">
        <v>3</v>
      </c>
      <c r="K115" s="350" t="s">
        <v>3</v>
      </c>
      <c r="L115" s="30" t="s">
        <v>3</v>
      </c>
      <c r="M115" s="30" t="s">
        <v>3</v>
      </c>
      <c r="N115" s="30" t="s">
        <v>3</v>
      </c>
      <c r="O115" s="30" t="s">
        <v>3</v>
      </c>
      <c r="P115" s="30" t="s">
        <v>3</v>
      </c>
      <c r="Q115" s="30" t="s">
        <v>3</v>
      </c>
      <c r="R115" s="315" t="s">
        <v>3</v>
      </c>
      <c r="S115" s="30" t="s">
        <v>3</v>
      </c>
      <c r="T115" s="30" t="s">
        <v>3</v>
      </c>
      <c r="U115" s="30" t="s">
        <v>3</v>
      </c>
      <c r="V115" s="30" t="s">
        <v>3</v>
      </c>
      <c r="W115" s="30" t="s">
        <v>3</v>
      </c>
      <c r="X115" s="30" t="s">
        <v>3</v>
      </c>
      <c r="Y115" s="298" t="s">
        <v>3</v>
      </c>
      <c r="Z115" s="30">
        <v>49.1</v>
      </c>
      <c r="AA115" s="30">
        <v>15.7</v>
      </c>
      <c r="AB115" s="30">
        <v>1.3</v>
      </c>
      <c r="AC115" s="30" t="s">
        <v>3</v>
      </c>
      <c r="AD115" s="30" t="s">
        <v>3</v>
      </c>
      <c r="AE115" s="30">
        <v>0.4</v>
      </c>
      <c r="AF115" s="298" t="s">
        <v>3</v>
      </c>
      <c r="AG115" s="322" t="s">
        <v>3</v>
      </c>
      <c r="AH115" s="339" t="s">
        <v>3</v>
      </c>
      <c r="AI115" s="339" t="s">
        <v>3</v>
      </c>
      <c r="AJ115" s="351" t="s">
        <v>3</v>
      </c>
      <c r="AK115" s="350" t="s">
        <v>3</v>
      </c>
      <c r="AL115" s="21" t="s">
        <v>3</v>
      </c>
      <c r="AM115" s="115" t="s">
        <v>3</v>
      </c>
      <c r="AN115" s="115" t="s">
        <v>3</v>
      </c>
      <c r="AO115" s="115" t="s">
        <v>3</v>
      </c>
      <c r="AP115" s="115" t="s">
        <v>3</v>
      </c>
      <c r="AQ115" s="115" t="s">
        <v>3</v>
      </c>
      <c r="AR115" s="116" t="s">
        <v>3</v>
      </c>
      <c r="AS115" s="117" t="str">
        <f t="shared" si="1"/>
        <v/>
      </c>
      <c r="AT115" s="30" t="s">
        <v>203</v>
      </c>
      <c r="AU115" s="302" t="s">
        <v>3</v>
      </c>
      <c r="AV115" s="302">
        <v>38953</v>
      </c>
      <c r="AW115" s="120">
        <v>42482</v>
      </c>
      <c r="AX115" s="120" t="s">
        <v>3</v>
      </c>
      <c r="AY115" s="325" t="s">
        <v>3</v>
      </c>
      <c r="AZ115" s="352" t="s">
        <v>3</v>
      </c>
      <c r="BA115" s="174" t="s">
        <v>3</v>
      </c>
      <c r="BB115" s="612" t="s">
        <v>3</v>
      </c>
      <c r="BC115" s="394" t="s">
        <v>3</v>
      </c>
      <c r="BD115" s="394" t="s">
        <v>3</v>
      </c>
      <c r="BE115" s="177" t="s">
        <v>424</v>
      </c>
      <c r="BF115" s="404" t="s">
        <v>424</v>
      </c>
      <c r="BG115" s="396" t="s">
        <v>3</v>
      </c>
      <c r="BH115" s="394" t="s">
        <v>3</v>
      </c>
      <c r="BI115" s="402" t="s">
        <v>3</v>
      </c>
      <c r="BJ115" s="403" t="s">
        <v>3</v>
      </c>
      <c r="BK115"/>
      <c r="BM115"/>
    </row>
    <row r="116" spans="1:65" ht="80.55" customHeight="1">
      <c r="A116" s="32" t="s">
        <v>588</v>
      </c>
      <c r="B116" s="94" t="s">
        <v>76</v>
      </c>
      <c r="C116" s="293" t="s">
        <v>186</v>
      </c>
      <c r="D116" s="318">
        <v>0.4</v>
      </c>
      <c r="E116" s="307">
        <v>1990</v>
      </c>
      <c r="F116" s="307">
        <v>2030</v>
      </c>
      <c r="G116" s="230" t="s">
        <v>3</v>
      </c>
      <c r="H116" s="177">
        <v>2021</v>
      </c>
      <c r="I116" s="177">
        <v>2030</v>
      </c>
      <c r="J116" s="24" t="s">
        <v>35</v>
      </c>
      <c r="K116" s="308" t="s">
        <v>3</v>
      </c>
      <c r="L116" s="293" t="s">
        <v>360</v>
      </c>
      <c r="M116" s="293" t="s">
        <v>131</v>
      </c>
      <c r="N116" s="293" t="s">
        <v>131</v>
      </c>
      <c r="O116" s="293" t="s">
        <v>131</v>
      </c>
      <c r="P116" s="293" t="s">
        <v>131</v>
      </c>
      <c r="Q116" s="293" t="s">
        <v>131</v>
      </c>
      <c r="R116" s="309" t="s">
        <v>131</v>
      </c>
      <c r="S116" s="293" t="s">
        <v>131</v>
      </c>
      <c r="T116" s="293" t="s">
        <v>131</v>
      </c>
      <c r="U116" s="293" t="s">
        <v>131</v>
      </c>
      <c r="V116" s="293" t="s">
        <v>131</v>
      </c>
      <c r="W116" s="293" t="s">
        <v>131</v>
      </c>
      <c r="X116" s="293" t="s">
        <v>131</v>
      </c>
      <c r="Y116" s="310" t="s">
        <v>131</v>
      </c>
      <c r="Z116" s="293" t="s">
        <v>452</v>
      </c>
      <c r="AA116" s="293" t="s">
        <v>452</v>
      </c>
      <c r="AB116" s="293" t="s">
        <v>452</v>
      </c>
      <c r="AC116" s="293" t="s">
        <v>452</v>
      </c>
      <c r="AD116" s="293" t="s">
        <v>452</v>
      </c>
      <c r="AE116" s="293" t="s">
        <v>452</v>
      </c>
      <c r="AF116" s="298" t="s">
        <v>3</v>
      </c>
      <c r="AG116" s="322" t="s">
        <v>3</v>
      </c>
      <c r="AH116" s="322" t="s">
        <v>3</v>
      </c>
      <c r="AI116" s="322" t="s">
        <v>3</v>
      </c>
      <c r="AJ116" s="312" t="s">
        <v>3</v>
      </c>
      <c r="AK116" s="308" t="s">
        <v>3</v>
      </c>
      <c r="AL116" s="22" t="s">
        <v>17</v>
      </c>
      <c r="AM116" s="115" t="s">
        <v>131</v>
      </c>
      <c r="AN116" s="115" t="s">
        <v>246</v>
      </c>
      <c r="AO116" s="115" t="s">
        <v>3</v>
      </c>
      <c r="AP116" s="115" t="s">
        <v>3</v>
      </c>
      <c r="AQ116" s="115" t="s">
        <v>3</v>
      </c>
      <c r="AR116" s="116" t="s">
        <v>3</v>
      </c>
      <c r="AS116" s="117">
        <f t="shared" si="1"/>
        <v>1</v>
      </c>
      <c r="AT116" s="30" t="s">
        <v>205</v>
      </c>
      <c r="AU116" s="302">
        <v>35975</v>
      </c>
      <c r="AV116" s="302">
        <v>38324</v>
      </c>
      <c r="AW116" s="120">
        <v>42482</v>
      </c>
      <c r="AX116" s="120">
        <v>42998</v>
      </c>
      <c r="AY116" s="302">
        <v>42117</v>
      </c>
      <c r="AZ116" s="305" t="s">
        <v>840</v>
      </c>
      <c r="BA116" s="120">
        <v>42998</v>
      </c>
      <c r="BB116" s="603" t="s">
        <v>2073</v>
      </c>
      <c r="BC116" s="394" t="s">
        <v>3</v>
      </c>
      <c r="BD116" s="394" t="s">
        <v>3</v>
      </c>
      <c r="BE116" s="177" t="s">
        <v>903</v>
      </c>
      <c r="BF116" s="404" t="s">
        <v>424</v>
      </c>
      <c r="BG116" s="397">
        <v>2019</v>
      </c>
      <c r="BH116" s="395">
        <v>4</v>
      </c>
      <c r="BI116" s="177" t="s">
        <v>3</v>
      </c>
      <c r="BJ116" s="446" t="s">
        <v>3</v>
      </c>
      <c r="BK116"/>
      <c r="BM116"/>
    </row>
    <row r="117" spans="1:65" ht="108" customHeight="1">
      <c r="A117" s="31" t="s">
        <v>589</v>
      </c>
      <c r="B117" s="92" t="s">
        <v>180</v>
      </c>
      <c r="C117" s="230" t="s">
        <v>185</v>
      </c>
      <c r="D117" s="319">
        <v>0.32</v>
      </c>
      <c r="E117" s="337" t="s">
        <v>1</v>
      </c>
      <c r="F117" s="337">
        <v>2030</v>
      </c>
      <c r="G117" s="230" t="s">
        <v>3</v>
      </c>
      <c r="H117" s="176">
        <v>2021</v>
      </c>
      <c r="I117" s="176">
        <v>2030</v>
      </c>
      <c r="J117" s="46" t="s">
        <v>29</v>
      </c>
      <c r="K117" s="308" t="s">
        <v>154</v>
      </c>
      <c r="L117" s="293" t="s">
        <v>360</v>
      </c>
      <c r="M117" s="293" t="s">
        <v>131</v>
      </c>
      <c r="N117" s="293" t="s">
        <v>131</v>
      </c>
      <c r="O117" s="293" t="s">
        <v>3</v>
      </c>
      <c r="P117" s="293" t="s">
        <v>131</v>
      </c>
      <c r="Q117" s="293" t="s">
        <v>131</v>
      </c>
      <c r="R117" s="309" t="s">
        <v>3</v>
      </c>
      <c r="S117" s="293" t="s">
        <v>131</v>
      </c>
      <c r="T117" s="293" t="s">
        <v>131</v>
      </c>
      <c r="U117" s="293" t="s">
        <v>131</v>
      </c>
      <c r="V117" s="293" t="s">
        <v>3</v>
      </c>
      <c r="W117" s="293" t="s">
        <v>3</v>
      </c>
      <c r="X117" s="293" t="s">
        <v>3</v>
      </c>
      <c r="Y117" s="310" t="s">
        <v>3</v>
      </c>
      <c r="Z117" s="293" t="s">
        <v>452</v>
      </c>
      <c r="AA117" s="293" t="s">
        <v>452</v>
      </c>
      <c r="AB117" s="293" t="s">
        <v>452</v>
      </c>
      <c r="AC117" s="293" t="s">
        <v>452</v>
      </c>
      <c r="AD117" s="293" t="s">
        <v>452</v>
      </c>
      <c r="AE117" s="293" t="s">
        <v>452</v>
      </c>
      <c r="AF117" s="298" t="s">
        <v>3</v>
      </c>
      <c r="AG117" s="231">
        <v>6.37</v>
      </c>
      <c r="AH117" s="231">
        <v>28.713000000000001</v>
      </c>
      <c r="AI117" s="231">
        <v>42.098999999999997</v>
      </c>
      <c r="AJ117" s="312" t="s">
        <v>104</v>
      </c>
      <c r="AK117" s="308" t="s">
        <v>3</v>
      </c>
      <c r="AL117" s="22" t="s">
        <v>22</v>
      </c>
      <c r="AM117" s="115" t="s">
        <v>135</v>
      </c>
      <c r="AN117" s="115" t="s">
        <v>3</v>
      </c>
      <c r="AO117" s="115" t="s">
        <v>3</v>
      </c>
      <c r="AP117" s="115" t="s">
        <v>3</v>
      </c>
      <c r="AQ117" s="115" t="s">
        <v>3</v>
      </c>
      <c r="AR117" s="116" t="s">
        <v>3</v>
      </c>
      <c r="AS117" s="117">
        <f t="shared" si="1"/>
        <v>1</v>
      </c>
      <c r="AT117" s="30" t="s">
        <v>203</v>
      </c>
      <c r="AU117" s="302" t="s">
        <v>3</v>
      </c>
      <c r="AV117" s="302">
        <v>37888</v>
      </c>
      <c r="AW117" s="120">
        <v>42482</v>
      </c>
      <c r="AX117" s="120">
        <v>42634</v>
      </c>
      <c r="AY117" s="325">
        <v>42271</v>
      </c>
      <c r="AZ117" s="317" t="s">
        <v>810</v>
      </c>
      <c r="BA117" s="325">
        <v>42634</v>
      </c>
      <c r="BB117" s="603" t="s">
        <v>2072</v>
      </c>
      <c r="BC117" s="394" t="s">
        <v>3</v>
      </c>
      <c r="BD117" s="394" t="s">
        <v>3</v>
      </c>
      <c r="BE117" s="177" t="s">
        <v>897</v>
      </c>
      <c r="BF117" s="404" t="s">
        <v>471</v>
      </c>
      <c r="BG117" s="396" t="s">
        <v>3</v>
      </c>
      <c r="BH117" s="394" t="s">
        <v>3</v>
      </c>
      <c r="BI117" s="402" t="s">
        <v>3</v>
      </c>
      <c r="BJ117" s="403" t="s">
        <v>3</v>
      </c>
      <c r="BK117"/>
      <c r="BM117"/>
    </row>
    <row r="118" spans="1:65" ht="120" customHeight="1">
      <c r="A118" s="31" t="s">
        <v>590</v>
      </c>
      <c r="B118" s="92" t="s">
        <v>180</v>
      </c>
      <c r="C118" s="230" t="s">
        <v>1510</v>
      </c>
      <c r="D118" s="230" t="s">
        <v>1511</v>
      </c>
      <c r="E118" s="230" t="s">
        <v>1512</v>
      </c>
      <c r="F118" s="337">
        <v>2040</v>
      </c>
      <c r="G118" s="230" t="s">
        <v>3</v>
      </c>
      <c r="H118" s="176" t="s">
        <v>424</v>
      </c>
      <c r="I118" s="176">
        <v>2040</v>
      </c>
      <c r="J118" s="46" t="s">
        <v>1509</v>
      </c>
      <c r="K118" s="308" t="s">
        <v>319</v>
      </c>
      <c r="L118" s="293" t="s">
        <v>360</v>
      </c>
      <c r="M118" s="293" t="s">
        <v>131</v>
      </c>
      <c r="N118" s="293" t="s">
        <v>131</v>
      </c>
      <c r="O118" s="293" t="s">
        <v>131</v>
      </c>
      <c r="P118" s="293" t="s">
        <v>131</v>
      </c>
      <c r="Q118" s="293" t="s">
        <v>1513</v>
      </c>
      <c r="R118" s="309" t="s">
        <v>131</v>
      </c>
      <c r="S118" s="293" t="s">
        <v>131</v>
      </c>
      <c r="T118" s="293" t="s">
        <v>131</v>
      </c>
      <c r="U118" s="293" t="s">
        <v>131</v>
      </c>
      <c r="V118" s="293" t="s">
        <v>3</v>
      </c>
      <c r="W118" s="293" t="s">
        <v>3</v>
      </c>
      <c r="X118" s="293" t="s">
        <v>3</v>
      </c>
      <c r="Y118" s="310" t="s">
        <v>3</v>
      </c>
      <c r="Z118" s="293" t="s">
        <v>452</v>
      </c>
      <c r="AA118" s="293" t="s">
        <v>452</v>
      </c>
      <c r="AB118" s="293" t="s">
        <v>452</v>
      </c>
      <c r="AC118" s="293" t="s">
        <v>452</v>
      </c>
      <c r="AD118" s="293" t="s">
        <v>452</v>
      </c>
      <c r="AE118" s="293" t="s">
        <v>452</v>
      </c>
      <c r="AF118" s="298" t="s">
        <v>3</v>
      </c>
      <c r="AG118" s="311">
        <v>41.8</v>
      </c>
      <c r="AH118" s="311">
        <v>4.5</v>
      </c>
      <c r="AI118" s="311">
        <f>SUM(AG118:AH118)</f>
        <v>46.3</v>
      </c>
      <c r="AJ118" s="312" t="s">
        <v>1514</v>
      </c>
      <c r="AK118" s="308" t="s">
        <v>1515</v>
      </c>
      <c r="AL118" s="22" t="s">
        <v>1516</v>
      </c>
      <c r="AM118" s="115" t="s">
        <v>3</v>
      </c>
      <c r="AN118" s="115" t="s">
        <v>3</v>
      </c>
      <c r="AO118" s="115" t="s">
        <v>3</v>
      </c>
      <c r="AP118" s="115" t="s">
        <v>3</v>
      </c>
      <c r="AQ118" s="115" t="s">
        <v>3</v>
      </c>
      <c r="AR118" s="116" t="s">
        <v>3</v>
      </c>
      <c r="AS118" s="117" t="str">
        <f t="shared" si="1"/>
        <v/>
      </c>
      <c r="AT118" s="30" t="s">
        <v>203</v>
      </c>
      <c r="AU118" s="302" t="s">
        <v>3</v>
      </c>
      <c r="AV118" s="302">
        <v>37190</v>
      </c>
      <c r="AW118" s="120">
        <v>42633</v>
      </c>
      <c r="AX118" s="120">
        <v>42915</v>
      </c>
      <c r="AY118" s="325">
        <v>42285</v>
      </c>
      <c r="AZ118" s="317" t="s">
        <v>737</v>
      </c>
      <c r="BA118" s="321">
        <v>44407</v>
      </c>
      <c r="BB118" s="603" t="s">
        <v>2071</v>
      </c>
      <c r="BC118" s="394" t="s">
        <v>3</v>
      </c>
      <c r="BD118" s="394" t="s">
        <v>3</v>
      </c>
      <c r="BE118" s="177" t="s">
        <v>899</v>
      </c>
      <c r="BF118" s="404" t="s">
        <v>424</v>
      </c>
      <c r="BG118" s="396" t="s">
        <v>3</v>
      </c>
      <c r="BH118" s="394" t="s">
        <v>3</v>
      </c>
      <c r="BI118" s="402">
        <v>2021</v>
      </c>
      <c r="BJ118" s="403">
        <v>1</v>
      </c>
      <c r="BK118"/>
      <c r="BM118"/>
    </row>
    <row r="119" spans="1:65" ht="132" customHeight="1">
      <c r="A119" s="31" t="s">
        <v>591</v>
      </c>
      <c r="B119" s="90" t="s">
        <v>23</v>
      </c>
      <c r="C119" s="230" t="s">
        <v>187</v>
      </c>
      <c r="D119" s="230" t="s">
        <v>1525</v>
      </c>
      <c r="E119" s="230">
        <v>2005</v>
      </c>
      <c r="F119" s="230">
        <v>2030</v>
      </c>
      <c r="G119" s="230" t="s">
        <v>3</v>
      </c>
      <c r="H119" s="176">
        <v>2021</v>
      </c>
      <c r="I119" s="176">
        <v>2030</v>
      </c>
      <c r="J119" s="320" t="s">
        <v>1527</v>
      </c>
      <c r="K119" s="314" t="s">
        <v>96</v>
      </c>
      <c r="L119" s="30" t="s">
        <v>360</v>
      </c>
      <c r="M119" s="30" t="s">
        <v>131</v>
      </c>
      <c r="N119" s="30" t="s">
        <v>131</v>
      </c>
      <c r="O119" s="30" t="s">
        <v>1518</v>
      </c>
      <c r="P119" s="30" t="s">
        <v>131</v>
      </c>
      <c r="Q119" s="30" t="s">
        <v>131</v>
      </c>
      <c r="R119" s="315" t="s">
        <v>131</v>
      </c>
      <c r="S119" s="30" t="s">
        <v>1518</v>
      </c>
      <c r="T119" s="30" t="s">
        <v>1518</v>
      </c>
      <c r="U119" s="30" t="s">
        <v>1518</v>
      </c>
      <c r="V119" s="30" t="s">
        <v>1518</v>
      </c>
      <c r="W119" s="30" t="s">
        <v>1518</v>
      </c>
      <c r="X119" s="30" t="s">
        <v>1518</v>
      </c>
      <c r="Y119" s="298" t="s">
        <v>1518</v>
      </c>
      <c r="Z119" s="30">
        <v>248.9</v>
      </c>
      <c r="AA119" s="30">
        <v>51.4</v>
      </c>
      <c r="AB119" s="30">
        <v>13.7</v>
      </c>
      <c r="AC119" s="30">
        <v>0.1</v>
      </c>
      <c r="AD119" s="30">
        <v>0.2</v>
      </c>
      <c r="AE119" s="30">
        <v>0.8</v>
      </c>
      <c r="AF119" s="298" t="s">
        <v>3</v>
      </c>
      <c r="AG119" s="311" t="s">
        <v>3</v>
      </c>
      <c r="AH119" s="311" t="s">
        <v>3</v>
      </c>
      <c r="AI119" s="311" t="s">
        <v>3</v>
      </c>
      <c r="AJ119" s="316" t="s">
        <v>3</v>
      </c>
      <c r="AK119" s="314" t="s">
        <v>1519</v>
      </c>
      <c r="AL119" s="22" t="s">
        <v>1526</v>
      </c>
      <c r="AM119" s="115" t="s">
        <v>1519</v>
      </c>
      <c r="AN119" s="115" t="s">
        <v>3</v>
      </c>
      <c r="AO119" s="115" t="s">
        <v>3</v>
      </c>
      <c r="AP119" s="115" t="s">
        <v>3</v>
      </c>
      <c r="AQ119" s="115" t="s">
        <v>3</v>
      </c>
      <c r="AR119" s="116" t="s">
        <v>3</v>
      </c>
      <c r="AS119" s="117" t="str">
        <f t="shared" si="1"/>
        <v/>
      </c>
      <c r="AT119" s="30" t="s">
        <v>203</v>
      </c>
      <c r="AU119" s="302">
        <v>36231</v>
      </c>
      <c r="AV119" s="302">
        <v>37503</v>
      </c>
      <c r="AW119" s="120">
        <v>42482</v>
      </c>
      <c r="AX119" s="120">
        <v>42690</v>
      </c>
      <c r="AY119" s="324">
        <v>42335</v>
      </c>
      <c r="AZ119" s="317" t="s">
        <v>683</v>
      </c>
      <c r="BA119" s="321">
        <v>44407</v>
      </c>
      <c r="BB119" s="603" t="s">
        <v>2159</v>
      </c>
      <c r="BC119" s="394" t="s">
        <v>3</v>
      </c>
      <c r="BD119" s="394" t="s">
        <v>3</v>
      </c>
      <c r="BE119" s="177" t="s">
        <v>899</v>
      </c>
      <c r="BF119" s="404" t="s">
        <v>424</v>
      </c>
      <c r="BG119" s="396" t="s">
        <v>3</v>
      </c>
      <c r="BH119" s="394" t="s">
        <v>3</v>
      </c>
      <c r="BI119" s="440">
        <v>2020</v>
      </c>
      <c r="BJ119" s="448">
        <v>3</v>
      </c>
      <c r="BK119"/>
      <c r="BM119"/>
    </row>
    <row r="120" spans="1:65" ht="111" customHeight="1">
      <c r="A120" s="31" t="s">
        <v>592</v>
      </c>
      <c r="B120" s="90" t="s">
        <v>23</v>
      </c>
      <c r="C120" s="230" t="s">
        <v>185</v>
      </c>
      <c r="D120" s="230" t="s">
        <v>1257</v>
      </c>
      <c r="E120" s="230" t="s">
        <v>1</v>
      </c>
      <c r="F120" s="230">
        <v>2030</v>
      </c>
      <c r="G120" s="230" t="s">
        <v>3</v>
      </c>
      <c r="H120" s="176">
        <v>2021</v>
      </c>
      <c r="I120" s="176">
        <v>2030</v>
      </c>
      <c r="J120" s="320" t="s">
        <v>1256</v>
      </c>
      <c r="K120" s="314" t="s">
        <v>1260</v>
      </c>
      <c r="L120" s="30" t="s">
        <v>360</v>
      </c>
      <c r="M120" s="30" t="s">
        <v>131</v>
      </c>
      <c r="N120" s="30" t="s">
        <v>3</v>
      </c>
      <c r="O120" s="30" t="s">
        <v>131</v>
      </c>
      <c r="P120" s="30" t="s">
        <v>131</v>
      </c>
      <c r="Q120" s="30" t="s">
        <v>3</v>
      </c>
      <c r="R120" s="315" t="s">
        <v>3</v>
      </c>
      <c r="S120" s="30" t="s">
        <v>131</v>
      </c>
      <c r="T120" s="30" t="s">
        <v>131</v>
      </c>
      <c r="U120" s="30" t="s">
        <v>1258</v>
      </c>
      <c r="V120" s="30" t="s">
        <v>3</v>
      </c>
      <c r="W120" s="30" t="s">
        <v>3</v>
      </c>
      <c r="X120" s="30" t="s">
        <v>3</v>
      </c>
      <c r="Y120" s="298" t="s">
        <v>3</v>
      </c>
      <c r="Z120" s="293" t="s">
        <v>452</v>
      </c>
      <c r="AA120" s="293" t="s">
        <v>452</v>
      </c>
      <c r="AB120" s="293" t="s">
        <v>452</v>
      </c>
      <c r="AC120" s="293" t="s">
        <v>452</v>
      </c>
      <c r="AD120" s="293" t="s">
        <v>452</v>
      </c>
      <c r="AE120" s="293" t="s">
        <v>452</v>
      </c>
      <c r="AF120" s="298" t="s">
        <v>3</v>
      </c>
      <c r="AG120" s="311" t="s">
        <v>3</v>
      </c>
      <c r="AH120" s="311" t="s">
        <v>3</v>
      </c>
      <c r="AI120" s="311" t="s">
        <v>3</v>
      </c>
      <c r="AJ120" s="316" t="s">
        <v>3</v>
      </c>
      <c r="AK120" s="314" t="s">
        <v>3</v>
      </c>
      <c r="AL120" s="22" t="s">
        <v>1259</v>
      </c>
      <c r="AM120" s="115" t="s">
        <v>3</v>
      </c>
      <c r="AN120" s="115" t="s">
        <v>3</v>
      </c>
      <c r="AO120" s="115" t="s">
        <v>3</v>
      </c>
      <c r="AP120" s="115" t="s">
        <v>3</v>
      </c>
      <c r="AQ120" s="115" t="s">
        <v>3</v>
      </c>
      <c r="AR120" s="116" t="s">
        <v>246</v>
      </c>
      <c r="AS120" s="117">
        <f t="shared" si="1"/>
        <v>1</v>
      </c>
      <c r="AT120" s="30" t="s">
        <v>203</v>
      </c>
      <c r="AU120" s="302">
        <v>35870</v>
      </c>
      <c r="AV120" s="302">
        <v>36159</v>
      </c>
      <c r="AW120" s="120">
        <v>42482</v>
      </c>
      <c r="AX120" s="120">
        <v>42482</v>
      </c>
      <c r="AY120" s="325">
        <v>42276</v>
      </c>
      <c r="AZ120" s="317" t="s">
        <v>794</v>
      </c>
      <c r="BA120" s="325">
        <v>44193</v>
      </c>
      <c r="BB120" s="603" t="s">
        <v>2158</v>
      </c>
      <c r="BC120" s="394" t="s">
        <v>3</v>
      </c>
      <c r="BD120" s="394" t="s">
        <v>3</v>
      </c>
      <c r="BE120" s="177" t="s">
        <v>899</v>
      </c>
      <c r="BF120" s="404" t="s">
        <v>424</v>
      </c>
      <c r="BG120" s="396" t="s">
        <v>3</v>
      </c>
      <c r="BH120" s="394" t="s">
        <v>3</v>
      </c>
      <c r="BI120" s="402">
        <v>2020</v>
      </c>
      <c r="BJ120" s="403">
        <v>1</v>
      </c>
      <c r="BK120"/>
      <c r="BM120"/>
    </row>
    <row r="121" spans="1:65" ht="84" customHeight="1">
      <c r="A121" s="31" t="s">
        <v>593</v>
      </c>
      <c r="B121" s="92" t="s">
        <v>180</v>
      </c>
      <c r="C121" s="230" t="s">
        <v>185</v>
      </c>
      <c r="D121" s="230" t="s">
        <v>1675</v>
      </c>
      <c r="E121" s="337" t="s">
        <v>1</v>
      </c>
      <c r="F121" s="337">
        <v>2030</v>
      </c>
      <c r="G121" s="230" t="s">
        <v>3</v>
      </c>
      <c r="H121" s="177">
        <v>2020</v>
      </c>
      <c r="I121" s="177">
        <v>2030</v>
      </c>
      <c r="J121" s="46" t="s">
        <v>1676</v>
      </c>
      <c r="K121" s="308" t="s">
        <v>1677</v>
      </c>
      <c r="L121" s="293" t="s">
        <v>360</v>
      </c>
      <c r="M121" s="293" t="s">
        <v>131</v>
      </c>
      <c r="N121" s="293" t="s">
        <v>131</v>
      </c>
      <c r="O121" s="293" t="s">
        <v>3</v>
      </c>
      <c r="P121" s="293" t="s">
        <v>1669</v>
      </c>
      <c r="Q121" s="293" t="s">
        <v>131</v>
      </c>
      <c r="R121" s="309" t="s">
        <v>3</v>
      </c>
      <c r="S121" s="293" t="s">
        <v>131</v>
      </c>
      <c r="T121" s="293" t="s">
        <v>131</v>
      </c>
      <c r="U121" s="293" t="s">
        <v>131</v>
      </c>
      <c r="V121" s="293" t="s">
        <v>3</v>
      </c>
      <c r="W121" s="293" t="s">
        <v>3</v>
      </c>
      <c r="X121" s="293" t="s">
        <v>3</v>
      </c>
      <c r="Y121" s="310" t="s">
        <v>3</v>
      </c>
      <c r="Z121" s="293" t="s">
        <v>452</v>
      </c>
      <c r="AA121" s="293" t="s">
        <v>452</v>
      </c>
      <c r="AB121" s="293" t="s">
        <v>452</v>
      </c>
      <c r="AC121" s="293" t="s">
        <v>452</v>
      </c>
      <c r="AD121" s="293" t="s">
        <v>452</v>
      </c>
      <c r="AE121" s="293" t="s">
        <v>452</v>
      </c>
      <c r="AF121" s="298" t="s">
        <v>3</v>
      </c>
      <c r="AG121" s="231" t="s">
        <v>1663</v>
      </c>
      <c r="AH121" s="231" t="s">
        <v>1663</v>
      </c>
      <c r="AI121" s="231" t="s">
        <v>1663</v>
      </c>
      <c r="AJ121" s="312" t="s">
        <v>1663</v>
      </c>
      <c r="AK121" s="308" t="s">
        <v>1678</v>
      </c>
      <c r="AL121" s="22" t="s">
        <v>1663</v>
      </c>
      <c r="AM121" s="115" t="s">
        <v>1663</v>
      </c>
      <c r="AN121" s="115" t="s">
        <v>3</v>
      </c>
      <c r="AO121" s="115" t="s">
        <v>3</v>
      </c>
      <c r="AP121" s="115" t="s">
        <v>3</v>
      </c>
      <c r="AQ121" s="115" t="s">
        <v>3</v>
      </c>
      <c r="AR121" s="116" t="s">
        <v>3</v>
      </c>
      <c r="AS121" s="117" t="str">
        <f t="shared" si="1"/>
        <v/>
      </c>
      <c r="AT121" s="30" t="s">
        <v>203</v>
      </c>
      <c r="AU121" s="302">
        <v>36187</v>
      </c>
      <c r="AV121" s="302">
        <v>37343</v>
      </c>
      <c r="AW121" s="120">
        <v>42482</v>
      </c>
      <c r="AX121" s="120">
        <v>42636</v>
      </c>
      <c r="AY121" s="325">
        <v>42276</v>
      </c>
      <c r="AZ121" s="317" t="s">
        <v>790</v>
      </c>
      <c r="BA121" s="321">
        <v>44480</v>
      </c>
      <c r="BB121" s="603" t="s">
        <v>2157</v>
      </c>
      <c r="BC121" s="394" t="s">
        <v>3</v>
      </c>
      <c r="BD121" s="394" t="s">
        <v>3</v>
      </c>
      <c r="BE121" s="177" t="s">
        <v>897</v>
      </c>
      <c r="BF121" s="404" t="s">
        <v>424</v>
      </c>
      <c r="BG121" s="396" t="s">
        <v>3</v>
      </c>
      <c r="BH121" s="394" t="s">
        <v>3</v>
      </c>
      <c r="BI121" s="402" t="s">
        <v>3</v>
      </c>
      <c r="BJ121" s="403" t="s">
        <v>3</v>
      </c>
      <c r="BK121"/>
      <c r="BM121"/>
    </row>
    <row r="122" spans="1:65" ht="124.95" customHeight="1">
      <c r="A122" s="32" t="s">
        <v>594</v>
      </c>
      <c r="B122" s="97" t="s">
        <v>25</v>
      </c>
      <c r="C122" s="293" t="s">
        <v>186</v>
      </c>
      <c r="D122" s="318">
        <v>0.45</v>
      </c>
      <c r="E122" s="293">
        <v>2010</v>
      </c>
      <c r="F122" s="293">
        <v>2030</v>
      </c>
      <c r="G122" s="230" t="s">
        <v>3</v>
      </c>
      <c r="H122" s="176" t="s">
        <v>424</v>
      </c>
      <c r="I122" s="176">
        <v>2030</v>
      </c>
      <c r="J122" s="22" t="s">
        <v>1310</v>
      </c>
      <c r="K122" s="314" t="s">
        <v>424</v>
      </c>
      <c r="L122" s="293" t="s">
        <v>360</v>
      </c>
      <c r="M122" s="293" t="s">
        <v>131</v>
      </c>
      <c r="N122" s="293" t="s">
        <v>1297</v>
      </c>
      <c r="O122" s="293" t="s">
        <v>131</v>
      </c>
      <c r="P122" s="293" t="s">
        <v>131</v>
      </c>
      <c r="Q122" s="293" t="s">
        <v>1297</v>
      </c>
      <c r="R122" s="309" t="s">
        <v>1297</v>
      </c>
      <c r="S122" s="30" t="s">
        <v>1298</v>
      </c>
      <c r="T122" s="30" t="s">
        <v>1298</v>
      </c>
      <c r="U122" s="30" t="s">
        <v>1298</v>
      </c>
      <c r="V122" s="293" t="s">
        <v>3</v>
      </c>
      <c r="W122" s="293" t="s">
        <v>3</v>
      </c>
      <c r="X122" s="293" t="s">
        <v>3</v>
      </c>
      <c r="Y122" s="310" t="s">
        <v>3</v>
      </c>
      <c r="Z122" s="293" t="s">
        <v>452</v>
      </c>
      <c r="AA122" s="293" t="s">
        <v>452</v>
      </c>
      <c r="AB122" s="293" t="s">
        <v>452</v>
      </c>
      <c r="AC122" s="293" t="s">
        <v>452</v>
      </c>
      <c r="AD122" s="293" t="s">
        <v>452</v>
      </c>
      <c r="AE122" s="293" t="s">
        <v>452</v>
      </c>
      <c r="AF122" s="298" t="s">
        <v>3</v>
      </c>
      <c r="AG122" s="322" t="s">
        <v>3</v>
      </c>
      <c r="AH122" s="322" t="s">
        <v>3</v>
      </c>
      <c r="AI122" s="322" t="s">
        <v>3</v>
      </c>
      <c r="AJ122" s="316" t="s">
        <v>3</v>
      </c>
      <c r="AK122" s="314" t="s">
        <v>1312</v>
      </c>
      <c r="AL122" s="22" t="s">
        <v>1311</v>
      </c>
      <c r="AM122" s="30" t="s">
        <v>135</v>
      </c>
      <c r="AN122" s="195" t="s">
        <v>3</v>
      </c>
      <c r="AO122" s="195" t="s">
        <v>3</v>
      </c>
      <c r="AP122" s="195" t="s">
        <v>3</v>
      </c>
      <c r="AQ122" s="195" t="s">
        <v>3</v>
      </c>
      <c r="AR122" s="196" t="s">
        <v>3</v>
      </c>
      <c r="AS122" s="117">
        <f t="shared" si="1"/>
        <v>1</v>
      </c>
      <c r="AT122" s="30" t="s">
        <v>203</v>
      </c>
      <c r="AU122" s="302">
        <v>35871</v>
      </c>
      <c r="AV122" s="302">
        <v>37844</v>
      </c>
      <c r="AW122" s="120">
        <v>42482</v>
      </c>
      <c r="AX122" s="120">
        <v>42482</v>
      </c>
      <c r="AY122" s="302">
        <v>42206</v>
      </c>
      <c r="AZ122" s="317" t="s">
        <v>829</v>
      </c>
      <c r="BA122" s="302">
        <v>42482</v>
      </c>
      <c r="BB122" s="607" t="s">
        <v>424</v>
      </c>
      <c r="BC122" s="321">
        <v>44196</v>
      </c>
      <c r="BD122" s="486" t="s">
        <v>2082</v>
      </c>
      <c r="BE122" s="177" t="s">
        <v>899</v>
      </c>
      <c r="BF122" s="404" t="s">
        <v>424</v>
      </c>
      <c r="BG122" s="396" t="s">
        <v>3</v>
      </c>
      <c r="BH122" s="394" t="s">
        <v>3</v>
      </c>
      <c r="BI122" s="402" t="s">
        <v>3</v>
      </c>
      <c r="BJ122" s="403" t="s">
        <v>3</v>
      </c>
      <c r="BK122"/>
      <c r="BM122"/>
    </row>
    <row r="123" spans="1:65" ht="89.55" customHeight="1">
      <c r="A123" s="31" t="s">
        <v>595</v>
      </c>
      <c r="B123" s="92" t="s">
        <v>437</v>
      </c>
      <c r="C123" s="230" t="s">
        <v>1691</v>
      </c>
      <c r="D123" s="230" t="s">
        <v>1696</v>
      </c>
      <c r="E123" s="337" t="s">
        <v>1692</v>
      </c>
      <c r="F123" s="337">
        <v>2030</v>
      </c>
      <c r="G123" s="230" t="s">
        <v>3</v>
      </c>
      <c r="H123" s="176">
        <v>2021</v>
      </c>
      <c r="I123" s="176">
        <v>2030</v>
      </c>
      <c r="J123" s="46" t="s">
        <v>1695</v>
      </c>
      <c r="K123" s="308" t="s">
        <v>1697</v>
      </c>
      <c r="L123" s="293" t="s">
        <v>360</v>
      </c>
      <c r="M123" s="293" t="s">
        <v>131</v>
      </c>
      <c r="N123" s="293" t="s">
        <v>131</v>
      </c>
      <c r="O123" s="293" t="s">
        <v>3</v>
      </c>
      <c r="P123" s="293" t="s">
        <v>131</v>
      </c>
      <c r="Q123" s="293" t="s">
        <v>131</v>
      </c>
      <c r="R123" s="309" t="s">
        <v>131</v>
      </c>
      <c r="S123" s="293" t="s">
        <v>131</v>
      </c>
      <c r="T123" s="293" t="s">
        <v>131</v>
      </c>
      <c r="U123" s="293" t="s">
        <v>131</v>
      </c>
      <c r="V123" s="293" t="s">
        <v>1669</v>
      </c>
      <c r="W123" s="293" t="s">
        <v>3</v>
      </c>
      <c r="X123" s="293" t="s">
        <v>3</v>
      </c>
      <c r="Y123" s="310" t="s">
        <v>3</v>
      </c>
      <c r="Z123" s="293" t="s">
        <v>452</v>
      </c>
      <c r="AA123" s="293" t="s">
        <v>452</v>
      </c>
      <c r="AB123" s="293" t="s">
        <v>452</v>
      </c>
      <c r="AC123" s="293" t="s">
        <v>452</v>
      </c>
      <c r="AD123" s="293" t="s">
        <v>452</v>
      </c>
      <c r="AE123" s="293" t="s">
        <v>452</v>
      </c>
      <c r="AF123" s="298" t="s">
        <v>3</v>
      </c>
      <c r="AG123" s="231">
        <v>34.255000000000003</v>
      </c>
      <c r="AH123" s="231">
        <v>10.625999999999999</v>
      </c>
      <c r="AI123" s="231">
        <v>46.561</v>
      </c>
      <c r="AJ123" s="312" t="s">
        <v>1698</v>
      </c>
      <c r="AK123" s="308" t="s">
        <v>1699</v>
      </c>
      <c r="AL123" s="22" t="s">
        <v>1700</v>
      </c>
      <c r="AM123" s="115" t="s">
        <v>131</v>
      </c>
      <c r="AN123" s="115" t="s">
        <v>3</v>
      </c>
      <c r="AO123" s="115" t="s">
        <v>3</v>
      </c>
      <c r="AP123" s="115" t="s">
        <v>3</v>
      </c>
      <c r="AQ123" s="115" t="s">
        <v>131</v>
      </c>
      <c r="AR123" s="116" t="s">
        <v>3</v>
      </c>
      <c r="AS123" s="117">
        <f t="shared" si="1"/>
        <v>1</v>
      </c>
      <c r="AT123" s="30" t="s">
        <v>203</v>
      </c>
      <c r="AU123" s="302" t="s">
        <v>3</v>
      </c>
      <c r="AV123" s="302">
        <v>38555</v>
      </c>
      <c r="AW123" s="120">
        <v>42482</v>
      </c>
      <c r="AX123" s="120">
        <v>42793</v>
      </c>
      <c r="AY123" s="325">
        <v>42277</v>
      </c>
      <c r="AZ123" s="317" t="s">
        <v>770</v>
      </c>
      <c r="BA123" s="321">
        <v>44481</v>
      </c>
      <c r="BB123" s="603" t="s">
        <v>2081</v>
      </c>
      <c r="BC123" s="394" t="s">
        <v>3</v>
      </c>
      <c r="BD123" s="402" t="s">
        <v>3</v>
      </c>
      <c r="BE123" s="177" t="s">
        <v>897</v>
      </c>
      <c r="BF123" s="404" t="s">
        <v>424</v>
      </c>
      <c r="BG123" s="396" t="s">
        <v>3</v>
      </c>
      <c r="BH123" s="394" t="s">
        <v>3</v>
      </c>
      <c r="BI123" s="440">
        <v>2021</v>
      </c>
      <c r="BJ123" s="448">
        <v>2</v>
      </c>
      <c r="BK123"/>
      <c r="BM123"/>
    </row>
    <row r="124" spans="1:65" ht="103.5" customHeight="1">
      <c r="A124" s="31" t="s">
        <v>596</v>
      </c>
      <c r="B124" s="92" t="s">
        <v>180</v>
      </c>
      <c r="C124" s="230" t="s">
        <v>185</v>
      </c>
      <c r="D124" s="319">
        <v>0.4</v>
      </c>
      <c r="E124" s="337" t="s">
        <v>1</v>
      </c>
      <c r="F124" s="337">
        <v>2030</v>
      </c>
      <c r="G124" s="230" t="s">
        <v>3</v>
      </c>
      <c r="H124" s="176">
        <v>2021</v>
      </c>
      <c r="I124" s="176">
        <v>2030</v>
      </c>
      <c r="J124" s="46" t="s">
        <v>1653</v>
      </c>
      <c r="K124" s="308" t="s">
        <v>1650</v>
      </c>
      <c r="L124" s="293" t="s">
        <v>360</v>
      </c>
      <c r="M124" s="293" t="s">
        <v>131</v>
      </c>
      <c r="N124" s="293" t="s">
        <v>131</v>
      </c>
      <c r="O124" s="293" t="s">
        <v>131</v>
      </c>
      <c r="P124" s="293" t="s">
        <v>1623</v>
      </c>
      <c r="Q124" s="293" t="s">
        <v>131</v>
      </c>
      <c r="R124" s="309" t="s">
        <v>131</v>
      </c>
      <c r="S124" s="293" t="s">
        <v>131</v>
      </c>
      <c r="T124" s="293" t="s">
        <v>131</v>
      </c>
      <c r="U124" s="293" t="s">
        <v>1623</v>
      </c>
      <c r="V124" s="293" t="s">
        <v>131</v>
      </c>
      <c r="W124" s="293" t="s">
        <v>1624</v>
      </c>
      <c r="X124" s="293" t="s">
        <v>1624</v>
      </c>
      <c r="Y124" s="310" t="s">
        <v>1624</v>
      </c>
      <c r="Z124" s="293">
        <v>4</v>
      </c>
      <c r="AA124" s="293">
        <v>0.4</v>
      </c>
      <c r="AB124" s="293">
        <v>0.2</v>
      </c>
      <c r="AC124" s="293">
        <v>0</v>
      </c>
      <c r="AD124" s="293" t="s">
        <v>3</v>
      </c>
      <c r="AE124" s="293" t="s">
        <v>3</v>
      </c>
      <c r="AF124" s="298" t="s">
        <v>3</v>
      </c>
      <c r="AG124" s="231">
        <v>2</v>
      </c>
      <c r="AH124" s="231">
        <v>4.5</v>
      </c>
      <c r="AI124" s="231">
        <v>6.5</v>
      </c>
      <c r="AJ124" s="312" t="s">
        <v>1651</v>
      </c>
      <c r="AK124" s="308" t="s">
        <v>1624</v>
      </c>
      <c r="AL124" s="22" t="s">
        <v>1652</v>
      </c>
      <c r="AM124" s="115" t="s">
        <v>3</v>
      </c>
      <c r="AN124" s="115" t="s">
        <v>3</v>
      </c>
      <c r="AO124" s="115" t="s">
        <v>3</v>
      </c>
      <c r="AP124" s="115" t="s">
        <v>3</v>
      </c>
      <c r="AQ124" s="115" t="s">
        <v>1623</v>
      </c>
      <c r="AR124" s="116" t="s">
        <v>3</v>
      </c>
      <c r="AS124" s="117">
        <f t="shared" si="1"/>
        <v>1</v>
      </c>
      <c r="AT124" s="30" t="s">
        <v>203</v>
      </c>
      <c r="AU124" s="302" t="s">
        <v>3</v>
      </c>
      <c r="AV124" s="302">
        <v>37020</v>
      </c>
      <c r="AW124" s="120">
        <v>42482</v>
      </c>
      <c r="AX124" s="120">
        <v>42482</v>
      </c>
      <c r="AY124" s="325">
        <v>42275</v>
      </c>
      <c r="AZ124" s="317" t="s">
        <v>796</v>
      </c>
      <c r="BA124" s="321">
        <v>44474</v>
      </c>
      <c r="BB124" s="603" t="s">
        <v>2080</v>
      </c>
      <c r="BC124" s="394" t="s">
        <v>3</v>
      </c>
      <c r="BD124" s="402" t="s">
        <v>3</v>
      </c>
      <c r="BE124" s="177" t="s">
        <v>899</v>
      </c>
      <c r="BF124" s="404" t="s">
        <v>424</v>
      </c>
      <c r="BG124" s="396" t="s">
        <v>3</v>
      </c>
      <c r="BH124" s="394" t="s">
        <v>3</v>
      </c>
      <c r="BI124" s="402">
        <v>2021</v>
      </c>
      <c r="BJ124" s="403">
        <v>1</v>
      </c>
      <c r="BK124"/>
      <c r="BM124"/>
    </row>
    <row r="125" spans="1:65" ht="91.95" customHeight="1">
      <c r="A125" s="32" t="s">
        <v>597</v>
      </c>
      <c r="B125" s="95" t="s">
        <v>181</v>
      </c>
      <c r="C125" s="293" t="s">
        <v>185</v>
      </c>
      <c r="D125" s="318" t="s">
        <v>1279</v>
      </c>
      <c r="E125" s="307" t="s">
        <v>1</v>
      </c>
      <c r="F125" s="307">
        <v>2030</v>
      </c>
      <c r="G125" s="230" t="s">
        <v>3</v>
      </c>
      <c r="H125" s="173">
        <v>2020</v>
      </c>
      <c r="I125" s="173">
        <v>2030</v>
      </c>
      <c r="J125" s="24" t="s">
        <v>1280</v>
      </c>
      <c r="K125" s="308" t="s">
        <v>1283</v>
      </c>
      <c r="L125" s="293" t="s">
        <v>360</v>
      </c>
      <c r="M125" s="293" t="s">
        <v>131</v>
      </c>
      <c r="N125" s="293" t="s">
        <v>131</v>
      </c>
      <c r="O125" s="293" t="s">
        <v>131</v>
      </c>
      <c r="P125" s="293" t="s">
        <v>131</v>
      </c>
      <c r="Q125" s="293" t="s">
        <v>131</v>
      </c>
      <c r="R125" s="309" t="s">
        <v>131</v>
      </c>
      <c r="S125" s="293" t="s">
        <v>131</v>
      </c>
      <c r="T125" s="293" t="s">
        <v>131</v>
      </c>
      <c r="U125" s="293" t="s">
        <v>131</v>
      </c>
      <c r="V125" s="293" t="s">
        <v>131</v>
      </c>
      <c r="W125" s="293" t="s">
        <v>131</v>
      </c>
      <c r="X125" s="293" t="s">
        <v>131</v>
      </c>
      <c r="Y125" s="310" t="s">
        <v>3</v>
      </c>
      <c r="Z125" s="293">
        <v>487.7</v>
      </c>
      <c r="AA125" s="293">
        <v>133.9</v>
      </c>
      <c r="AB125" s="293">
        <v>110.9</v>
      </c>
      <c r="AC125" s="293">
        <v>11.2</v>
      </c>
      <c r="AD125" s="293">
        <v>0.1</v>
      </c>
      <c r="AE125" s="293">
        <v>0.5</v>
      </c>
      <c r="AF125" s="298" t="s">
        <v>3</v>
      </c>
      <c r="AG125" s="322" t="s">
        <v>3</v>
      </c>
      <c r="AH125" s="322" t="s">
        <v>3</v>
      </c>
      <c r="AI125" s="322" t="s">
        <v>3</v>
      </c>
      <c r="AJ125" s="312" t="s">
        <v>3</v>
      </c>
      <c r="AK125" s="308" t="s">
        <v>1266</v>
      </c>
      <c r="AL125" s="22" t="s">
        <v>1282</v>
      </c>
      <c r="AM125" s="115" t="s">
        <v>131</v>
      </c>
      <c r="AN125" s="115" t="s">
        <v>131</v>
      </c>
      <c r="AO125" s="115" t="s">
        <v>131</v>
      </c>
      <c r="AP125" s="117" t="s">
        <v>1258</v>
      </c>
      <c r="AQ125" s="115" t="s">
        <v>3</v>
      </c>
      <c r="AR125" s="300" t="s">
        <v>246</v>
      </c>
      <c r="AS125" s="117">
        <f t="shared" si="1"/>
        <v>1</v>
      </c>
      <c r="AT125" s="30" t="s">
        <v>203</v>
      </c>
      <c r="AU125" s="302">
        <v>35955</v>
      </c>
      <c r="AV125" s="302">
        <v>36776</v>
      </c>
      <c r="AW125" s="120">
        <v>42482</v>
      </c>
      <c r="AX125" s="120">
        <v>42634</v>
      </c>
      <c r="AY125" s="302">
        <v>42093</v>
      </c>
      <c r="AZ125" s="305" t="s">
        <v>844</v>
      </c>
      <c r="BA125" s="302">
        <v>44195</v>
      </c>
      <c r="BB125" s="603" t="s">
        <v>2079</v>
      </c>
      <c r="BC125" s="394" t="s">
        <v>3</v>
      </c>
      <c r="BD125" s="402" t="s">
        <v>3</v>
      </c>
      <c r="BE125" s="177" t="s">
        <v>898</v>
      </c>
      <c r="BF125" s="404" t="s">
        <v>471</v>
      </c>
      <c r="BG125" s="396" t="s">
        <v>3</v>
      </c>
      <c r="BH125" s="394" t="s">
        <v>3</v>
      </c>
      <c r="BI125" s="440">
        <v>2022</v>
      </c>
      <c r="BJ125" s="448">
        <v>3</v>
      </c>
      <c r="BK125"/>
      <c r="BM125"/>
    </row>
    <row r="126" spans="1:65" ht="103.5" customHeight="1">
      <c r="A126" s="32" t="s">
        <v>598</v>
      </c>
      <c r="B126" s="97" t="s">
        <v>25</v>
      </c>
      <c r="C126" s="293" t="s">
        <v>186</v>
      </c>
      <c r="D126" s="293" t="s">
        <v>2180</v>
      </c>
      <c r="E126" s="307">
        <v>2000</v>
      </c>
      <c r="F126" s="307">
        <v>2030</v>
      </c>
      <c r="G126" s="230" t="s">
        <v>3</v>
      </c>
      <c r="H126" s="176" t="s">
        <v>424</v>
      </c>
      <c r="I126" s="176">
        <v>2030</v>
      </c>
      <c r="J126" s="24" t="s">
        <v>2182</v>
      </c>
      <c r="K126" s="308" t="s">
        <v>2183</v>
      </c>
      <c r="L126" s="293" t="s">
        <v>1315</v>
      </c>
      <c r="M126" s="293" t="s">
        <v>131</v>
      </c>
      <c r="N126" s="293" t="s">
        <v>3</v>
      </c>
      <c r="O126" s="293" t="s">
        <v>131</v>
      </c>
      <c r="P126" s="293" t="s">
        <v>3</v>
      </c>
      <c r="Q126" s="293" t="s">
        <v>3</v>
      </c>
      <c r="R126" s="309" t="s">
        <v>3</v>
      </c>
      <c r="S126" s="293" t="s">
        <v>131</v>
      </c>
      <c r="T126" s="293" t="s">
        <v>2184</v>
      </c>
      <c r="U126" s="293" t="s">
        <v>2181</v>
      </c>
      <c r="V126" s="293" t="s">
        <v>2184</v>
      </c>
      <c r="W126" s="293" t="s">
        <v>3</v>
      </c>
      <c r="X126" s="293" t="s">
        <v>3</v>
      </c>
      <c r="Y126" s="310" t="s">
        <v>3</v>
      </c>
      <c r="Z126" s="293" t="s">
        <v>452</v>
      </c>
      <c r="AA126" s="293" t="s">
        <v>452</v>
      </c>
      <c r="AB126" s="293" t="s">
        <v>452</v>
      </c>
      <c r="AC126" s="293" t="s">
        <v>452</v>
      </c>
      <c r="AD126" s="293" t="s">
        <v>452</v>
      </c>
      <c r="AE126" s="293" t="s">
        <v>452</v>
      </c>
      <c r="AF126" s="298" t="s">
        <v>3</v>
      </c>
      <c r="AG126" s="322" t="s">
        <v>3</v>
      </c>
      <c r="AH126" s="322" t="s">
        <v>3</v>
      </c>
      <c r="AI126" s="322" t="s">
        <v>3</v>
      </c>
      <c r="AJ126" s="312" t="s">
        <v>2185</v>
      </c>
      <c r="AK126" s="308" t="s">
        <v>3</v>
      </c>
      <c r="AL126" s="21" t="s">
        <v>2181</v>
      </c>
      <c r="AM126" s="115" t="s">
        <v>2181</v>
      </c>
      <c r="AN126" s="115" t="s">
        <v>3</v>
      </c>
      <c r="AO126" s="115" t="s">
        <v>3</v>
      </c>
      <c r="AP126" s="115" t="s">
        <v>3</v>
      </c>
      <c r="AQ126" s="115" t="s">
        <v>3</v>
      </c>
      <c r="AR126" s="116" t="s">
        <v>3</v>
      </c>
      <c r="AS126" s="117" t="str">
        <f t="shared" si="1"/>
        <v/>
      </c>
      <c r="AT126" s="30" t="s">
        <v>203</v>
      </c>
      <c r="AU126" s="302">
        <v>35871</v>
      </c>
      <c r="AV126" s="302">
        <v>36332</v>
      </c>
      <c r="AW126" s="120">
        <v>42482</v>
      </c>
      <c r="AX126" s="120">
        <v>42628</v>
      </c>
      <c r="AY126" s="302">
        <v>42332</v>
      </c>
      <c r="AZ126" s="317" t="s">
        <v>700</v>
      </c>
      <c r="BA126" s="302">
        <v>44851</v>
      </c>
      <c r="BB126" s="603" t="s">
        <v>2179</v>
      </c>
      <c r="BC126" s="394" t="s">
        <v>3</v>
      </c>
      <c r="BD126" s="394" t="s">
        <v>3</v>
      </c>
      <c r="BE126" s="177" t="s">
        <v>899</v>
      </c>
      <c r="BF126" s="404" t="s">
        <v>424</v>
      </c>
      <c r="BG126" s="396" t="s">
        <v>3</v>
      </c>
      <c r="BH126" s="394" t="s">
        <v>3</v>
      </c>
      <c r="BI126" s="402" t="s">
        <v>3</v>
      </c>
      <c r="BJ126" s="403" t="s">
        <v>3</v>
      </c>
      <c r="BK126"/>
      <c r="BM126"/>
    </row>
    <row r="127" spans="1:65" ht="91.05" customHeight="1">
      <c r="A127" s="32" t="s">
        <v>599</v>
      </c>
      <c r="B127" s="94" t="s">
        <v>76</v>
      </c>
      <c r="C127" s="293" t="s">
        <v>186</v>
      </c>
      <c r="D127" s="318">
        <v>0.55000000000000004</v>
      </c>
      <c r="E127" s="307">
        <v>1990</v>
      </c>
      <c r="F127" s="307">
        <v>2030</v>
      </c>
      <c r="G127" s="230" t="s">
        <v>131</v>
      </c>
      <c r="H127" s="177">
        <v>2021</v>
      </c>
      <c r="I127" s="177">
        <v>2030</v>
      </c>
      <c r="J127" s="24" t="s">
        <v>1243</v>
      </c>
      <c r="K127" s="308" t="s">
        <v>424</v>
      </c>
      <c r="L127" s="293" t="s">
        <v>360</v>
      </c>
      <c r="M127" s="293" t="s">
        <v>131</v>
      </c>
      <c r="N127" s="293" t="s">
        <v>131</v>
      </c>
      <c r="O127" s="293" t="s">
        <v>131</v>
      </c>
      <c r="P127" s="293" t="s">
        <v>131</v>
      </c>
      <c r="Q127" s="293" t="s">
        <v>131</v>
      </c>
      <c r="R127" s="309" t="s">
        <v>131</v>
      </c>
      <c r="S127" s="293" t="s">
        <v>131</v>
      </c>
      <c r="T127" s="293" t="s">
        <v>131</v>
      </c>
      <c r="U127" s="293" t="s">
        <v>131</v>
      </c>
      <c r="V127" s="293" t="s">
        <v>131</v>
      </c>
      <c r="W127" s="293" t="s">
        <v>131</v>
      </c>
      <c r="X127" s="293" t="s">
        <v>131</v>
      </c>
      <c r="Y127" s="310" t="s">
        <v>131</v>
      </c>
      <c r="Z127" s="293" t="s">
        <v>452</v>
      </c>
      <c r="AA127" s="293" t="s">
        <v>452</v>
      </c>
      <c r="AB127" s="293" t="s">
        <v>452</v>
      </c>
      <c r="AC127" s="293" t="s">
        <v>452</v>
      </c>
      <c r="AD127" s="293" t="s">
        <v>452</v>
      </c>
      <c r="AE127" s="293" t="s">
        <v>452</v>
      </c>
      <c r="AF127" s="298" t="s">
        <v>3</v>
      </c>
      <c r="AG127" s="322" t="s">
        <v>3</v>
      </c>
      <c r="AH127" s="322" t="s">
        <v>3</v>
      </c>
      <c r="AI127" s="322" t="s">
        <v>3</v>
      </c>
      <c r="AJ127" s="312" t="s">
        <v>3</v>
      </c>
      <c r="AK127" s="308" t="s">
        <v>1234</v>
      </c>
      <c r="AL127" s="22" t="s">
        <v>1242</v>
      </c>
      <c r="AM127" s="115" t="s">
        <v>132</v>
      </c>
      <c r="AN127" s="115" t="s">
        <v>3</v>
      </c>
      <c r="AO127" s="115" t="s">
        <v>3</v>
      </c>
      <c r="AP127" s="115" t="s">
        <v>3</v>
      </c>
      <c r="AQ127" s="115" t="s">
        <v>3</v>
      </c>
      <c r="AR127" s="116" t="s">
        <v>3</v>
      </c>
      <c r="AS127" s="117">
        <f t="shared" si="1"/>
        <v>1</v>
      </c>
      <c r="AT127" s="30" t="s">
        <v>205</v>
      </c>
      <c r="AU127" s="302">
        <v>35914</v>
      </c>
      <c r="AV127" s="302">
        <v>38775</v>
      </c>
      <c r="AW127" s="120">
        <v>42482</v>
      </c>
      <c r="AX127" s="120">
        <v>42667</v>
      </c>
      <c r="AY127" s="302">
        <v>42220</v>
      </c>
      <c r="AZ127" s="305" t="s">
        <v>827</v>
      </c>
      <c r="BA127" s="302">
        <v>44193</v>
      </c>
      <c r="BB127" s="603" t="s">
        <v>2078</v>
      </c>
      <c r="BC127" s="394" t="s">
        <v>3</v>
      </c>
      <c r="BD127" s="394" t="s">
        <v>3</v>
      </c>
      <c r="BE127" s="177" t="s">
        <v>897</v>
      </c>
      <c r="BF127" s="404" t="s">
        <v>860</v>
      </c>
      <c r="BG127" s="397">
        <v>2019</v>
      </c>
      <c r="BH127" s="395">
        <v>4</v>
      </c>
      <c r="BI127" s="177" t="s">
        <v>3</v>
      </c>
      <c r="BJ127" s="446" t="s">
        <v>3</v>
      </c>
      <c r="BK127"/>
      <c r="BM127"/>
    </row>
    <row r="128" spans="1:65" ht="108" customHeight="1">
      <c r="A128" s="31" t="s">
        <v>600</v>
      </c>
      <c r="B128" s="90" t="s">
        <v>23</v>
      </c>
      <c r="C128" s="230" t="s">
        <v>185</v>
      </c>
      <c r="D128" s="431" t="s">
        <v>1173</v>
      </c>
      <c r="E128" s="230" t="s">
        <v>1</v>
      </c>
      <c r="F128" s="230">
        <v>2030</v>
      </c>
      <c r="G128" s="230" t="s">
        <v>3</v>
      </c>
      <c r="H128" s="175" t="s">
        <v>424</v>
      </c>
      <c r="I128" s="173">
        <v>2030</v>
      </c>
      <c r="J128" s="320" t="s">
        <v>1172</v>
      </c>
      <c r="K128" s="314" t="s">
        <v>1174</v>
      </c>
      <c r="L128" s="30" t="s">
        <v>360</v>
      </c>
      <c r="M128" s="30" t="s">
        <v>131</v>
      </c>
      <c r="N128" s="30" t="s">
        <v>131</v>
      </c>
      <c r="O128" s="30" t="s">
        <v>131</v>
      </c>
      <c r="P128" s="30" t="s">
        <v>131</v>
      </c>
      <c r="Q128" s="30" t="s">
        <v>1170</v>
      </c>
      <c r="R128" s="315" t="s">
        <v>131</v>
      </c>
      <c r="S128" s="30" t="s">
        <v>131</v>
      </c>
      <c r="T128" s="30" t="s">
        <v>131</v>
      </c>
      <c r="U128" s="30" t="s">
        <v>131</v>
      </c>
      <c r="V128" s="30" t="s">
        <v>1169</v>
      </c>
      <c r="W128" s="30" t="s">
        <v>3</v>
      </c>
      <c r="X128" s="30" t="s">
        <v>3</v>
      </c>
      <c r="Y128" s="298" t="s">
        <v>3</v>
      </c>
      <c r="Z128" s="30">
        <v>17.399999999999999</v>
      </c>
      <c r="AA128" s="30">
        <v>22.1</v>
      </c>
      <c r="AB128" s="30">
        <v>6.5</v>
      </c>
      <c r="AC128" s="30" t="s">
        <v>3</v>
      </c>
      <c r="AD128" s="30" t="s">
        <v>3</v>
      </c>
      <c r="AE128" s="30" t="s">
        <v>3</v>
      </c>
      <c r="AF128" s="298" t="s">
        <v>3</v>
      </c>
      <c r="AG128" s="231" t="s">
        <v>3</v>
      </c>
      <c r="AH128" s="232">
        <v>3.4</v>
      </c>
      <c r="AI128" s="232">
        <v>3.4</v>
      </c>
      <c r="AJ128" s="316" t="s">
        <v>1175</v>
      </c>
      <c r="AK128" s="314" t="s">
        <v>1176</v>
      </c>
      <c r="AL128" s="22" t="s">
        <v>1170</v>
      </c>
      <c r="AM128" s="115" t="s">
        <v>131</v>
      </c>
      <c r="AN128" s="115" t="s">
        <v>3</v>
      </c>
      <c r="AO128" s="115" t="s">
        <v>3</v>
      </c>
      <c r="AP128" s="115" t="s">
        <v>3</v>
      </c>
      <c r="AQ128" s="115" t="s">
        <v>3</v>
      </c>
      <c r="AR128" s="300" t="s">
        <v>246</v>
      </c>
      <c r="AS128" s="117">
        <f t="shared" si="1"/>
        <v>1</v>
      </c>
      <c r="AT128" s="30" t="s">
        <v>203</v>
      </c>
      <c r="AU128" s="302" t="s">
        <v>3</v>
      </c>
      <c r="AV128" s="302">
        <v>36509</v>
      </c>
      <c r="AW128" s="120">
        <v>42482</v>
      </c>
      <c r="AX128" s="120">
        <v>42634</v>
      </c>
      <c r="AY128" s="302">
        <v>42271</v>
      </c>
      <c r="AZ128" s="305" t="s">
        <v>808</v>
      </c>
      <c r="BA128" s="321">
        <v>44117</v>
      </c>
      <c r="BB128" s="603" t="s">
        <v>2155</v>
      </c>
      <c r="BC128" s="394" t="s">
        <v>3</v>
      </c>
      <c r="BD128" s="394" t="s">
        <v>3</v>
      </c>
      <c r="BE128" s="177" t="s">
        <v>899</v>
      </c>
      <c r="BF128" s="404" t="s">
        <v>424</v>
      </c>
      <c r="BG128" s="396" t="s">
        <v>3</v>
      </c>
      <c r="BH128" s="394" t="s">
        <v>3</v>
      </c>
      <c r="BI128" s="440">
        <v>2017</v>
      </c>
      <c r="BJ128" s="448">
        <v>1</v>
      </c>
      <c r="BK128"/>
      <c r="BM128"/>
    </row>
    <row r="129" spans="1:65" ht="96" customHeight="1">
      <c r="A129" s="32" t="s">
        <v>601</v>
      </c>
      <c r="B129" s="93" t="s">
        <v>183</v>
      </c>
      <c r="C129" s="293" t="s">
        <v>186</v>
      </c>
      <c r="D129" s="318">
        <v>0.35</v>
      </c>
      <c r="E129" s="307">
        <v>1990</v>
      </c>
      <c r="F129" s="307">
        <v>2030</v>
      </c>
      <c r="G129" s="230" t="s">
        <v>3</v>
      </c>
      <c r="H129" s="177">
        <v>2021</v>
      </c>
      <c r="I129" s="177">
        <v>2030</v>
      </c>
      <c r="J129" s="24" t="s">
        <v>1418</v>
      </c>
      <c r="K129" s="308" t="s">
        <v>3</v>
      </c>
      <c r="L129" s="293" t="s">
        <v>360</v>
      </c>
      <c r="M129" s="293" t="s">
        <v>131</v>
      </c>
      <c r="N129" s="293" t="s">
        <v>131</v>
      </c>
      <c r="O129" s="293" t="s">
        <v>131</v>
      </c>
      <c r="P129" s="293" t="s">
        <v>131</v>
      </c>
      <c r="Q129" s="293" t="s">
        <v>3</v>
      </c>
      <c r="R129" s="309" t="s">
        <v>131</v>
      </c>
      <c r="S129" s="293" t="s">
        <v>131</v>
      </c>
      <c r="T129" s="293" t="s">
        <v>131</v>
      </c>
      <c r="U129" s="293" t="s">
        <v>131</v>
      </c>
      <c r="V129" s="293" t="s">
        <v>131</v>
      </c>
      <c r="W129" s="293" t="s">
        <v>131</v>
      </c>
      <c r="X129" s="293" t="s">
        <v>131</v>
      </c>
      <c r="Y129" s="310" t="s">
        <v>1419</v>
      </c>
      <c r="Z129" s="293">
        <v>2.4</v>
      </c>
      <c r="AA129" s="293" t="s">
        <v>3</v>
      </c>
      <c r="AB129" s="293" t="s">
        <v>3</v>
      </c>
      <c r="AC129" s="293" t="s">
        <v>3</v>
      </c>
      <c r="AD129" s="293" t="s">
        <v>3</v>
      </c>
      <c r="AE129" s="293" t="s">
        <v>3</v>
      </c>
      <c r="AF129" s="298" t="s">
        <v>3</v>
      </c>
      <c r="AG129" s="322" t="s">
        <v>3</v>
      </c>
      <c r="AH129" s="322" t="s">
        <v>3</v>
      </c>
      <c r="AI129" s="322" t="s">
        <v>3</v>
      </c>
      <c r="AJ129" s="312" t="s">
        <v>3</v>
      </c>
      <c r="AK129" s="308" t="s">
        <v>1419</v>
      </c>
      <c r="AL129" s="22" t="s">
        <v>1420</v>
      </c>
      <c r="AM129" s="115" t="s">
        <v>131</v>
      </c>
      <c r="AN129" s="115" t="s">
        <v>3</v>
      </c>
      <c r="AO129" s="115" t="s">
        <v>3</v>
      </c>
      <c r="AP129" s="115" t="s">
        <v>3</v>
      </c>
      <c r="AQ129" s="115" t="s">
        <v>3</v>
      </c>
      <c r="AR129" s="116" t="s">
        <v>3</v>
      </c>
      <c r="AS129" s="117">
        <f t="shared" si="1"/>
        <v>1</v>
      </c>
      <c r="AT129" s="30" t="s">
        <v>203</v>
      </c>
      <c r="AU129" s="302" t="s">
        <v>3</v>
      </c>
      <c r="AV129" s="302">
        <v>39237</v>
      </c>
      <c r="AW129" s="120">
        <v>42482</v>
      </c>
      <c r="AX129" s="120">
        <v>43089</v>
      </c>
      <c r="AY129" s="302">
        <v>42270</v>
      </c>
      <c r="AZ129" s="305" t="s">
        <v>818</v>
      </c>
      <c r="BA129" s="321">
        <v>44362</v>
      </c>
      <c r="BB129" s="603" t="s">
        <v>2154</v>
      </c>
      <c r="BC129" s="394" t="s">
        <v>3</v>
      </c>
      <c r="BD129" s="394" t="s">
        <v>3</v>
      </c>
      <c r="BE129" s="177" t="s">
        <v>899</v>
      </c>
      <c r="BF129" s="404" t="s">
        <v>900</v>
      </c>
      <c r="BG129" s="396" t="s">
        <v>3</v>
      </c>
      <c r="BH129" s="394" t="s">
        <v>3</v>
      </c>
      <c r="BI129" s="440">
        <v>2022</v>
      </c>
      <c r="BJ129" s="448">
        <v>3</v>
      </c>
      <c r="BK129"/>
      <c r="BM129"/>
    </row>
    <row r="130" spans="1:65" ht="171.75" customHeight="1">
      <c r="A130" s="31" t="s">
        <v>602</v>
      </c>
      <c r="B130" s="203" t="s">
        <v>182</v>
      </c>
      <c r="C130" s="230" t="s">
        <v>185</v>
      </c>
      <c r="D130" s="230" t="s">
        <v>1423</v>
      </c>
      <c r="E130" s="337" t="s">
        <v>1</v>
      </c>
      <c r="F130" s="337">
        <v>2030</v>
      </c>
      <c r="G130" s="230" t="s">
        <v>3</v>
      </c>
      <c r="H130" s="176">
        <v>2020</v>
      </c>
      <c r="I130" s="176">
        <v>2030</v>
      </c>
      <c r="J130" s="46" t="s">
        <v>1422</v>
      </c>
      <c r="K130" s="308" t="s">
        <v>1424</v>
      </c>
      <c r="L130" s="293" t="s">
        <v>360</v>
      </c>
      <c r="M130" s="30" t="s">
        <v>131</v>
      </c>
      <c r="N130" s="30" t="s">
        <v>131</v>
      </c>
      <c r="O130" s="30" t="s">
        <v>131</v>
      </c>
      <c r="P130" s="30" t="s">
        <v>131</v>
      </c>
      <c r="Q130" s="30" t="s">
        <v>131</v>
      </c>
      <c r="R130" s="315" t="s">
        <v>131</v>
      </c>
      <c r="S130" s="30" t="s">
        <v>131</v>
      </c>
      <c r="T130" s="30" t="s">
        <v>131</v>
      </c>
      <c r="U130" s="30" t="s">
        <v>131</v>
      </c>
      <c r="V130" s="30" t="s">
        <v>1425</v>
      </c>
      <c r="W130" s="30" t="s">
        <v>3</v>
      </c>
      <c r="X130" s="30" t="s">
        <v>3</v>
      </c>
      <c r="Y130" s="298" t="s">
        <v>3</v>
      </c>
      <c r="Z130" s="30">
        <v>61.5</v>
      </c>
      <c r="AA130" s="30">
        <v>15</v>
      </c>
      <c r="AB130" s="30">
        <v>6.8</v>
      </c>
      <c r="AC130" s="30" t="s">
        <v>3</v>
      </c>
      <c r="AD130" s="30" t="s">
        <v>3</v>
      </c>
      <c r="AE130" s="30" t="s">
        <v>3</v>
      </c>
      <c r="AF130" s="298" t="s">
        <v>3</v>
      </c>
      <c r="AG130" s="231">
        <v>38.799999999999997</v>
      </c>
      <c r="AH130" s="231">
        <v>40</v>
      </c>
      <c r="AI130" s="231">
        <f>AG130+AH130</f>
        <v>78.8</v>
      </c>
      <c r="AJ130" s="312" t="s">
        <v>1426</v>
      </c>
      <c r="AK130" s="308" t="s">
        <v>3</v>
      </c>
      <c r="AL130" s="22" t="s">
        <v>1427</v>
      </c>
      <c r="AM130" s="115" t="s">
        <v>132</v>
      </c>
      <c r="AN130" s="115" t="s">
        <v>3</v>
      </c>
      <c r="AO130" s="115" t="s">
        <v>3</v>
      </c>
      <c r="AP130" s="115" t="s">
        <v>3</v>
      </c>
      <c r="AQ130" s="115" t="s">
        <v>3</v>
      </c>
      <c r="AR130" s="116" t="s">
        <v>3</v>
      </c>
      <c r="AS130" s="117">
        <f t="shared" si="1"/>
        <v>1</v>
      </c>
      <c r="AT130" s="30" t="s">
        <v>203</v>
      </c>
      <c r="AU130" s="302" t="s">
        <v>3</v>
      </c>
      <c r="AV130" s="302">
        <v>37281</v>
      </c>
      <c r="AW130" s="120">
        <v>42482</v>
      </c>
      <c r="AX130" s="120">
        <v>42634</v>
      </c>
      <c r="AY130" s="302">
        <v>42160</v>
      </c>
      <c r="AZ130" s="305" t="s">
        <v>837</v>
      </c>
      <c r="BA130" s="321">
        <v>44369</v>
      </c>
      <c r="BB130" s="603" t="s">
        <v>2153</v>
      </c>
      <c r="BC130" s="394" t="s">
        <v>3</v>
      </c>
      <c r="BD130" s="394" t="s">
        <v>3</v>
      </c>
      <c r="BE130" s="177" t="s">
        <v>897</v>
      </c>
      <c r="BF130" s="404" t="s">
        <v>860</v>
      </c>
      <c r="BG130" s="396" t="s">
        <v>3</v>
      </c>
      <c r="BH130" s="394" t="s">
        <v>3</v>
      </c>
      <c r="BI130" s="440">
        <v>2022</v>
      </c>
      <c r="BJ130" s="448">
        <v>3</v>
      </c>
      <c r="BK130"/>
      <c r="BM130"/>
    </row>
    <row r="131" spans="1:65" ht="120" customHeight="1">
      <c r="A131" s="31" t="s">
        <v>603</v>
      </c>
      <c r="B131" s="92" t="s">
        <v>180</v>
      </c>
      <c r="C131" s="230" t="s">
        <v>1839</v>
      </c>
      <c r="D131" s="230" t="s">
        <v>1841</v>
      </c>
      <c r="E131" s="337" t="s">
        <v>1840</v>
      </c>
      <c r="F131" s="337">
        <v>2025</v>
      </c>
      <c r="G131" s="230" t="s">
        <v>1842</v>
      </c>
      <c r="H131" s="177">
        <v>2020</v>
      </c>
      <c r="I131" s="177">
        <v>2025</v>
      </c>
      <c r="J131" s="46" t="s">
        <v>1838</v>
      </c>
      <c r="K131" s="308" t="s">
        <v>1843</v>
      </c>
      <c r="L131" s="293" t="s">
        <v>360</v>
      </c>
      <c r="M131" s="293" t="s">
        <v>1842</v>
      </c>
      <c r="N131" s="293" t="s">
        <v>1842</v>
      </c>
      <c r="O131" s="293" t="s">
        <v>3</v>
      </c>
      <c r="P131" s="293" t="s">
        <v>1842</v>
      </c>
      <c r="Q131" s="293" t="s">
        <v>1842</v>
      </c>
      <c r="R131" s="309" t="s">
        <v>1842</v>
      </c>
      <c r="S131" s="293" t="s">
        <v>131</v>
      </c>
      <c r="T131" s="293" t="s">
        <v>131</v>
      </c>
      <c r="U131" s="293" t="s">
        <v>131</v>
      </c>
      <c r="V131" s="293" t="s">
        <v>3</v>
      </c>
      <c r="W131" s="293" t="s">
        <v>3</v>
      </c>
      <c r="X131" s="293" t="s">
        <v>3</v>
      </c>
      <c r="Y131" s="310" t="s">
        <v>3</v>
      </c>
      <c r="Z131" s="293">
        <v>7.7</v>
      </c>
      <c r="AA131" s="293">
        <v>36.799999999999997</v>
      </c>
      <c r="AB131" s="293">
        <v>18.399999999999999</v>
      </c>
      <c r="AC131" s="293">
        <v>0.1</v>
      </c>
      <c r="AD131" s="293">
        <v>0.1</v>
      </c>
      <c r="AE131" s="293" t="s">
        <v>3</v>
      </c>
      <c r="AF131" s="298" t="s">
        <v>3</v>
      </c>
      <c r="AG131" s="311" t="s">
        <v>3</v>
      </c>
      <c r="AH131" s="311" t="s">
        <v>3</v>
      </c>
      <c r="AI131" s="311">
        <v>7.5860000000000003</v>
      </c>
      <c r="AJ131" s="312" t="s">
        <v>1844</v>
      </c>
      <c r="AK131" s="308" t="s">
        <v>3</v>
      </c>
      <c r="AL131" s="22" t="s">
        <v>1845</v>
      </c>
      <c r="AM131" s="115" t="s">
        <v>131</v>
      </c>
      <c r="AN131" s="115" t="s">
        <v>3</v>
      </c>
      <c r="AO131" s="115" t="s">
        <v>3</v>
      </c>
      <c r="AP131" s="115" t="s">
        <v>3</v>
      </c>
      <c r="AQ131" s="115" t="s">
        <v>3</v>
      </c>
      <c r="AR131" s="116" t="s">
        <v>3</v>
      </c>
      <c r="AS131" s="117">
        <f t="shared" si="1"/>
        <v>1</v>
      </c>
      <c r="AT131" s="30" t="s">
        <v>203</v>
      </c>
      <c r="AU131" s="302" t="s">
        <v>3</v>
      </c>
      <c r="AV131" s="302">
        <v>38370</v>
      </c>
      <c r="AW131" s="120">
        <v>42482</v>
      </c>
      <c r="AX131" s="120">
        <v>43255</v>
      </c>
      <c r="AY131" s="302">
        <v>42278</v>
      </c>
      <c r="AZ131" s="305" t="s">
        <v>739</v>
      </c>
      <c r="BA131" s="321">
        <v>44557</v>
      </c>
      <c r="BB131" s="603" t="s">
        <v>2152</v>
      </c>
      <c r="BC131" s="394" t="s">
        <v>3</v>
      </c>
      <c r="BD131" s="394" t="s">
        <v>3</v>
      </c>
      <c r="BE131" s="177" t="s">
        <v>899</v>
      </c>
      <c r="BF131" s="404" t="s">
        <v>424</v>
      </c>
      <c r="BG131" s="396" t="s">
        <v>3</v>
      </c>
      <c r="BH131" s="394" t="s">
        <v>3</v>
      </c>
      <c r="BI131" s="402" t="s">
        <v>3</v>
      </c>
      <c r="BJ131" s="403" t="s">
        <v>3</v>
      </c>
      <c r="BK131"/>
      <c r="BM131"/>
    </row>
    <row r="132" spans="1:65" ht="84" customHeight="1">
      <c r="A132" s="31" t="s">
        <v>604</v>
      </c>
      <c r="B132" s="90" t="s">
        <v>23</v>
      </c>
      <c r="C132" s="230" t="s">
        <v>1879</v>
      </c>
      <c r="D132" s="319" t="s">
        <v>1880</v>
      </c>
      <c r="E132" s="230" t="s">
        <v>3</v>
      </c>
      <c r="F132" s="230">
        <v>2030</v>
      </c>
      <c r="G132" s="230" t="s">
        <v>1881</v>
      </c>
      <c r="H132" s="452">
        <v>2021</v>
      </c>
      <c r="I132" s="452">
        <v>2030</v>
      </c>
      <c r="J132" s="320" t="s">
        <v>1882</v>
      </c>
      <c r="K132" s="314" t="s">
        <v>1883</v>
      </c>
      <c r="L132" s="30" t="s">
        <v>1884</v>
      </c>
      <c r="M132" s="30" t="s">
        <v>131</v>
      </c>
      <c r="N132" s="30" t="s">
        <v>1874</v>
      </c>
      <c r="O132" s="30" t="s">
        <v>1881</v>
      </c>
      <c r="P132" s="30" t="s">
        <v>1874</v>
      </c>
      <c r="Q132" s="30" t="s">
        <v>1881</v>
      </c>
      <c r="R132" s="315" t="s">
        <v>1874</v>
      </c>
      <c r="S132" s="30" t="s">
        <v>1881</v>
      </c>
      <c r="T132" s="30" t="s">
        <v>1874</v>
      </c>
      <c r="U132" s="30" t="s">
        <v>3</v>
      </c>
      <c r="V132" s="30" t="s">
        <v>3</v>
      </c>
      <c r="W132" s="30" t="s">
        <v>3</v>
      </c>
      <c r="X132" s="30" t="s">
        <v>3</v>
      </c>
      <c r="Y132" s="298" t="s">
        <v>3</v>
      </c>
      <c r="Z132" s="30">
        <v>19.3</v>
      </c>
      <c r="AA132" s="30">
        <v>98.6</v>
      </c>
      <c r="AB132" s="30">
        <v>22.6</v>
      </c>
      <c r="AC132" s="30" t="s">
        <v>3</v>
      </c>
      <c r="AD132" s="30" t="s">
        <v>3</v>
      </c>
      <c r="AE132" s="30" t="s">
        <v>3</v>
      </c>
      <c r="AF132" s="298" t="s">
        <v>3</v>
      </c>
      <c r="AG132" s="311" t="s">
        <v>3</v>
      </c>
      <c r="AH132" s="311" t="s">
        <v>3</v>
      </c>
      <c r="AI132" s="311" t="s">
        <v>3</v>
      </c>
      <c r="AJ132" s="316" t="s">
        <v>1885</v>
      </c>
      <c r="AK132" s="314" t="s">
        <v>1886</v>
      </c>
      <c r="AL132" s="22" t="s">
        <v>1887</v>
      </c>
      <c r="AM132" s="115" t="s">
        <v>967</v>
      </c>
      <c r="AN132" s="115" t="s">
        <v>967</v>
      </c>
      <c r="AO132" s="115" t="s">
        <v>967</v>
      </c>
      <c r="AP132" s="115" t="s">
        <v>3</v>
      </c>
      <c r="AQ132" s="115" t="s">
        <v>3</v>
      </c>
      <c r="AR132" s="300" t="s">
        <v>246</v>
      </c>
      <c r="AS132" s="117">
        <f t="shared" si="1"/>
        <v>1</v>
      </c>
      <c r="AT132" s="30" t="s">
        <v>203</v>
      </c>
      <c r="AU132" s="302" t="s">
        <v>3</v>
      </c>
      <c r="AV132" s="302">
        <v>37846</v>
      </c>
      <c r="AW132" s="120">
        <v>42482</v>
      </c>
      <c r="AX132" s="120">
        <v>42997</v>
      </c>
      <c r="AY132" s="325">
        <v>42276</v>
      </c>
      <c r="AZ132" s="317" t="s">
        <v>795</v>
      </c>
      <c r="BA132" s="321">
        <v>44411</v>
      </c>
      <c r="BB132" s="603" t="s">
        <v>2151</v>
      </c>
      <c r="BC132" s="394" t="s">
        <v>3</v>
      </c>
      <c r="BD132" s="394" t="s">
        <v>3</v>
      </c>
      <c r="BE132" s="177" t="s">
        <v>899</v>
      </c>
      <c r="BF132" s="404" t="s">
        <v>424</v>
      </c>
      <c r="BG132" s="396" t="s">
        <v>3</v>
      </c>
      <c r="BH132" s="394" t="s">
        <v>3</v>
      </c>
      <c r="BI132" s="402" t="s">
        <v>3</v>
      </c>
      <c r="BJ132" s="403" t="s">
        <v>3</v>
      </c>
      <c r="BK132"/>
      <c r="BM132"/>
    </row>
    <row r="133" spans="1:65" ht="120" customHeight="1">
      <c r="A133" s="31" t="s">
        <v>605</v>
      </c>
      <c r="B133" s="92" t="s">
        <v>180</v>
      </c>
      <c r="C133" s="230" t="s">
        <v>185</v>
      </c>
      <c r="D133" s="319">
        <v>0.91</v>
      </c>
      <c r="E133" s="337" t="s">
        <v>1</v>
      </c>
      <c r="F133" s="337">
        <v>2030</v>
      </c>
      <c r="G133" s="230" t="s">
        <v>3</v>
      </c>
      <c r="H133" s="176">
        <v>2015</v>
      </c>
      <c r="I133" s="176">
        <v>2030</v>
      </c>
      <c r="J133" s="46" t="s">
        <v>1501</v>
      </c>
      <c r="K133" s="308" t="s">
        <v>1500</v>
      </c>
      <c r="L133" s="293" t="s">
        <v>360</v>
      </c>
      <c r="M133" s="293" t="s">
        <v>131</v>
      </c>
      <c r="N133" s="293" t="s">
        <v>131</v>
      </c>
      <c r="O133" s="293" t="s">
        <v>131</v>
      </c>
      <c r="P133" s="293" t="s">
        <v>131</v>
      </c>
      <c r="Q133" s="293" t="s">
        <v>131</v>
      </c>
      <c r="R133" s="309" t="s">
        <v>131</v>
      </c>
      <c r="S133" s="293" t="s">
        <v>131</v>
      </c>
      <c r="T133" s="293" t="s">
        <v>131</v>
      </c>
      <c r="U133" s="293" t="s">
        <v>131</v>
      </c>
      <c r="V133" s="293" t="s">
        <v>1489</v>
      </c>
      <c r="W133" s="293" t="s">
        <v>1489</v>
      </c>
      <c r="X133" s="293" t="s">
        <v>1489</v>
      </c>
      <c r="Y133" s="310" t="s">
        <v>3</v>
      </c>
      <c r="Z133" s="293">
        <v>4.0999999999999996</v>
      </c>
      <c r="AA133" s="293">
        <v>5.6</v>
      </c>
      <c r="AB133" s="293">
        <v>2.7</v>
      </c>
      <c r="AC133" s="293" t="s">
        <v>3</v>
      </c>
      <c r="AD133" s="293" t="s">
        <v>3</v>
      </c>
      <c r="AE133" s="293" t="s">
        <v>3</v>
      </c>
      <c r="AF133" s="298" t="s">
        <v>3</v>
      </c>
      <c r="AG133" s="231">
        <v>3.6</v>
      </c>
      <c r="AH133" s="231">
        <v>1.72</v>
      </c>
      <c r="AI133" s="231">
        <f>SUM(AG133:AH133)</f>
        <v>5.32</v>
      </c>
      <c r="AJ133" s="312" t="s">
        <v>1502</v>
      </c>
      <c r="AK133" s="308" t="s">
        <v>3</v>
      </c>
      <c r="AL133" s="22" t="s">
        <v>1485</v>
      </c>
      <c r="AM133" s="115" t="s">
        <v>1485</v>
      </c>
      <c r="AN133" s="115" t="s">
        <v>3</v>
      </c>
      <c r="AO133" s="115" t="s">
        <v>3</v>
      </c>
      <c r="AP133" s="115" t="s">
        <v>3</v>
      </c>
      <c r="AQ133" s="115" t="s">
        <v>3</v>
      </c>
      <c r="AR133" s="116" t="s">
        <v>3</v>
      </c>
      <c r="AS133" s="117" t="str">
        <f t="shared" si="1"/>
        <v/>
      </c>
      <c r="AT133" s="30" t="s">
        <v>203</v>
      </c>
      <c r="AU133" s="302" t="s">
        <v>3</v>
      </c>
      <c r="AV133" s="302">
        <v>37868</v>
      </c>
      <c r="AW133" s="120">
        <v>42482</v>
      </c>
      <c r="AX133" s="120">
        <v>42634</v>
      </c>
      <c r="AY133" s="302">
        <v>42276</v>
      </c>
      <c r="AZ133" s="305" t="s">
        <v>786</v>
      </c>
      <c r="BA133" s="321">
        <v>44407</v>
      </c>
      <c r="BB133" s="603" t="s">
        <v>2150</v>
      </c>
      <c r="BC133" s="394" t="s">
        <v>3</v>
      </c>
      <c r="BD133" s="394" t="s">
        <v>3</v>
      </c>
      <c r="BE133" s="177" t="s">
        <v>899</v>
      </c>
      <c r="BF133" s="404" t="s">
        <v>424</v>
      </c>
      <c r="BG133" s="396" t="s">
        <v>3</v>
      </c>
      <c r="BH133" s="394" t="s">
        <v>3</v>
      </c>
      <c r="BI133" s="440">
        <v>2021</v>
      </c>
      <c r="BJ133" s="448">
        <v>4</v>
      </c>
      <c r="BK133"/>
      <c r="BM133"/>
    </row>
    <row r="134" spans="1:65" ht="120" customHeight="1">
      <c r="A134" s="32" t="s">
        <v>606</v>
      </c>
      <c r="B134" s="97" t="s">
        <v>25</v>
      </c>
      <c r="C134" s="293" t="s">
        <v>189</v>
      </c>
      <c r="D134" s="293" t="s">
        <v>3</v>
      </c>
      <c r="E134" s="307" t="s">
        <v>3</v>
      </c>
      <c r="F134" s="307">
        <v>2030</v>
      </c>
      <c r="G134" s="230" t="s">
        <v>3</v>
      </c>
      <c r="H134" s="176">
        <v>2021</v>
      </c>
      <c r="I134" s="176">
        <v>2030</v>
      </c>
      <c r="J134" s="24" t="s">
        <v>1743</v>
      </c>
      <c r="K134" s="308" t="s">
        <v>1744</v>
      </c>
      <c r="L134" s="293" t="s">
        <v>360</v>
      </c>
      <c r="M134" s="293" t="s">
        <v>131</v>
      </c>
      <c r="N134" s="293" t="s">
        <v>1705</v>
      </c>
      <c r="O134" s="293" t="s">
        <v>131</v>
      </c>
      <c r="P134" s="293" t="s">
        <v>1705</v>
      </c>
      <c r="Q134" s="293" t="s">
        <v>3</v>
      </c>
      <c r="R134" s="309" t="s">
        <v>3</v>
      </c>
      <c r="S134" s="293" t="s">
        <v>131</v>
      </c>
      <c r="T134" s="293" t="s">
        <v>1705</v>
      </c>
      <c r="U134" s="293" t="s">
        <v>3</v>
      </c>
      <c r="V134" s="293" t="s">
        <v>3</v>
      </c>
      <c r="W134" s="293" t="s">
        <v>3</v>
      </c>
      <c r="X134" s="293" t="s">
        <v>3</v>
      </c>
      <c r="Y134" s="310" t="s">
        <v>3</v>
      </c>
      <c r="Z134" s="293" t="s">
        <v>452</v>
      </c>
      <c r="AA134" s="293" t="s">
        <v>452</v>
      </c>
      <c r="AB134" s="293" t="s">
        <v>452</v>
      </c>
      <c r="AC134" s="293" t="s">
        <v>452</v>
      </c>
      <c r="AD134" s="293" t="s">
        <v>452</v>
      </c>
      <c r="AE134" s="293" t="s">
        <v>452</v>
      </c>
      <c r="AF134" s="298" t="s">
        <v>3</v>
      </c>
      <c r="AG134" s="322" t="s">
        <v>1706</v>
      </c>
      <c r="AH134" s="322" t="s">
        <v>3</v>
      </c>
      <c r="AI134" s="322" t="s">
        <v>424</v>
      </c>
      <c r="AJ134" s="312" t="s">
        <v>424</v>
      </c>
      <c r="AK134" s="308" t="s">
        <v>3</v>
      </c>
      <c r="AL134" s="21" t="s">
        <v>3</v>
      </c>
      <c r="AM134" s="115" t="s">
        <v>3</v>
      </c>
      <c r="AN134" s="115" t="s">
        <v>3</v>
      </c>
      <c r="AO134" s="115" t="s">
        <v>3</v>
      </c>
      <c r="AP134" s="115" t="s">
        <v>3</v>
      </c>
      <c r="AQ134" s="115" t="s">
        <v>3</v>
      </c>
      <c r="AR134" s="116" t="s">
        <v>3</v>
      </c>
      <c r="AS134" s="117" t="str">
        <f t="shared" ref="AS134:AS197" si="2">IF(COUNTIF(AM134:AR134,"&lt;&gt;*N/A*"),1,"")</f>
        <v/>
      </c>
      <c r="AT134" s="30" t="s">
        <v>203</v>
      </c>
      <c r="AU134" s="302" t="s">
        <v>3</v>
      </c>
      <c r="AV134" s="302">
        <v>37119</v>
      </c>
      <c r="AW134" s="120">
        <v>42482</v>
      </c>
      <c r="AX134" s="120">
        <v>42482</v>
      </c>
      <c r="AY134" s="302">
        <v>42325</v>
      </c>
      <c r="AZ134" s="317" t="s">
        <v>713</v>
      </c>
      <c r="BA134" s="321">
        <v>44483</v>
      </c>
      <c r="BB134" s="603" t="s">
        <v>2149</v>
      </c>
      <c r="BC134" s="394" t="s">
        <v>3</v>
      </c>
      <c r="BD134" s="394" t="s">
        <v>3</v>
      </c>
      <c r="BE134" s="177" t="s">
        <v>899</v>
      </c>
      <c r="BF134" s="404" t="s">
        <v>424</v>
      </c>
      <c r="BG134" s="396" t="s">
        <v>3</v>
      </c>
      <c r="BH134" s="394" t="s">
        <v>3</v>
      </c>
      <c r="BI134" s="402" t="s">
        <v>3</v>
      </c>
      <c r="BJ134" s="403" t="s">
        <v>3</v>
      </c>
      <c r="BK134"/>
      <c r="BM134"/>
    </row>
    <row r="135" spans="1:65" ht="115.05" customHeight="1">
      <c r="A135" s="31" t="s">
        <v>607</v>
      </c>
      <c r="B135" s="90" t="s">
        <v>23</v>
      </c>
      <c r="C135" s="230" t="s">
        <v>189</v>
      </c>
      <c r="D135" s="230" t="s">
        <v>1186</v>
      </c>
      <c r="E135" s="230" t="s">
        <v>3</v>
      </c>
      <c r="F135" s="230">
        <v>2030</v>
      </c>
      <c r="G135" s="230" t="s">
        <v>3</v>
      </c>
      <c r="H135" s="454">
        <v>2021</v>
      </c>
      <c r="I135" s="454" t="s">
        <v>1161</v>
      </c>
      <c r="J135" s="320" t="s">
        <v>1185</v>
      </c>
      <c r="K135" s="314" t="s">
        <v>174</v>
      </c>
      <c r="L135" s="30" t="s">
        <v>360</v>
      </c>
      <c r="M135" s="30" t="s">
        <v>131</v>
      </c>
      <c r="N135" s="30" t="s">
        <v>131</v>
      </c>
      <c r="O135" s="30" t="s">
        <v>131</v>
      </c>
      <c r="P135" s="30" t="s">
        <v>131</v>
      </c>
      <c r="Q135" s="30" t="s">
        <v>131</v>
      </c>
      <c r="R135" s="315" t="s">
        <v>131</v>
      </c>
      <c r="S135" s="30" t="s">
        <v>1169</v>
      </c>
      <c r="T135" s="30" t="s">
        <v>1169</v>
      </c>
      <c r="U135" s="30" t="s">
        <v>1169</v>
      </c>
      <c r="V135" s="30" t="s">
        <v>3</v>
      </c>
      <c r="W135" s="30" t="s">
        <v>3</v>
      </c>
      <c r="X135" s="30" t="s">
        <v>3</v>
      </c>
      <c r="Y135" s="298" t="s">
        <v>3</v>
      </c>
      <c r="Z135" s="30">
        <v>6.5</v>
      </c>
      <c r="AA135" s="30">
        <v>30.2</v>
      </c>
      <c r="AB135" s="30">
        <v>5.0999999999999996</v>
      </c>
      <c r="AC135" s="30" t="s">
        <v>3</v>
      </c>
      <c r="AD135" s="30" t="s">
        <v>3</v>
      </c>
      <c r="AE135" s="30" t="s">
        <v>3</v>
      </c>
      <c r="AF135" s="298" t="s">
        <v>3</v>
      </c>
      <c r="AG135" s="231">
        <v>21.6</v>
      </c>
      <c r="AH135" s="232" t="s">
        <v>3</v>
      </c>
      <c r="AI135" s="232">
        <v>21.6</v>
      </c>
      <c r="AJ135" s="316" t="s">
        <v>1187</v>
      </c>
      <c r="AK135" s="314" t="s">
        <v>3</v>
      </c>
      <c r="AL135" s="22" t="s">
        <v>1188</v>
      </c>
      <c r="AM135" s="115" t="s">
        <v>131</v>
      </c>
      <c r="AN135" s="115" t="s">
        <v>3</v>
      </c>
      <c r="AO135" s="115" t="s">
        <v>3</v>
      </c>
      <c r="AP135" s="115" t="s">
        <v>3</v>
      </c>
      <c r="AQ135" s="115" t="s">
        <v>3</v>
      </c>
      <c r="AR135" s="116" t="s">
        <v>3</v>
      </c>
      <c r="AS135" s="117">
        <f t="shared" si="2"/>
        <v>1</v>
      </c>
      <c r="AT135" s="30" t="s">
        <v>203</v>
      </c>
      <c r="AU135" s="302" t="s">
        <v>3</v>
      </c>
      <c r="AV135" s="302">
        <v>38611</v>
      </c>
      <c r="AW135" s="120">
        <v>42482</v>
      </c>
      <c r="AX135" s="303">
        <v>42648</v>
      </c>
      <c r="AY135" s="326">
        <v>42404</v>
      </c>
      <c r="AZ135" s="305" t="s">
        <v>682</v>
      </c>
      <c r="BA135" s="326">
        <v>42648</v>
      </c>
      <c r="BB135" s="605" t="s">
        <v>424</v>
      </c>
      <c r="BC135" s="321">
        <v>44173</v>
      </c>
      <c r="BD135" s="486" t="s">
        <v>2090</v>
      </c>
      <c r="BE135" s="177" t="s">
        <v>899</v>
      </c>
      <c r="BF135" s="404" t="s">
        <v>424</v>
      </c>
      <c r="BG135" s="396" t="s">
        <v>3</v>
      </c>
      <c r="BH135" s="394" t="s">
        <v>3</v>
      </c>
      <c r="BI135" s="402" t="s">
        <v>3</v>
      </c>
      <c r="BJ135" s="403" t="s">
        <v>3</v>
      </c>
      <c r="BK135"/>
      <c r="BM135"/>
    </row>
    <row r="136" spans="1:65" ht="103.5" customHeight="1">
      <c r="A136" s="32" t="s">
        <v>608</v>
      </c>
      <c r="B136" s="97" t="s">
        <v>25</v>
      </c>
      <c r="C136" s="230" t="s">
        <v>873</v>
      </c>
      <c r="D136" s="318">
        <v>0.5</v>
      </c>
      <c r="E136" s="307">
        <v>2005</v>
      </c>
      <c r="F136" s="307">
        <v>2030</v>
      </c>
      <c r="G136" s="230" t="s">
        <v>1802</v>
      </c>
      <c r="H136" s="176">
        <v>2021</v>
      </c>
      <c r="I136" s="176">
        <v>2030</v>
      </c>
      <c r="J136" s="24" t="s">
        <v>1806</v>
      </c>
      <c r="K136" s="308" t="s">
        <v>424</v>
      </c>
      <c r="L136" s="293" t="s">
        <v>360</v>
      </c>
      <c r="M136" s="293" t="s">
        <v>1802</v>
      </c>
      <c r="N136" s="293" t="s">
        <v>131</v>
      </c>
      <c r="O136" s="293" t="s">
        <v>131</v>
      </c>
      <c r="P136" s="293" t="s">
        <v>131</v>
      </c>
      <c r="Q136" s="293" t="s">
        <v>131</v>
      </c>
      <c r="R136" s="309" t="s">
        <v>131</v>
      </c>
      <c r="S136" s="293" t="s">
        <v>131</v>
      </c>
      <c r="T136" s="293" t="s">
        <v>131</v>
      </c>
      <c r="U136" s="293" t="s">
        <v>131</v>
      </c>
      <c r="V136" s="293" t="s">
        <v>131</v>
      </c>
      <c r="W136" s="293" t="s">
        <v>131</v>
      </c>
      <c r="X136" s="293" t="s">
        <v>131</v>
      </c>
      <c r="Y136" s="310" t="s">
        <v>131</v>
      </c>
      <c r="Z136" s="293">
        <v>34.700000000000003</v>
      </c>
      <c r="AA136" s="293">
        <v>34.700000000000003</v>
      </c>
      <c r="AB136" s="293">
        <v>12.9</v>
      </c>
      <c r="AC136" s="293">
        <v>1.1000000000000001</v>
      </c>
      <c r="AD136" s="293">
        <v>0.1</v>
      </c>
      <c r="AE136" s="293">
        <v>0.1</v>
      </c>
      <c r="AF136" s="298" t="s">
        <v>3</v>
      </c>
      <c r="AG136" s="322" t="s">
        <v>3</v>
      </c>
      <c r="AH136" s="322" t="s">
        <v>3</v>
      </c>
      <c r="AI136" s="322" t="s">
        <v>3</v>
      </c>
      <c r="AJ136" s="312" t="s">
        <v>3</v>
      </c>
      <c r="AK136" s="308" t="s">
        <v>952</v>
      </c>
      <c r="AL136" s="22" t="s">
        <v>1807</v>
      </c>
      <c r="AM136" s="115" t="s">
        <v>131</v>
      </c>
      <c r="AN136" s="115" t="s">
        <v>3</v>
      </c>
      <c r="AO136" s="115" t="s">
        <v>3</v>
      </c>
      <c r="AP136" s="115" t="s">
        <v>246</v>
      </c>
      <c r="AQ136" s="115" t="s">
        <v>3</v>
      </c>
      <c r="AR136" s="116" t="s">
        <v>3</v>
      </c>
      <c r="AS136" s="117">
        <f t="shared" si="2"/>
        <v>1</v>
      </c>
      <c r="AT136" s="30" t="s">
        <v>205</v>
      </c>
      <c r="AU136" s="302">
        <v>35937</v>
      </c>
      <c r="AV136" s="302">
        <v>37609</v>
      </c>
      <c r="AW136" s="120">
        <v>42482</v>
      </c>
      <c r="AX136" s="120">
        <v>42647</v>
      </c>
      <c r="AY136" s="302">
        <v>42192</v>
      </c>
      <c r="AZ136" s="305" t="s">
        <v>697</v>
      </c>
      <c r="BA136" s="321">
        <v>44504</v>
      </c>
      <c r="BB136" s="603" t="s">
        <v>2089</v>
      </c>
      <c r="BC136" s="394" t="s">
        <v>3</v>
      </c>
      <c r="BD136" s="402" t="s">
        <v>3</v>
      </c>
      <c r="BE136" s="177" t="s">
        <v>899</v>
      </c>
      <c r="BF136" s="404" t="s">
        <v>424</v>
      </c>
      <c r="BG136" s="397">
        <v>2019</v>
      </c>
      <c r="BH136" s="395">
        <v>4</v>
      </c>
      <c r="BI136" s="177" t="s">
        <v>3</v>
      </c>
      <c r="BJ136" s="446" t="s">
        <v>3</v>
      </c>
      <c r="BK136"/>
      <c r="BM136"/>
    </row>
    <row r="137" spans="1:65" ht="117" customHeight="1">
      <c r="A137" s="32" t="s">
        <v>609</v>
      </c>
      <c r="B137" s="95" t="s">
        <v>181</v>
      </c>
      <c r="C137" s="230" t="s">
        <v>1240</v>
      </c>
      <c r="D137" s="230" t="s">
        <v>1238</v>
      </c>
      <c r="E137" s="230" t="s">
        <v>3</v>
      </c>
      <c r="F137" s="230">
        <v>2030</v>
      </c>
      <c r="G137" s="230" t="s">
        <v>3</v>
      </c>
      <c r="H137" s="174" t="s">
        <v>424</v>
      </c>
      <c r="I137" s="174" t="s">
        <v>424</v>
      </c>
      <c r="J137" s="46" t="s">
        <v>1239</v>
      </c>
      <c r="K137" s="308" t="s">
        <v>1241</v>
      </c>
      <c r="L137" s="307" t="s">
        <v>3</v>
      </c>
      <c r="M137" s="307" t="s">
        <v>1233</v>
      </c>
      <c r="N137" s="307" t="s">
        <v>3</v>
      </c>
      <c r="O137" s="307" t="s">
        <v>3</v>
      </c>
      <c r="P137" s="307" t="s">
        <v>3</v>
      </c>
      <c r="Q137" s="307" t="s">
        <v>1233</v>
      </c>
      <c r="R137" s="353" t="s">
        <v>3</v>
      </c>
      <c r="S137" s="307" t="s">
        <v>1233</v>
      </c>
      <c r="T137" s="307" t="s">
        <v>3</v>
      </c>
      <c r="U137" s="307" t="s">
        <v>3</v>
      </c>
      <c r="V137" s="307" t="s">
        <v>3</v>
      </c>
      <c r="W137" s="307" t="s">
        <v>3</v>
      </c>
      <c r="X137" s="307" t="s">
        <v>3</v>
      </c>
      <c r="Y137" s="354" t="s">
        <v>3</v>
      </c>
      <c r="Z137" s="307">
        <v>5.4</v>
      </c>
      <c r="AA137" s="307">
        <v>8.8000000000000007</v>
      </c>
      <c r="AB137" s="307">
        <v>3.8</v>
      </c>
      <c r="AC137" s="307" t="s">
        <v>3</v>
      </c>
      <c r="AD137" s="307" t="s">
        <v>3</v>
      </c>
      <c r="AE137" s="307" t="s">
        <v>3</v>
      </c>
      <c r="AF137" s="298" t="s">
        <v>3</v>
      </c>
      <c r="AG137" s="322" t="s">
        <v>3</v>
      </c>
      <c r="AH137" s="339" t="s">
        <v>3</v>
      </c>
      <c r="AI137" s="339" t="s">
        <v>3</v>
      </c>
      <c r="AJ137" s="351" t="s">
        <v>3</v>
      </c>
      <c r="AK137" s="350" t="s">
        <v>3</v>
      </c>
      <c r="AL137" s="21" t="s">
        <v>3</v>
      </c>
      <c r="AM137" s="355" t="s">
        <v>3</v>
      </c>
      <c r="AN137" s="355" t="s">
        <v>3</v>
      </c>
      <c r="AO137" s="355" t="s">
        <v>3</v>
      </c>
      <c r="AP137" s="355" t="s">
        <v>3</v>
      </c>
      <c r="AQ137" s="355" t="s">
        <v>3</v>
      </c>
      <c r="AR137" s="300" t="s">
        <v>3</v>
      </c>
      <c r="AS137" s="117" t="str">
        <f t="shared" si="2"/>
        <v/>
      </c>
      <c r="AT137" s="30" t="s">
        <v>203</v>
      </c>
      <c r="AU137" s="302">
        <v>35983</v>
      </c>
      <c r="AV137" s="302">
        <v>36482</v>
      </c>
      <c r="AW137" s="120" t="s">
        <v>3</v>
      </c>
      <c r="AX137" s="303">
        <v>43031</v>
      </c>
      <c r="AY137" s="324" t="s">
        <v>3</v>
      </c>
      <c r="AZ137" s="356" t="s">
        <v>3</v>
      </c>
      <c r="BA137" s="303">
        <v>44189</v>
      </c>
      <c r="BB137" s="603" t="s">
        <v>2088</v>
      </c>
      <c r="BC137" s="394" t="s">
        <v>3</v>
      </c>
      <c r="BD137" s="402" t="s">
        <v>3</v>
      </c>
      <c r="BE137" s="177" t="s">
        <v>898</v>
      </c>
      <c r="BF137" s="404" t="s">
        <v>911</v>
      </c>
      <c r="BG137" s="396" t="s">
        <v>3</v>
      </c>
      <c r="BH137" s="394" t="s">
        <v>3</v>
      </c>
      <c r="BI137" s="402" t="s">
        <v>3</v>
      </c>
      <c r="BJ137" s="403" t="s">
        <v>3</v>
      </c>
      <c r="BK137" s="283"/>
      <c r="BM137"/>
    </row>
    <row r="138" spans="1:65" ht="103.5" customHeight="1">
      <c r="A138" s="31" t="s">
        <v>610</v>
      </c>
      <c r="B138" s="92" t="s">
        <v>180</v>
      </c>
      <c r="C138" s="230" t="s">
        <v>185</v>
      </c>
      <c r="D138" s="230" t="s">
        <v>1825</v>
      </c>
      <c r="E138" s="337" t="s">
        <v>1</v>
      </c>
      <c r="F138" s="337" t="s">
        <v>1824</v>
      </c>
      <c r="G138" s="230" t="s">
        <v>3</v>
      </c>
      <c r="H138" s="176">
        <v>2021</v>
      </c>
      <c r="I138" s="176">
        <v>2030</v>
      </c>
      <c r="J138" s="46" t="s">
        <v>1827</v>
      </c>
      <c r="K138" s="308" t="s">
        <v>1828</v>
      </c>
      <c r="L138" s="293" t="s">
        <v>360</v>
      </c>
      <c r="M138" s="293" t="s">
        <v>131</v>
      </c>
      <c r="N138" s="293" t="s">
        <v>131</v>
      </c>
      <c r="O138" s="293" t="s">
        <v>3</v>
      </c>
      <c r="P138" s="293" t="s">
        <v>3</v>
      </c>
      <c r="Q138" s="293" t="s">
        <v>131</v>
      </c>
      <c r="R138" s="309" t="s">
        <v>3</v>
      </c>
      <c r="S138" s="293" t="s">
        <v>131</v>
      </c>
      <c r="T138" s="293" t="s">
        <v>131</v>
      </c>
      <c r="U138" s="293" t="s">
        <v>131</v>
      </c>
      <c r="V138" s="293" t="s">
        <v>3</v>
      </c>
      <c r="W138" s="293" t="s">
        <v>3</v>
      </c>
      <c r="X138" s="293" t="s">
        <v>3</v>
      </c>
      <c r="Y138" s="310" t="s">
        <v>3</v>
      </c>
      <c r="Z138" s="293">
        <v>2.1</v>
      </c>
      <c r="AA138" s="293">
        <v>22.3</v>
      </c>
      <c r="AB138" s="293">
        <v>8.3000000000000007</v>
      </c>
      <c r="AC138" s="293" t="s">
        <v>3</v>
      </c>
      <c r="AD138" s="293" t="s">
        <v>3</v>
      </c>
      <c r="AE138" s="293" t="s">
        <v>3</v>
      </c>
      <c r="AF138" s="298" t="s">
        <v>3</v>
      </c>
      <c r="AG138" s="231">
        <v>2.95</v>
      </c>
      <c r="AH138" s="231">
        <v>4.3</v>
      </c>
      <c r="AI138" s="231">
        <f>SUM(AG138:AH138)</f>
        <v>7.25</v>
      </c>
      <c r="AJ138" s="312" t="s">
        <v>1826</v>
      </c>
      <c r="AK138" s="308" t="s">
        <v>1829</v>
      </c>
      <c r="AL138" s="22" t="s">
        <v>1830</v>
      </c>
      <c r="AM138" s="115" t="s">
        <v>1830</v>
      </c>
      <c r="AN138" s="115" t="s">
        <v>3</v>
      </c>
      <c r="AO138" s="115" t="s">
        <v>3</v>
      </c>
      <c r="AP138" s="115" t="s">
        <v>3</v>
      </c>
      <c r="AQ138" s="115" t="s">
        <v>1830</v>
      </c>
      <c r="AR138" s="116" t="s">
        <v>3</v>
      </c>
      <c r="AS138" s="117" t="str">
        <f t="shared" si="2"/>
        <v/>
      </c>
      <c r="AT138" s="30" t="s">
        <v>203</v>
      </c>
      <c r="AU138" s="302">
        <v>36091</v>
      </c>
      <c r="AV138" s="302">
        <v>38260</v>
      </c>
      <c r="AW138" s="120">
        <v>42482</v>
      </c>
      <c r="AX138" s="120">
        <v>42634</v>
      </c>
      <c r="AY138" s="302">
        <v>42276</v>
      </c>
      <c r="AZ138" s="305" t="s">
        <v>849</v>
      </c>
      <c r="BA138" s="321">
        <v>44543</v>
      </c>
      <c r="BB138" s="603" t="s">
        <v>2087</v>
      </c>
      <c r="BC138" s="394" t="s">
        <v>3</v>
      </c>
      <c r="BD138" s="402" t="s">
        <v>3</v>
      </c>
      <c r="BE138" s="177" t="s">
        <v>897</v>
      </c>
      <c r="BF138" s="404" t="s">
        <v>860</v>
      </c>
      <c r="BG138" s="396" t="s">
        <v>3</v>
      </c>
      <c r="BH138" s="394" t="s">
        <v>3</v>
      </c>
      <c r="BI138" s="402" t="s">
        <v>3</v>
      </c>
      <c r="BJ138" s="403" t="s">
        <v>3</v>
      </c>
      <c r="BK138"/>
      <c r="BM138"/>
    </row>
    <row r="139" spans="1:65" ht="154.94999999999999" customHeight="1">
      <c r="A139" s="31" t="s">
        <v>611</v>
      </c>
      <c r="B139" s="92" t="s">
        <v>180</v>
      </c>
      <c r="C139" s="230" t="s">
        <v>185</v>
      </c>
      <c r="D139" s="230" t="s">
        <v>1504</v>
      </c>
      <c r="E139" s="337" t="s">
        <v>1</v>
      </c>
      <c r="F139" s="337">
        <v>2030</v>
      </c>
      <c r="G139" s="230" t="s">
        <v>3</v>
      </c>
      <c r="H139" s="173">
        <v>2021</v>
      </c>
      <c r="I139" s="173">
        <v>2030</v>
      </c>
      <c r="J139" s="46" t="s">
        <v>1503</v>
      </c>
      <c r="K139" s="308" t="s">
        <v>1507</v>
      </c>
      <c r="L139" s="293" t="s">
        <v>360</v>
      </c>
      <c r="M139" s="293" t="s">
        <v>131</v>
      </c>
      <c r="N139" s="293" t="s">
        <v>131</v>
      </c>
      <c r="O139" s="293" t="s">
        <v>131</v>
      </c>
      <c r="P139" s="293" t="s">
        <v>1485</v>
      </c>
      <c r="Q139" s="293" t="s">
        <v>131</v>
      </c>
      <c r="R139" s="309" t="s">
        <v>131</v>
      </c>
      <c r="S139" s="293" t="s">
        <v>131</v>
      </c>
      <c r="T139" s="293" t="s">
        <v>131</v>
      </c>
      <c r="U139" s="293" t="s">
        <v>131</v>
      </c>
      <c r="V139" s="293" t="s">
        <v>424</v>
      </c>
      <c r="W139" s="293" t="s">
        <v>3</v>
      </c>
      <c r="X139" s="293" t="s">
        <v>3</v>
      </c>
      <c r="Y139" s="310" t="s">
        <v>3</v>
      </c>
      <c r="Z139" s="293">
        <v>104.5</v>
      </c>
      <c r="AA139" s="293">
        <v>183.6</v>
      </c>
      <c r="AB139" s="293">
        <v>32.700000000000003</v>
      </c>
      <c r="AC139" s="293">
        <v>0.6</v>
      </c>
      <c r="AD139" s="293">
        <v>0</v>
      </c>
      <c r="AE139" s="293">
        <v>0.4</v>
      </c>
      <c r="AF139" s="298" t="s">
        <v>3</v>
      </c>
      <c r="AG139" s="231" t="s">
        <v>3</v>
      </c>
      <c r="AH139" s="231" t="s">
        <v>3</v>
      </c>
      <c r="AI139" s="231">
        <v>177</v>
      </c>
      <c r="AJ139" s="312" t="s">
        <v>1505</v>
      </c>
      <c r="AK139" s="308" t="s">
        <v>3</v>
      </c>
      <c r="AL139" s="22" t="s">
        <v>1506</v>
      </c>
      <c r="AM139" s="115" t="s">
        <v>131</v>
      </c>
      <c r="AN139" s="115" t="s">
        <v>3</v>
      </c>
      <c r="AO139" s="115" t="s">
        <v>3</v>
      </c>
      <c r="AP139" s="115" t="s">
        <v>3</v>
      </c>
      <c r="AQ139" s="115" t="s">
        <v>131</v>
      </c>
      <c r="AR139" s="116" t="s">
        <v>3</v>
      </c>
      <c r="AS139" s="117">
        <f t="shared" si="2"/>
        <v>1</v>
      </c>
      <c r="AT139" s="30" t="s">
        <v>203</v>
      </c>
      <c r="AU139" s="302" t="s">
        <v>3</v>
      </c>
      <c r="AV139" s="302">
        <v>38331</v>
      </c>
      <c r="AW139" s="120">
        <v>42482</v>
      </c>
      <c r="AX139" s="120">
        <v>42871</v>
      </c>
      <c r="AY139" s="302">
        <v>42336</v>
      </c>
      <c r="AZ139" s="357" t="s">
        <v>693</v>
      </c>
      <c r="BA139" s="321">
        <v>44407</v>
      </c>
      <c r="BB139" s="603" t="s">
        <v>2083</v>
      </c>
      <c r="BC139" s="394" t="s">
        <v>3</v>
      </c>
      <c r="BD139" s="402" t="s">
        <v>3</v>
      </c>
      <c r="BE139" s="177" t="s">
        <v>899</v>
      </c>
      <c r="BF139" s="404" t="s">
        <v>424</v>
      </c>
      <c r="BG139" s="396" t="s">
        <v>3</v>
      </c>
      <c r="BH139" s="394" t="s">
        <v>3</v>
      </c>
      <c r="BI139" s="440">
        <v>2021</v>
      </c>
      <c r="BJ139" s="448">
        <v>2</v>
      </c>
      <c r="BK139"/>
      <c r="BM139"/>
    </row>
    <row r="140" spans="1:65" ht="84" customHeight="1">
      <c r="A140" s="32" t="s">
        <v>612</v>
      </c>
      <c r="B140" s="97" t="s">
        <v>25</v>
      </c>
      <c r="C140" s="293" t="s">
        <v>189</v>
      </c>
      <c r="D140" s="293" t="s">
        <v>1044</v>
      </c>
      <c r="E140" s="307" t="s">
        <v>3</v>
      </c>
      <c r="F140" s="293" t="s">
        <v>70</v>
      </c>
      <c r="G140" s="230" t="s">
        <v>3</v>
      </c>
      <c r="H140" s="176">
        <v>2015</v>
      </c>
      <c r="I140" s="176">
        <v>2030</v>
      </c>
      <c r="J140" s="24" t="s">
        <v>1083</v>
      </c>
      <c r="K140" s="308" t="s">
        <v>128</v>
      </c>
      <c r="L140" s="293" t="s">
        <v>360</v>
      </c>
      <c r="M140" s="293" t="s">
        <v>131</v>
      </c>
      <c r="N140" s="293" t="s">
        <v>3</v>
      </c>
      <c r="O140" s="293" t="s">
        <v>131</v>
      </c>
      <c r="P140" s="293" t="s">
        <v>3</v>
      </c>
      <c r="Q140" s="293" t="s">
        <v>3</v>
      </c>
      <c r="R140" s="309" t="s">
        <v>3</v>
      </c>
      <c r="S140" s="293" t="s">
        <v>131</v>
      </c>
      <c r="T140" s="293" t="s">
        <v>131</v>
      </c>
      <c r="U140" s="293" t="s">
        <v>131</v>
      </c>
      <c r="V140" s="293" t="s">
        <v>3</v>
      </c>
      <c r="W140" s="293" t="s">
        <v>3</v>
      </c>
      <c r="X140" s="293" t="s">
        <v>3</v>
      </c>
      <c r="Y140" s="310" t="s">
        <v>3</v>
      </c>
      <c r="Z140" s="293" t="s">
        <v>452</v>
      </c>
      <c r="AA140" s="293" t="s">
        <v>452</v>
      </c>
      <c r="AB140" s="293" t="s">
        <v>452</v>
      </c>
      <c r="AC140" s="293" t="s">
        <v>452</v>
      </c>
      <c r="AD140" s="293" t="s">
        <v>452</v>
      </c>
      <c r="AE140" s="293" t="s">
        <v>452</v>
      </c>
      <c r="AF140" s="298" t="s">
        <v>3</v>
      </c>
      <c r="AG140" s="322" t="s">
        <v>3</v>
      </c>
      <c r="AH140" s="322" t="s">
        <v>3</v>
      </c>
      <c r="AI140" s="322">
        <v>5.0000000000000001E-3</v>
      </c>
      <c r="AJ140" s="312" t="s">
        <v>1104</v>
      </c>
      <c r="AK140" s="308" t="s">
        <v>3</v>
      </c>
      <c r="AL140" s="22" t="s">
        <v>127</v>
      </c>
      <c r="AM140" s="115" t="s">
        <v>131</v>
      </c>
      <c r="AN140" s="115" t="s">
        <v>131</v>
      </c>
      <c r="AO140" s="115" t="s">
        <v>3</v>
      </c>
      <c r="AP140" s="115" t="s">
        <v>3</v>
      </c>
      <c r="AQ140" s="115" t="s">
        <v>3</v>
      </c>
      <c r="AR140" s="116" t="s">
        <v>3</v>
      </c>
      <c r="AS140" s="117">
        <f t="shared" si="2"/>
        <v>1</v>
      </c>
      <c r="AT140" s="30" t="s">
        <v>203</v>
      </c>
      <c r="AU140" s="302">
        <v>36137</v>
      </c>
      <c r="AV140" s="302">
        <v>36286</v>
      </c>
      <c r="AW140" s="120">
        <v>42482</v>
      </c>
      <c r="AX140" s="120">
        <v>42671</v>
      </c>
      <c r="AY140" s="302">
        <v>42333</v>
      </c>
      <c r="AZ140" s="305" t="s">
        <v>696</v>
      </c>
      <c r="BA140" s="302">
        <v>42671</v>
      </c>
      <c r="BB140" s="603" t="s">
        <v>2084</v>
      </c>
      <c r="BC140" s="394" t="s">
        <v>3</v>
      </c>
      <c r="BD140" s="394" t="s">
        <v>3</v>
      </c>
      <c r="BE140" s="177" t="s">
        <v>899</v>
      </c>
      <c r="BF140" s="404" t="s">
        <v>424</v>
      </c>
      <c r="BG140" s="396" t="s">
        <v>3</v>
      </c>
      <c r="BH140" s="394" t="s">
        <v>3</v>
      </c>
      <c r="BI140" s="402" t="s">
        <v>3</v>
      </c>
      <c r="BJ140" s="403" t="s">
        <v>3</v>
      </c>
      <c r="BK140"/>
      <c r="BM140"/>
    </row>
    <row r="141" spans="1:65" ht="144" customHeight="1">
      <c r="A141" s="32" t="s">
        <v>1369</v>
      </c>
      <c r="B141" s="93" t="s">
        <v>183</v>
      </c>
      <c r="C141" s="293" t="s">
        <v>1371</v>
      </c>
      <c r="D141" s="318">
        <v>0.51</v>
      </c>
      <c r="E141" s="307">
        <v>1990</v>
      </c>
      <c r="F141" s="307">
        <v>2030</v>
      </c>
      <c r="G141" s="230" t="s">
        <v>3</v>
      </c>
      <c r="H141" s="177">
        <v>2021</v>
      </c>
      <c r="I141" s="177">
        <v>2030</v>
      </c>
      <c r="J141" s="24" t="s">
        <v>1372</v>
      </c>
      <c r="K141" s="308" t="s">
        <v>1373</v>
      </c>
      <c r="L141" s="293" t="s">
        <v>360</v>
      </c>
      <c r="M141" s="293" t="s">
        <v>131</v>
      </c>
      <c r="N141" s="293" t="s">
        <v>1374</v>
      </c>
      <c r="O141" s="293" t="s">
        <v>131</v>
      </c>
      <c r="P141" s="293" t="s">
        <v>1374</v>
      </c>
      <c r="Q141" s="293" t="s">
        <v>1374</v>
      </c>
      <c r="R141" s="309" t="s">
        <v>1374</v>
      </c>
      <c r="S141" s="293" t="s">
        <v>131</v>
      </c>
      <c r="T141" s="293" t="s">
        <v>1374</v>
      </c>
      <c r="U141" s="293" t="s">
        <v>1374</v>
      </c>
      <c r="V141" s="293" t="s">
        <v>3</v>
      </c>
      <c r="W141" s="293" t="s">
        <v>3</v>
      </c>
      <c r="X141" s="293" t="s">
        <v>3</v>
      </c>
      <c r="Y141" s="310" t="s">
        <v>3</v>
      </c>
      <c r="Z141" s="293">
        <v>7.9</v>
      </c>
      <c r="AA141" s="293">
        <v>2</v>
      </c>
      <c r="AB141" s="293">
        <v>0.5</v>
      </c>
      <c r="AC141" s="293">
        <v>0.2</v>
      </c>
      <c r="AD141" s="293" t="s">
        <v>3</v>
      </c>
      <c r="AE141" s="293" t="s">
        <v>3</v>
      </c>
      <c r="AF141" s="298" t="s">
        <v>3</v>
      </c>
      <c r="AG141" s="322" t="s">
        <v>1375</v>
      </c>
      <c r="AH141" s="322" t="s">
        <v>3</v>
      </c>
      <c r="AI141" s="322" t="s">
        <v>1375</v>
      </c>
      <c r="AJ141" s="312" t="s">
        <v>1375</v>
      </c>
      <c r="AK141" s="308" t="s">
        <v>3</v>
      </c>
      <c r="AL141" s="22" t="s">
        <v>1376</v>
      </c>
      <c r="AM141" s="115" t="s">
        <v>132</v>
      </c>
      <c r="AN141" s="115" t="s">
        <v>3</v>
      </c>
      <c r="AO141" s="115" t="s">
        <v>3</v>
      </c>
      <c r="AP141" s="115" t="s">
        <v>3</v>
      </c>
      <c r="AQ141" s="115" t="s">
        <v>3</v>
      </c>
      <c r="AR141" s="116" t="s">
        <v>3</v>
      </c>
      <c r="AS141" s="117">
        <f t="shared" si="2"/>
        <v>1</v>
      </c>
      <c r="AT141" s="30" t="s">
        <v>203</v>
      </c>
      <c r="AU141" s="302" t="s">
        <v>3</v>
      </c>
      <c r="AV141" s="302">
        <v>38309</v>
      </c>
      <c r="AW141" s="120">
        <v>42482</v>
      </c>
      <c r="AX141" s="120">
        <v>43109</v>
      </c>
      <c r="AY141" s="302">
        <v>42221</v>
      </c>
      <c r="AZ141" s="305" t="s">
        <v>826</v>
      </c>
      <c r="BA141" s="321">
        <v>44305</v>
      </c>
      <c r="BB141" s="603" t="s">
        <v>2160</v>
      </c>
      <c r="BC141" s="394" t="s">
        <v>3</v>
      </c>
      <c r="BD141" s="394" t="s">
        <v>3</v>
      </c>
      <c r="BE141" s="177" t="s">
        <v>899</v>
      </c>
      <c r="BF141" s="404" t="s">
        <v>424</v>
      </c>
      <c r="BG141" s="396" t="s">
        <v>3</v>
      </c>
      <c r="BH141" s="394" t="s">
        <v>3</v>
      </c>
      <c r="BI141" s="440">
        <v>2021</v>
      </c>
      <c r="BJ141" s="448">
        <v>3</v>
      </c>
      <c r="BK141"/>
      <c r="BM141"/>
    </row>
    <row r="142" spans="1:65" ht="130.05000000000001" customHeight="1">
      <c r="A142" s="32" t="s">
        <v>613</v>
      </c>
      <c r="B142" s="94" t="s">
        <v>76</v>
      </c>
      <c r="C142" s="293" t="s">
        <v>186</v>
      </c>
      <c r="D142" s="318" t="s">
        <v>946</v>
      </c>
      <c r="E142" s="307">
        <v>1990</v>
      </c>
      <c r="F142" s="307">
        <v>2030</v>
      </c>
      <c r="G142" s="230" t="s">
        <v>131</v>
      </c>
      <c r="H142" s="177">
        <v>2021</v>
      </c>
      <c r="I142" s="177">
        <v>2030</v>
      </c>
      <c r="J142" s="24" t="s">
        <v>950</v>
      </c>
      <c r="K142" s="308" t="s">
        <v>3</v>
      </c>
      <c r="L142" s="293" t="s">
        <v>360</v>
      </c>
      <c r="M142" s="293" t="s">
        <v>131</v>
      </c>
      <c r="N142" s="293" t="s">
        <v>131</v>
      </c>
      <c r="O142" s="293" t="s">
        <v>131</v>
      </c>
      <c r="P142" s="293" t="s">
        <v>131</v>
      </c>
      <c r="Q142" s="293" t="s">
        <v>131</v>
      </c>
      <c r="R142" s="309" t="s">
        <v>131</v>
      </c>
      <c r="S142" s="293" t="s">
        <v>131</v>
      </c>
      <c r="T142" s="293" t="s">
        <v>131</v>
      </c>
      <c r="U142" s="293" t="s">
        <v>131</v>
      </c>
      <c r="V142" s="293" t="s">
        <v>131</v>
      </c>
      <c r="W142" s="293" t="s">
        <v>131</v>
      </c>
      <c r="X142" s="293" t="s">
        <v>131</v>
      </c>
      <c r="Y142" s="310" t="s">
        <v>131</v>
      </c>
      <c r="Z142" s="293">
        <v>43.5</v>
      </c>
      <c r="AA142" s="293">
        <v>20</v>
      </c>
      <c r="AB142" s="293">
        <v>3.6</v>
      </c>
      <c r="AC142" s="293">
        <v>0.5</v>
      </c>
      <c r="AD142" s="293">
        <v>1.6</v>
      </c>
      <c r="AE142" s="293">
        <v>0.2</v>
      </c>
      <c r="AF142" s="298" t="s">
        <v>3</v>
      </c>
      <c r="AG142" s="322" t="s">
        <v>944</v>
      </c>
      <c r="AH142" s="322" t="s">
        <v>3</v>
      </c>
      <c r="AI142" s="322" t="s">
        <v>3</v>
      </c>
      <c r="AJ142" s="312" t="s">
        <v>3</v>
      </c>
      <c r="AK142" s="308" t="s">
        <v>945</v>
      </c>
      <c r="AL142" s="22" t="s">
        <v>949</v>
      </c>
      <c r="AM142" s="115" t="s">
        <v>940</v>
      </c>
      <c r="AN142" s="115" t="s">
        <v>940</v>
      </c>
      <c r="AO142" s="115" t="s">
        <v>940</v>
      </c>
      <c r="AP142" s="115" t="s">
        <v>3</v>
      </c>
      <c r="AQ142" s="115" t="s">
        <v>944</v>
      </c>
      <c r="AR142" s="116" t="s">
        <v>3</v>
      </c>
      <c r="AS142" s="117">
        <f t="shared" si="2"/>
        <v>1</v>
      </c>
      <c r="AT142" s="30" t="s">
        <v>205</v>
      </c>
      <c r="AU142" s="302">
        <v>35914</v>
      </c>
      <c r="AV142" s="302">
        <v>37406</v>
      </c>
      <c r="AW142" s="120">
        <v>42482</v>
      </c>
      <c r="AX142" s="120">
        <v>42541</v>
      </c>
      <c r="AY142" s="302">
        <v>42090</v>
      </c>
      <c r="AZ142" s="305" t="s">
        <v>845</v>
      </c>
      <c r="BA142" s="321">
        <v>43868</v>
      </c>
      <c r="BB142" s="603" t="s">
        <v>2085</v>
      </c>
      <c r="BC142" s="394" t="s">
        <v>3</v>
      </c>
      <c r="BD142" s="394" t="s">
        <v>3</v>
      </c>
      <c r="BE142" s="177" t="s">
        <v>899</v>
      </c>
      <c r="BF142" s="404" t="s">
        <v>424</v>
      </c>
      <c r="BG142" s="397">
        <v>2019</v>
      </c>
      <c r="BH142" s="395">
        <v>4</v>
      </c>
      <c r="BI142" s="177" t="s">
        <v>3</v>
      </c>
      <c r="BJ142" s="446" t="s">
        <v>3</v>
      </c>
      <c r="BK142"/>
      <c r="BM142"/>
    </row>
    <row r="143" spans="1:65" ht="80.55" customHeight="1">
      <c r="A143" s="31" t="s">
        <v>614</v>
      </c>
      <c r="B143" s="203" t="s">
        <v>182</v>
      </c>
      <c r="C143" s="230" t="s">
        <v>185</v>
      </c>
      <c r="D143" s="319" t="s">
        <v>1474</v>
      </c>
      <c r="E143" s="230" t="s">
        <v>1360</v>
      </c>
      <c r="F143" s="230">
        <v>2030</v>
      </c>
      <c r="G143" s="230" t="s">
        <v>3</v>
      </c>
      <c r="H143" s="230">
        <v>2021</v>
      </c>
      <c r="I143" s="230">
        <v>2030</v>
      </c>
      <c r="J143" s="320" t="s">
        <v>1475</v>
      </c>
      <c r="K143" s="314" t="s">
        <v>90</v>
      </c>
      <c r="L143" s="30" t="s">
        <v>354</v>
      </c>
      <c r="M143" s="30" t="s">
        <v>131</v>
      </c>
      <c r="N143" s="30" t="s">
        <v>3</v>
      </c>
      <c r="O143" s="30" t="s">
        <v>1471</v>
      </c>
      <c r="P143" s="30" t="s">
        <v>1473</v>
      </c>
      <c r="Q143" s="30" t="s">
        <v>1473</v>
      </c>
      <c r="R143" s="315" t="s">
        <v>1473</v>
      </c>
      <c r="S143" s="30" t="s">
        <v>131</v>
      </c>
      <c r="T143" s="30" t="s">
        <v>131</v>
      </c>
      <c r="U143" s="30" t="s">
        <v>131</v>
      </c>
      <c r="V143" s="30" t="s">
        <v>1473</v>
      </c>
      <c r="W143" s="30" t="s">
        <v>1473</v>
      </c>
      <c r="X143" s="30" t="s">
        <v>3</v>
      </c>
      <c r="Y143" s="298" t="s">
        <v>3</v>
      </c>
      <c r="Z143" s="30">
        <v>75.400000000000006</v>
      </c>
      <c r="AA143" s="30">
        <v>24.7</v>
      </c>
      <c r="AB143" s="30">
        <v>1.2</v>
      </c>
      <c r="AC143" s="30">
        <v>0.3</v>
      </c>
      <c r="AD143" s="30">
        <v>0</v>
      </c>
      <c r="AE143" s="30" t="s">
        <v>3</v>
      </c>
      <c r="AF143" s="298" t="s">
        <v>3</v>
      </c>
      <c r="AG143" s="311" t="s">
        <v>3</v>
      </c>
      <c r="AH143" s="311" t="s">
        <v>3</v>
      </c>
      <c r="AI143" s="311" t="s">
        <v>3</v>
      </c>
      <c r="AJ143" s="316" t="s">
        <v>3</v>
      </c>
      <c r="AK143" s="314" t="s">
        <v>1473</v>
      </c>
      <c r="AL143" s="22" t="s">
        <v>1476</v>
      </c>
      <c r="AM143" s="115" t="s">
        <v>3</v>
      </c>
      <c r="AN143" s="115" t="s">
        <v>3</v>
      </c>
      <c r="AO143" s="115" t="s">
        <v>3</v>
      </c>
      <c r="AP143" s="115" t="s">
        <v>3</v>
      </c>
      <c r="AQ143" s="115" t="s">
        <v>3</v>
      </c>
      <c r="AR143" s="116" t="s">
        <v>3</v>
      </c>
      <c r="AS143" s="117" t="str">
        <f t="shared" si="2"/>
        <v/>
      </c>
      <c r="AT143" s="30" t="s">
        <v>203</v>
      </c>
      <c r="AU143" s="302" t="s">
        <v>3</v>
      </c>
      <c r="AV143" s="302">
        <v>38371</v>
      </c>
      <c r="AW143" s="120">
        <v>42482</v>
      </c>
      <c r="AX143" s="303">
        <v>43607</v>
      </c>
      <c r="AY143" s="324">
        <v>42296</v>
      </c>
      <c r="AZ143" s="317" t="s">
        <v>731</v>
      </c>
      <c r="BA143" s="303">
        <v>43607</v>
      </c>
      <c r="BB143" s="608" t="s">
        <v>3</v>
      </c>
      <c r="BC143" s="321">
        <v>44406</v>
      </c>
      <c r="BD143" s="486" t="s">
        <v>2086</v>
      </c>
      <c r="BE143" s="177" t="s">
        <v>899</v>
      </c>
      <c r="BF143" s="404" t="s">
        <v>424</v>
      </c>
      <c r="BG143" s="396" t="s">
        <v>3</v>
      </c>
      <c r="BH143" s="394" t="s">
        <v>3</v>
      </c>
      <c r="BI143" s="402">
        <v>2019</v>
      </c>
      <c r="BJ143" s="403">
        <v>1</v>
      </c>
      <c r="BK143"/>
      <c r="BM143"/>
    </row>
    <row r="144" spans="1:65" ht="108" customHeight="1">
      <c r="A144" s="31" t="s">
        <v>615</v>
      </c>
      <c r="B144" s="90" t="s">
        <v>23</v>
      </c>
      <c r="C144" s="230" t="s">
        <v>185</v>
      </c>
      <c r="D144" s="319" t="s">
        <v>1774</v>
      </c>
      <c r="E144" s="230" t="s">
        <v>1</v>
      </c>
      <c r="F144" s="230">
        <v>2030</v>
      </c>
      <c r="G144" s="230" t="s">
        <v>3</v>
      </c>
      <c r="H144" s="176" t="s">
        <v>424</v>
      </c>
      <c r="I144" s="176">
        <v>2030</v>
      </c>
      <c r="J144" s="320" t="s">
        <v>1773</v>
      </c>
      <c r="K144" s="314" t="s">
        <v>1775</v>
      </c>
      <c r="L144" s="30" t="s">
        <v>360</v>
      </c>
      <c r="M144" s="30" t="s">
        <v>131</v>
      </c>
      <c r="N144" s="30" t="s">
        <v>1780</v>
      </c>
      <c r="O144" s="30" t="s">
        <v>1780</v>
      </c>
      <c r="P144" s="30" t="s">
        <v>131</v>
      </c>
      <c r="Q144" s="30" t="s">
        <v>1780</v>
      </c>
      <c r="R144" s="315" t="s">
        <v>1780</v>
      </c>
      <c r="S144" s="30" t="s">
        <v>3</v>
      </c>
      <c r="T144" s="30" t="s">
        <v>3</v>
      </c>
      <c r="U144" s="30" t="s">
        <v>3</v>
      </c>
      <c r="V144" s="30" t="s">
        <v>3</v>
      </c>
      <c r="W144" s="30" t="s">
        <v>3</v>
      </c>
      <c r="X144" s="30" t="s">
        <v>3</v>
      </c>
      <c r="Y144" s="298" t="s">
        <v>3</v>
      </c>
      <c r="Z144" s="30">
        <v>170.6</v>
      </c>
      <c r="AA144" s="30">
        <v>193.3</v>
      </c>
      <c r="AB144" s="30">
        <v>47.8</v>
      </c>
      <c r="AC144" s="30" t="s">
        <v>3</v>
      </c>
      <c r="AD144" s="30" t="s">
        <v>3</v>
      </c>
      <c r="AE144" s="30">
        <v>1</v>
      </c>
      <c r="AF144" s="298" t="s">
        <v>3</v>
      </c>
      <c r="AG144" s="311" t="s">
        <v>1776</v>
      </c>
      <c r="AH144" s="311" t="s">
        <v>1776</v>
      </c>
      <c r="AI144" s="311" t="s">
        <v>1776</v>
      </c>
      <c r="AJ144" s="316" t="s">
        <v>1779</v>
      </c>
      <c r="AK144" s="314" t="s">
        <v>1778</v>
      </c>
      <c r="AL144" s="22" t="s">
        <v>1777</v>
      </c>
      <c r="AM144" s="115" t="s">
        <v>967</v>
      </c>
      <c r="AN144" s="115" t="s">
        <v>3</v>
      </c>
      <c r="AO144" s="115" t="s">
        <v>967</v>
      </c>
      <c r="AP144" s="115" t="s">
        <v>3</v>
      </c>
      <c r="AQ144" s="115" t="s">
        <v>1776</v>
      </c>
      <c r="AR144" s="116" t="s">
        <v>3</v>
      </c>
      <c r="AS144" s="117">
        <f t="shared" si="2"/>
        <v>1</v>
      </c>
      <c r="AT144" s="30" t="s">
        <v>203</v>
      </c>
      <c r="AU144" s="302" t="s">
        <v>3</v>
      </c>
      <c r="AV144" s="302">
        <v>38363</v>
      </c>
      <c r="AW144" s="120">
        <v>42482</v>
      </c>
      <c r="AX144" s="120">
        <v>42684</v>
      </c>
      <c r="AY144" s="324">
        <v>42320</v>
      </c>
      <c r="AZ144" s="317" t="s">
        <v>677</v>
      </c>
      <c r="BA144" s="489">
        <v>44491</v>
      </c>
      <c r="BB144" s="603" t="s">
        <v>2148</v>
      </c>
      <c r="BC144" s="394" t="s">
        <v>3</v>
      </c>
      <c r="BD144" s="402" t="s">
        <v>3</v>
      </c>
      <c r="BE144" s="177" t="s">
        <v>899</v>
      </c>
      <c r="BF144" s="404" t="s">
        <v>424</v>
      </c>
      <c r="BG144" s="396" t="s">
        <v>3</v>
      </c>
      <c r="BH144" s="394" t="s">
        <v>3</v>
      </c>
      <c r="BI144" s="402">
        <v>2022</v>
      </c>
      <c r="BJ144" s="403">
        <v>1</v>
      </c>
      <c r="BK144"/>
      <c r="BM144"/>
    </row>
    <row r="145" spans="1:65" ht="80.55" customHeight="1">
      <c r="A145" s="32" t="s">
        <v>658</v>
      </c>
      <c r="B145" s="97" t="s">
        <v>25</v>
      </c>
      <c r="C145" s="293" t="s">
        <v>189</v>
      </c>
      <c r="D145" s="293" t="s">
        <v>1072</v>
      </c>
      <c r="E145" s="307">
        <v>2005</v>
      </c>
      <c r="F145" s="307">
        <v>2025</v>
      </c>
      <c r="G145" s="230" t="s">
        <v>3</v>
      </c>
      <c r="H145" s="176">
        <v>2020</v>
      </c>
      <c r="I145" s="176">
        <v>2025</v>
      </c>
      <c r="J145" s="24" t="s">
        <v>1092</v>
      </c>
      <c r="K145" s="308" t="s">
        <v>3</v>
      </c>
      <c r="L145" s="293" t="s">
        <v>360</v>
      </c>
      <c r="M145" s="293" t="s">
        <v>131</v>
      </c>
      <c r="N145" s="293" t="s">
        <v>3</v>
      </c>
      <c r="O145" s="293" t="s">
        <v>131</v>
      </c>
      <c r="P145" s="293" t="s">
        <v>131</v>
      </c>
      <c r="Q145" s="293" t="s">
        <v>3</v>
      </c>
      <c r="R145" s="309" t="s">
        <v>3</v>
      </c>
      <c r="S145" s="293" t="s">
        <v>131</v>
      </c>
      <c r="T145" s="293" t="s">
        <v>131</v>
      </c>
      <c r="U145" s="293" t="s">
        <v>3</v>
      </c>
      <c r="V145" s="293" t="s">
        <v>3</v>
      </c>
      <c r="W145" s="293" t="s">
        <v>3</v>
      </c>
      <c r="X145" s="293" t="s">
        <v>3</v>
      </c>
      <c r="Y145" s="310" t="s">
        <v>3</v>
      </c>
      <c r="Z145" s="293" t="s">
        <v>452</v>
      </c>
      <c r="AA145" s="293" t="s">
        <v>452</v>
      </c>
      <c r="AB145" s="293" t="s">
        <v>452</v>
      </c>
      <c r="AC145" s="293" t="s">
        <v>452</v>
      </c>
      <c r="AD145" s="293" t="s">
        <v>452</v>
      </c>
      <c r="AE145" s="293" t="s">
        <v>452</v>
      </c>
      <c r="AF145" s="298" t="s">
        <v>3</v>
      </c>
      <c r="AG145" s="322">
        <v>5.0000000000000001E-3</v>
      </c>
      <c r="AH145" s="322" t="s">
        <v>3</v>
      </c>
      <c r="AI145" s="322">
        <v>5.0000000000000001E-3</v>
      </c>
      <c r="AJ145" s="312" t="s">
        <v>129</v>
      </c>
      <c r="AK145" s="308" t="s">
        <v>3</v>
      </c>
      <c r="AL145" s="22" t="s">
        <v>73</v>
      </c>
      <c r="AM145" s="115" t="s">
        <v>135</v>
      </c>
      <c r="AN145" s="115" t="s">
        <v>3</v>
      </c>
      <c r="AO145" s="115" t="s">
        <v>3</v>
      </c>
      <c r="AP145" s="117" t="s">
        <v>3</v>
      </c>
      <c r="AQ145" s="115" t="s">
        <v>3</v>
      </c>
      <c r="AR145" s="300" t="s">
        <v>246</v>
      </c>
      <c r="AS145" s="117">
        <f t="shared" si="2"/>
        <v>1</v>
      </c>
      <c r="AT145" s="30" t="s">
        <v>203</v>
      </c>
      <c r="AU145" s="302" t="s">
        <v>3</v>
      </c>
      <c r="AV145" s="302">
        <v>36504</v>
      </c>
      <c r="AW145" s="120">
        <v>42482</v>
      </c>
      <c r="AX145" s="120">
        <v>42482</v>
      </c>
      <c r="AY145" s="302">
        <v>42336</v>
      </c>
      <c r="AZ145" s="305" t="s">
        <v>692</v>
      </c>
      <c r="BA145" s="302">
        <v>42482</v>
      </c>
      <c r="BB145" s="603" t="s">
        <v>2147</v>
      </c>
      <c r="BC145" s="394" t="s">
        <v>3</v>
      </c>
      <c r="BD145" s="394" t="s">
        <v>3</v>
      </c>
      <c r="BE145" s="177" t="s">
        <v>899</v>
      </c>
      <c r="BF145" s="404" t="s">
        <v>424</v>
      </c>
      <c r="BG145" s="396" t="s">
        <v>3</v>
      </c>
      <c r="BH145" s="394" t="s">
        <v>3</v>
      </c>
      <c r="BI145" s="402" t="s">
        <v>3</v>
      </c>
      <c r="BJ145" s="403" t="s">
        <v>3</v>
      </c>
      <c r="BK145"/>
      <c r="BM145"/>
    </row>
    <row r="146" spans="1:65" ht="156" customHeight="1">
      <c r="A146" s="32" t="s">
        <v>657</v>
      </c>
      <c r="B146" s="95" t="s">
        <v>181</v>
      </c>
      <c r="C146" s="293" t="s">
        <v>1244</v>
      </c>
      <c r="D146" s="318" t="s">
        <v>1245</v>
      </c>
      <c r="E146" s="307" t="s">
        <v>1246</v>
      </c>
      <c r="F146" s="307" t="s">
        <v>1247</v>
      </c>
      <c r="G146" s="230" t="s">
        <v>3</v>
      </c>
      <c r="H146" s="452">
        <v>2022</v>
      </c>
      <c r="I146" s="176">
        <v>2050</v>
      </c>
      <c r="J146" s="24" t="s">
        <v>1248</v>
      </c>
      <c r="K146" s="308" t="s">
        <v>1249</v>
      </c>
      <c r="L146" s="293" t="s">
        <v>360</v>
      </c>
      <c r="M146" s="293" t="s">
        <v>131</v>
      </c>
      <c r="N146" s="293" t="s">
        <v>3</v>
      </c>
      <c r="O146" s="293" t="s">
        <v>3</v>
      </c>
      <c r="P146" s="293" t="s">
        <v>3</v>
      </c>
      <c r="Q146" s="293" t="s">
        <v>131</v>
      </c>
      <c r="R146" s="309" t="s">
        <v>3</v>
      </c>
      <c r="S146" s="293" t="s">
        <v>131</v>
      </c>
      <c r="T146" s="307" t="s">
        <v>1233</v>
      </c>
      <c r="U146" s="307" t="s">
        <v>1233</v>
      </c>
      <c r="V146" s="307" t="s">
        <v>3</v>
      </c>
      <c r="W146" s="307" t="s">
        <v>3</v>
      </c>
      <c r="X146" s="307" t="s">
        <v>3</v>
      </c>
      <c r="Y146" s="354" t="s">
        <v>3</v>
      </c>
      <c r="Z146" s="293">
        <v>11.4</v>
      </c>
      <c r="AA146" s="307">
        <v>3.8</v>
      </c>
      <c r="AB146" s="307">
        <v>1.3</v>
      </c>
      <c r="AC146" s="307" t="s">
        <v>3</v>
      </c>
      <c r="AD146" s="307" t="s">
        <v>3</v>
      </c>
      <c r="AE146" s="307" t="s">
        <v>3</v>
      </c>
      <c r="AF146" s="298" t="s">
        <v>3</v>
      </c>
      <c r="AG146" s="322" t="s">
        <v>3</v>
      </c>
      <c r="AH146" s="322" t="s">
        <v>3</v>
      </c>
      <c r="AI146" s="322" t="s">
        <v>1234</v>
      </c>
      <c r="AJ146" s="312" t="s">
        <v>1234</v>
      </c>
      <c r="AK146" s="308" t="s">
        <v>1250</v>
      </c>
      <c r="AL146" s="22" t="s">
        <v>1251</v>
      </c>
      <c r="AM146" s="115" t="s">
        <v>131</v>
      </c>
      <c r="AN146" s="115" t="s">
        <v>3</v>
      </c>
      <c r="AO146" s="115" t="s">
        <v>3</v>
      </c>
      <c r="AP146" s="115" t="s">
        <v>3</v>
      </c>
      <c r="AQ146" s="115" t="s">
        <v>3</v>
      </c>
      <c r="AR146" s="116" t="s">
        <v>3</v>
      </c>
      <c r="AS146" s="117">
        <f t="shared" si="2"/>
        <v>1</v>
      </c>
      <c r="AT146" s="30" t="s">
        <v>203</v>
      </c>
      <c r="AU146" s="302">
        <v>35954</v>
      </c>
      <c r="AV146" s="302">
        <v>36224</v>
      </c>
      <c r="AW146" s="120">
        <v>42482</v>
      </c>
      <c r="AX146" s="120">
        <v>42634</v>
      </c>
      <c r="AY146" s="302">
        <v>42479</v>
      </c>
      <c r="AZ146" s="305" t="s">
        <v>681</v>
      </c>
      <c r="BA146" s="302">
        <v>44193</v>
      </c>
      <c r="BB146" s="603" t="s">
        <v>2145</v>
      </c>
      <c r="BC146" s="394" t="s">
        <v>3</v>
      </c>
      <c r="BD146" s="394" t="s">
        <v>3</v>
      </c>
      <c r="BE146" s="177" t="s">
        <v>898</v>
      </c>
      <c r="BF146" s="404" t="s">
        <v>860</v>
      </c>
      <c r="BG146" s="396" t="s">
        <v>3</v>
      </c>
      <c r="BH146" s="394" t="s">
        <v>3</v>
      </c>
      <c r="BI146" s="440">
        <v>2021</v>
      </c>
      <c r="BJ146" s="448">
        <v>2</v>
      </c>
      <c r="BK146"/>
      <c r="BM146"/>
    </row>
    <row r="147" spans="1:65" ht="229.05" customHeight="1">
      <c r="A147" s="32" t="s">
        <v>1110</v>
      </c>
      <c r="B147" s="97" t="s">
        <v>25</v>
      </c>
      <c r="C147" s="293" t="s">
        <v>186</v>
      </c>
      <c r="D147" s="318" t="s">
        <v>1208</v>
      </c>
      <c r="E147" s="293" t="s">
        <v>1227</v>
      </c>
      <c r="F147" s="293">
        <v>2030</v>
      </c>
      <c r="G147" s="230" t="s">
        <v>3</v>
      </c>
      <c r="H147" s="176">
        <v>2020</v>
      </c>
      <c r="I147" s="176">
        <v>2030</v>
      </c>
      <c r="J147" s="22" t="s">
        <v>1228</v>
      </c>
      <c r="K147" s="314" t="s">
        <v>1210</v>
      </c>
      <c r="L147" s="30" t="s">
        <v>360</v>
      </c>
      <c r="M147" s="30" t="s">
        <v>131</v>
      </c>
      <c r="N147" s="30" t="s">
        <v>3</v>
      </c>
      <c r="O147" s="30" t="s">
        <v>131</v>
      </c>
      <c r="P147" s="30" t="s">
        <v>3</v>
      </c>
      <c r="Q147" s="30" t="s">
        <v>131</v>
      </c>
      <c r="R147" s="315" t="s">
        <v>3</v>
      </c>
      <c r="S147" s="293" t="s">
        <v>131</v>
      </c>
      <c r="T147" s="293" t="s">
        <v>1207</v>
      </c>
      <c r="U147" s="293" t="s">
        <v>3</v>
      </c>
      <c r="V147" s="293" t="s">
        <v>3</v>
      </c>
      <c r="W147" s="293" t="s">
        <v>3</v>
      </c>
      <c r="X147" s="293" t="s">
        <v>3</v>
      </c>
      <c r="Y147" s="310" t="s">
        <v>3</v>
      </c>
      <c r="Z147" s="293" t="s">
        <v>452</v>
      </c>
      <c r="AA147" s="293" t="s">
        <v>452</v>
      </c>
      <c r="AB147" s="293" t="s">
        <v>452</v>
      </c>
      <c r="AC147" s="293" t="s">
        <v>452</v>
      </c>
      <c r="AD147" s="293" t="s">
        <v>452</v>
      </c>
      <c r="AE147" s="293" t="s">
        <v>452</v>
      </c>
      <c r="AF147" s="298" t="s">
        <v>3</v>
      </c>
      <c r="AG147" s="322" t="s">
        <v>3</v>
      </c>
      <c r="AH147" s="322" t="s">
        <v>3</v>
      </c>
      <c r="AI147" s="322" t="s">
        <v>3</v>
      </c>
      <c r="AJ147" s="316" t="s">
        <v>3</v>
      </c>
      <c r="AK147" s="314" t="s">
        <v>1211</v>
      </c>
      <c r="AL147" s="22" t="s">
        <v>1212</v>
      </c>
      <c r="AM147" s="115" t="s">
        <v>3</v>
      </c>
      <c r="AN147" s="115" t="s">
        <v>3</v>
      </c>
      <c r="AO147" s="115" t="s">
        <v>3</v>
      </c>
      <c r="AP147" s="115" t="s">
        <v>3</v>
      </c>
      <c r="AQ147" s="115" t="s">
        <v>3</v>
      </c>
      <c r="AR147" s="116" t="s">
        <v>3</v>
      </c>
      <c r="AS147" s="117" t="str">
        <f t="shared" si="2"/>
        <v/>
      </c>
      <c r="AT147" s="30" t="s">
        <v>203</v>
      </c>
      <c r="AU147" s="302">
        <v>36221</v>
      </c>
      <c r="AV147" s="302">
        <v>37343</v>
      </c>
      <c r="AW147" s="120">
        <v>42482</v>
      </c>
      <c r="AX147" s="120">
        <v>42634</v>
      </c>
      <c r="AY147" s="302">
        <v>42277</v>
      </c>
      <c r="AZ147" s="317" t="s">
        <v>754</v>
      </c>
      <c r="BA147" s="302">
        <v>42453</v>
      </c>
      <c r="BB147" s="608" t="s">
        <v>3</v>
      </c>
      <c r="BC147" s="321">
        <v>44181</v>
      </c>
      <c r="BD147" s="486" t="s">
        <v>2144</v>
      </c>
      <c r="BE147" s="177" t="s">
        <v>899</v>
      </c>
      <c r="BF147" s="404" t="s">
        <v>424</v>
      </c>
      <c r="BG147" s="396" t="s">
        <v>3</v>
      </c>
      <c r="BH147" s="394" t="s">
        <v>3</v>
      </c>
      <c r="BI147" s="440">
        <v>2022</v>
      </c>
      <c r="BJ147" s="448">
        <v>2</v>
      </c>
      <c r="BK147"/>
      <c r="BM147"/>
    </row>
    <row r="148" spans="1:65" ht="103.5" customHeight="1">
      <c r="A148" s="32" t="s">
        <v>1443</v>
      </c>
      <c r="B148" s="95" t="s">
        <v>181</v>
      </c>
      <c r="C148" s="293" t="s">
        <v>185</v>
      </c>
      <c r="D148" s="293" t="s">
        <v>1047</v>
      </c>
      <c r="E148" s="307" t="s">
        <v>1</v>
      </c>
      <c r="F148" s="307">
        <v>2030</v>
      </c>
      <c r="G148" s="230" t="s">
        <v>3</v>
      </c>
      <c r="H148" s="176">
        <v>2014</v>
      </c>
      <c r="I148" s="176">
        <v>2030</v>
      </c>
      <c r="J148" s="24" t="s">
        <v>1439</v>
      </c>
      <c r="K148" s="308" t="s">
        <v>1440</v>
      </c>
      <c r="L148" s="293" t="s">
        <v>360</v>
      </c>
      <c r="M148" s="293" t="s">
        <v>131</v>
      </c>
      <c r="N148" s="293" t="s">
        <v>131</v>
      </c>
      <c r="O148" s="293" t="s">
        <v>131</v>
      </c>
      <c r="P148" s="293" t="s">
        <v>131</v>
      </c>
      <c r="Q148" s="293" t="s">
        <v>131</v>
      </c>
      <c r="R148" s="309" t="s">
        <v>131</v>
      </c>
      <c r="S148" s="293" t="s">
        <v>131</v>
      </c>
      <c r="T148" s="293" t="s">
        <v>131</v>
      </c>
      <c r="U148" s="293" t="s">
        <v>131</v>
      </c>
      <c r="V148" s="293" t="s">
        <v>131</v>
      </c>
      <c r="W148" s="293" t="s">
        <v>131</v>
      </c>
      <c r="X148" s="293" t="s">
        <v>131</v>
      </c>
      <c r="Y148" s="310" t="s">
        <v>3</v>
      </c>
      <c r="Z148" s="293">
        <v>6.3</v>
      </c>
      <c r="AA148" s="293">
        <v>25.3</v>
      </c>
      <c r="AB148" s="293">
        <v>9.4</v>
      </c>
      <c r="AC148" s="293" t="s">
        <v>3</v>
      </c>
      <c r="AD148" s="293" t="s">
        <v>3</v>
      </c>
      <c r="AE148" s="293" t="s">
        <v>3</v>
      </c>
      <c r="AF148" s="298" t="s">
        <v>3</v>
      </c>
      <c r="AG148" s="322" t="s">
        <v>3</v>
      </c>
      <c r="AH148" s="339" t="s">
        <v>3</v>
      </c>
      <c r="AI148" s="339" t="s">
        <v>3</v>
      </c>
      <c r="AJ148" s="312" t="s">
        <v>3</v>
      </c>
      <c r="AK148" s="308" t="s">
        <v>3</v>
      </c>
      <c r="AL148" s="22" t="s">
        <v>1441</v>
      </c>
      <c r="AM148" s="115" t="s">
        <v>1442</v>
      </c>
      <c r="AN148" s="115" t="s">
        <v>3</v>
      </c>
      <c r="AO148" s="115" t="s">
        <v>3</v>
      </c>
      <c r="AP148" s="115" t="s">
        <v>3</v>
      </c>
      <c r="AQ148" s="115" t="s">
        <v>3</v>
      </c>
      <c r="AR148" s="116" t="s">
        <v>3</v>
      </c>
      <c r="AS148" s="117">
        <f t="shared" si="2"/>
        <v>1</v>
      </c>
      <c r="AT148" s="30" t="s">
        <v>203</v>
      </c>
      <c r="AU148" s="302">
        <v>36032</v>
      </c>
      <c r="AV148" s="302">
        <v>36399</v>
      </c>
      <c r="AW148" s="120">
        <v>42482</v>
      </c>
      <c r="AX148" s="120">
        <v>42657</v>
      </c>
      <c r="AY148" s="302">
        <v>42278</v>
      </c>
      <c r="AZ148" s="317" t="s">
        <v>743</v>
      </c>
      <c r="BA148" s="321">
        <v>44393</v>
      </c>
      <c r="BB148" s="603" t="s">
        <v>2143</v>
      </c>
      <c r="BC148" s="394" t="s">
        <v>1993</v>
      </c>
      <c r="BD148" s="402" t="s">
        <v>3</v>
      </c>
      <c r="BE148" s="177" t="s">
        <v>898</v>
      </c>
      <c r="BF148" s="404" t="s">
        <v>860</v>
      </c>
      <c r="BG148" s="396" t="s">
        <v>3</v>
      </c>
      <c r="BH148" s="394" t="s">
        <v>3</v>
      </c>
      <c r="BI148" s="440">
        <v>2021</v>
      </c>
      <c r="BJ148" s="448">
        <v>3</v>
      </c>
      <c r="BK148" s="283"/>
      <c r="BM148"/>
    </row>
    <row r="149" spans="1:65" ht="145.94999999999999" customHeight="1">
      <c r="A149" s="32" t="s">
        <v>656</v>
      </c>
      <c r="B149" s="95" t="s">
        <v>181</v>
      </c>
      <c r="C149" s="293" t="s">
        <v>1213</v>
      </c>
      <c r="D149" s="293" t="s">
        <v>1214</v>
      </c>
      <c r="E149" s="307" t="s">
        <v>1215</v>
      </c>
      <c r="F149" s="307">
        <v>2030</v>
      </c>
      <c r="G149" s="230" t="s">
        <v>3</v>
      </c>
      <c r="H149" s="176">
        <v>2021</v>
      </c>
      <c r="I149" s="176">
        <v>2030</v>
      </c>
      <c r="J149" s="24" t="s">
        <v>1216</v>
      </c>
      <c r="K149" s="308" t="s">
        <v>1217</v>
      </c>
      <c r="L149" s="293" t="s">
        <v>360</v>
      </c>
      <c r="M149" s="293" t="s">
        <v>131</v>
      </c>
      <c r="N149" s="293" t="s">
        <v>131</v>
      </c>
      <c r="O149" s="293" t="s">
        <v>1218</v>
      </c>
      <c r="P149" s="293" t="s">
        <v>131</v>
      </c>
      <c r="Q149" s="293" t="s">
        <v>131</v>
      </c>
      <c r="R149" s="309" t="s">
        <v>131</v>
      </c>
      <c r="S149" s="293" t="s">
        <v>131</v>
      </c>
      <c r="T149" s="293" t="s">
        <v>131</v>
      </c>
      <c r="U149" s="293" t="s">
        <v>131</v>
      </c>
      <c r="V149" s="293" t="s">
        <v>1218</v>
      </c>
      <c r="W149" s="293" t="s">
        <v>1218</v>
      </c>
      <c r="X149" s="293" t="s">
        <v>1218</v>
      </c>
      <c r="Y149" s="310" t="s">
        <v>3</v>
      </c>
      <c r="Z149" s="293">
        <v>54.6</v>
      </c>
      <c r="AA149" s="293">
        <v>26.8</v>
      </c>
      <c r="AB149" s="293">
        <v>7</v>
      </c>
      <c r="AC149" s="293">
        <v>0.5</v>
      </c>
      <c r="AD149" s="293" t="s">
        <v>3</v>
      </c>
      <c r="AE149" s="293" t="s">
        <v>3</v>
      </c>
      <c r="AF149" s="298" t="s">
        <v>3</v>
      </c>
      <c r="AG149" s="322" t="s">
        <v>3</v>
      </c>
      <c r="AH149" s="322" t="s">
        <v>3</v>
      </c>
      <c r="AI149" s="322" t="s">
        <v>3</v>
      </c>
      <c r="AJ149" s="312" t="s">
        <v>3</v>
      </c>
      <c r="AK149" s="308" t="s">
        <v>3</v>
      </c>
      <c r="AL149" s="22" t="s">
        <v>1219</v>
      </c>
      <c r="AM149" s="115" t="s">
        <v>131</v>
      </c>
      <c r="AN149" s="115" t="s">
        <v>3</v>
      </c>
      <c r="AO149" s="115" t="s">
        <v>1218</v>
      </c>
      <c r="AP149" s="115" t="s">
        <v>3</v>
      </c>
      <c r="AQ149" s="115" t="s">
        <v>3</v>
      </c>
      <c r="AR149" s="116" t="s">
        <v>3</v>
      </c>
      <c r="AS149" s="117">
        <f t="shared" si="2"/>
        <v>1</v>
      </c>
      <c r="AT149" s="30" t="s">
        <v>203</v>
      </c>
      <c r="AU149" s="302">
        <v>36112</v>
      </c>
      <c r="AV149" s="302">
        <v>37511</v>
      </c>
      <c r="AW149" s="120">
        <v>42482</v>
      </c>
      <c r="AX149" s="120">
        <v>42576</v>
      </c>
      <c r="AY149" s="302">
        <v>42275</v>
      </c>
      <c r="AZ149" s="305" t="s">
        <v>792</v>
      </c>
      <c r="BA149" s="469">
        <v>44184</v>
      </c>
      <c r="BB149" s="603" t="s">
        <v>2142</v>
      </c>
      <c r="BC149" s="394" t="s">
        <v>3</v>
      </c>
      <c r="BD149" s="402" t="s">
        <v>3</v>
      </c>
      <c r="BE149" s="177" t="s">
        <v>898</v>
      </c>
      <c r="BF149" s="404" t="s">
        <v>860</v>
      </c>
      <c r="BG149" s="396" t="s">
        <v>3</v>
      </c>
      <c r="BH149" s="394" t="s">
        <v>3</v>
      </c>
      <c r="BI149" s="440">
        <v>2019</v>
      </c>
      <c r="BJ149" s="448">
        <v>2</v>
      </c>
      <c r="BK149"/>
      <c r="BM149"/>
    </row>
    <row r="150" spans="1:65" ht="103.05" customHeight="1">
      <c r="A150" s="31" t="s">
        <v>655</v>
      </c>
      <c r="B150" s="90" t="s">
        <v>23</v>
      </c>
      <c r="C150" s="230" t="s">
        <v>1869</v>
      </c>
      <c r="D150" s="319" t="s">
        <v>1361</v>
      </c>
      <c r="E150" s="230" t="s">
        <v>1</v>
      </c>
      <c r="F150" s="230" t="s">
        <v>1871</v>
      </c>
      <c r="G150" s="230" t="s">
        <v>1870</v>
      </c>
      <c r="H150" s="452">
        <v>2020</v>
      </c>
      <c r="I150" s="452">
        <v>2030</v>
      </c>
      <c r="J150" s="320" t="s">
        <v>1363</v>
      </c>
      <c r="K150" s="314" t="s">
        <v>1364</v>
      </c>
      <c r="L150" s="30" t="s">
        <v>360</v>
      </c>
      <c r="M150" s="30" t="s">
        <v>131</v>
      </c>
      <c r="N150" s="30" t="s">
        <v>1365</v>
      </c>
      <c r="O150" s="30" t="s">
        <v>131</v>
      </c>
      <c r="P150" s="30" t="s">
        <v>131</v>
      </c>
      <c r="Q150" s="30" t="s">
        <v>1366</v>
      </c>
      <c r="R150" s="315" t="s">
        <v>131</v>
      </c>
      <c r="S150" s="30" t="s">
        <v>131</v>
      </c>
      <c r="T150" s="30" t="s">
        <v>1365</v>
      </c>
      <c r="U150" s="30" t="s">
        <v>1365</v>
      </c>
      <c r="V150" s="30" t="s">
        <v>1365</v>
      </c>
      <c r="W150" s="30" t="s">
        <v>1365</v>
      </c>
      <c r="X150" s="30" t="s">
        <v>3</v>
      </c>
      <c r="Y150" s="298" t="s">
        <v>3</v>
      </c>
      <c r="Z150" s="30">
        <v>114.5</v>
      </c>
      <c r="AA150" s="30">
        <v>70.900000000000006</v>
      </c>
      <c r="AB150" s="30">
        <v>15.3</v>
      </c>
      <c r="AC150" s="30" t="s">
        <v>3</v>
      </c>
      <c r="AD150" s="30" t="s">
        <v>3</v>
      </c>
      <c r="AE150" s="30">
        <v>0.4</v>
      </c>
      <c r="AF150" s="298" t="s">
        <v>3</v>
      </c>
      <c r="AG150" s="311" t="s">
        <v>3</v>
      </c>
      <c r="AH150" s="311" t="s">
        <v>3</v>
      </c>
      <c r="AI150" s="311" t="s">
        <v>3</v>
      </c>
      <c r="AJ150" s="316" t="s">
        <v>3</v>
      </c>
      <c r="AK150" s="308" t="s">
        <v>1367</v>
      </c>
      <c r="AL150" s="22" t="s">
        <v>1368</v>
      </c>
      <c r="AM150" s="115" t="s">
        <v>1365</v>
      </c>
      <c r="AN150" s="115" t="s">
        <v>1365</v>
      </c>
      <c r="AO150" s="115" t="s">
        <v>1365</v>
      </c>
      <c r="AP150" s="115" t="s">
        <v>3</v>
      </c>
      <c r="AQ150" s="115" t="s">
        <v>3</v>
      </c>
      <c r="AR150" s="116" t="s">
        <v>246</v>
      </c>
      <c r="AS150" s="117">
        <f t="shared" si="2"/>
        <v>1</v>
      </c>
      <c r="AT150" s="30" t="s">
        <v>203</v>
      </c>
      <c r="AU150" s="302">
        <v>35900</v>
      </c>
      <c r="AV150" s="302">
        <v>37945</v>
      </c>
      <c r="AW150" s="120">
        <v>42482</v>
      </c>
      <c r="AX150" s="120">
        <v>42817</v>
      </c>
      <c r="AY150" s="325">
        <v>42278</v>
      </c>
      <c r="AZ150" s="317" t="s">
        <v>750</v>
      </c>
      <c r="BA150" s="303">
        <v>44301</v>
      </c>
      <c r="BB150" s="603" t="s">
        <v>2141</v>
      </c>
      <c r="BC150" s="394" t="s">
        <v>3</v>
      </c>
      <c r="BD150" s="394" t="s">
        <v>3</v>
      </c>
      <c r="BE150" s="177" t="s">
        <v>914</v>
      </c>
      <c r="BF150" s="404" t="s">
        <v>424</v>
      </c>
      <c r="BG150" s="396" t="s">
        <v>3</v>
      </c>
      <c r="BH150" s="394" t="s">
        <v>3</v>
      </c>
      <c r="BI150" s="402" t="s">
        <v>3</v>
      </c>
      <c r="BJ150" s="403" t="s">
        <v>3</v>
      </c>
      <c r="BK150"/>
      <c r="BM150"/>
    </row>
    <row r="151" spans="1:65" ht="117.45" customHeight="1">
      <c r="A151" s="31" t="s">
        <v>616</v>
      </c>
      <c r="B151" s="203" t="s">
        <v>182</v>
      </c>
      <c r="C151" s="230" t="s">
        <v>1581</v>
      </c>
      <c r="D151" s="319">
        <v>0.25</v>
      </c>
      <c r="E151" s="230" t="s">
        <v>1580</v>
      </c>
      <c r="F151" s="230">
        <v>2030</v>
      </c>
      <c r="G151" s="230" t="s">
        <v>3</v>
      </c>
      <c r="H151" s="179">
        <v>2021</v>
      </c>
      <c r="I151" s="179">
        <v>2030</v>
      </c>
      <c r="J151" s="320" t="s">
        <v>1582</v>
      </c>
      <c r="K151" s="314" t="s">
        <v>1585</v>
      </c>
      <c r="L151" s="30" t="s">
        <v>1586</v>
      </c>
      <c r="M151" s="30" t="s">
        <v>131</v>
      </c>
      <c r="N151" s="30" t="s">
        <v>3</v>
      </c>
      <c r="O151" s="30" t="s">
        <v>1583</v>
      </c>
      <c r="P151" s="30" t="s">
        <v>1583</v>
      </c>
      <c r="Q151" s="30" t="s">
        <v>3</v>
      </c>
      <c r="R151" s="315" t="s">
        <v>3</v>
      </c>
      <c r="S151" s="30" t="s">
        <v>1583</v>
      </c>
      <c r="T151" s="30" t="s">
        <v>1583</v>
      </c>
      <c r="U151" s="30" t="s">
        <v>1583</v>
      </c>
      <c r="V151" s="30" t="s">
        <v>3</v>
      </c>
      <c r="W151" s="30" t="s">
        <v>3</v>
      </c>
      <c r="X151" s="30" t="s">
        <v>3</v>
      </c>
      <c r="Y151" s="298" t="s">
        <v>3</v>
      </c>
      <c r="Z151" s="30">
        <v>92.6</v>
      </c>
      <c r="AA151" s="30">
        <v>71.7</v>
      </c>
      <c r="AB151" s="30">
        <v>0.6</v>
      </c>
      <c r="AC151" s="30" t="s">
        <v>3</v>
      </c>
      <c r="AD151" s="30" t="s">
        <v>3</v>
      </c>
      <c r="AE151" s="30" t="s">
        <v>3</v>
      </c>
      <c r="AF151" s="298" t="s">
        <v>3</v>
      </c>
      <c r="AG151" s="311" t="s">
        <v>3</v>
      </c>
      <c r="AH151" s="311" t="s">
        <v>3</v>
      </c>
      <c r="AI151" s="311" t="s">
        <v>3</v>
      </c>
      <c r="AJ151" s="316" t="s">
        <v>3</v>
      </c>
      <c r="AK151" s="314" t="s">
        <v>1580</v>
      </c>
      <c r="AL151" s="22" t="s">
        <v>1584</v>
      </c>
      <c r="AM151" s="115" t="s">
        <v>3</v>
      </c>
      <c r="AN151" s="115" t="s">
        <v>3</v>
      </c>
      <c r="AO151" s="115" t="s">
        <v>3</v>
      </c>
      <c r="AP151" s="115" t="s">
        <v>3</v>
      </c>
      <c r="AQ151" s="115" t="s">
        <v>3</v>
      </c>
      <c r="AR151" s="116" t="s">
        <v>3</v>
      </c>
      <c r="AS151" s="117" t="str">
        <f t="shared" si="2"/>
        <v/>
      </c>
      <c r="AT151" s="30" t="s">
        <v>203</v>
      </c>
      <c r="AU151" s="302" t="s">
        <v>3</v>
      </c>
      <c r="AV151" s="302">
        <v>38363</v>
      </c>
      <c r="AW151" s="120">
        <v>42482</v>
      </c>
      <c r="AX151" s="120">
        <v>42909</v>
      </c>
      <c r="AY151" s="324">
        <v>42328</v>
      </c>
      <c r="AZ151" s="317" t="s">
        <v>707</v>
      </c>
      <c r="BA151" s="321">
        <v>44432</v>
      </c>
      <c r="BB151" s="603" t="s">
        <v>2140</v>
      </c>
      <c r="BC151" s="394" t="s">
        <v>3</v>
      </c>
      <c r="BD151" s="394" t="s">
        <v>3</v>
      </c>
      <c r="BE151" s="177" t="s">
        <v>904</v>
      </c>
      <c r="BF151" s="404" t="s">
        <v>471</v>
      </c>
      <c r="BG151" s="396" t="s">
        <v>3</v>
      </c>
      <c r="BH151" s="394" t="s">
        <v>3</v>
      </c>
      <c r="BI151" s="402" t="s">
        <v>3</v>
      </c>
      <c r="BJ151" s="403" t="s">
        <v>3</v>
      </c>
      <c r="BK151"/>
      <c r="BM151"/>
    </row>
    <row r="152" spans="1:65" ht="142.94999999999999" customHeight="1">
      <c r="A152" s="31" t="s">
        <v>2170</v>
      </c>
      <c r="B152" s="90" t="s">
        <v>23</v>
      </c>
      <c r="C152" s="230" t="s">
        <v>1229</v>
      </c>
      <c r="D152" s="431">
        <v>0.4</v>
      </c>
      <c r="E152" s="230">
        <v>2018</v>
      </c>
      <c r="F152" s="230">
        <v>2030</v>
      </c>
      <c r="G152" s="230" t="s">
        <v>3</v>
      </c>
      <c r="H152" s="452">
        <v>2021</v>
      </c>
      <c r="I152" s="452">
        <v>2030</v>
      </c>
      <c r="J152" s="320" t="s">
        <v>1834</v>
      </c>
      <c r="K152" s="314" t="s">
        <v>1835</v>
      </c>
      <c r="L152" s="30" t="s">
        <v>360</v>
      </c>
      <c r="M152" s="30" t="s">
        <v>131</v>
      </c>
      <c r="N152" s="30" t="s">
        <v>131</v>
      </c>
      <c r="O152" s="30" t="s">
        <v>131</v>
      </c>
      <c r="P152" s="30" t="s">
        <v>131</v>
      </c>
      <c r="Q152" s="30" t="s">
        <v>1836</v>
      </c>
      <c r="R152" s="315" t="s">
        <v>131</v>
      </c>
      <c r="S152" s="30" t="s">
        <v>131</v>
      </c>
      <c r="T152" s="30" t="s">
        <v>131</v>
      </c>
      <c r="U152" s="30" t="s">
        <v>131</v>
      </c>
      <c r="V152" s="30" t="s">
        <v>131</v>
      </c>
      <c r="W152" s="30" t="s">
        <v>131</v>
      </c>
      <c r="X152" s="30" t="s">
        <v>131</v>
      </c>
      <c r="Y152" s="298" t="s">
        <v>3</v>
      </c>
      <c r="Z152" s="30">
        <v>634.70000000000005</v>
      </c>
      <c r="AA152" s="30">
        <v>35.799999999999997</v>
      </c>
      <c r="AB152" s="30">
        <v>12.5</v>
      </c>
      <c r="AC152" s="30">
        <v>3.3</v>
      </c>
      <c r="AD152" s="30">
        <v>1.4</v>
      </c>
      <c r="AE152" s="30">
        <v>6.6</v>
      </c>
      <c r="AF152" s="298" t="s">
        <v>3</v>
      </c>
      <c r="AG152" s="311" t="s">
        <v>3</v>
      </c>
      <c r="AH152" s="311" t="s">
        <v>3</v>
      </c>
      <c r="AI152" s="311" t="s">
        <v>3</v>
      </c>
      <c r="AJ152" s="316" t="s">
        <v>3</v>
      </c>
      <c r="AK152" s="314" t="s">
        <v>3</v>
      </c>
      <c r="AL152" s="22" t="s">
        <v>1232</v>
      </c>
      <c r="AM152" s="115" t="s">
        <v>131</v>
      </c>
      <c r="AN152" s="115" t="s">
        <v>3</v>
      </c>
      <c r="AO152" s="115" t="s">
        <v>3</v>
      </c>
      <c r="AP152" s="115" t="s">
        <v>1233</v>
      </c>
      <c r="AQ152" s="115" t="s">
        <v>3</v>
      </c>
      <c r="AR152" s="116" t="s">
        <v>3</v>
      </c>
      <c r="AS152" s="117">
        <f t="shared" si="2"/>
        <v>1</v>
      </c>
      <c r="AT152" s="30" t="s">
        <v>203</v>
      </c>
      <c r="AU152" s="302">
        <v>36063</v>
      </c>
      <c r="AV152" s="302">
        <v>37568</v>
      </c>
      <c r="AW152" s="120">
        <v>42482</v>
      </c>
      <c r="AX152" s="120">
        <v>42677</v>
      </c>
      <c r="AY152" s="302">
        <v>42185</v>
      </c>
      <c r="AZ152" s="305" t="s">
        <v>832</v>
      </c>
      <c r="BA152" s="302">
        <v>44553</v>
      </c>
      <c r="BB152" s="603" t="s">
        <v>2091</v>
      </c>
      <c r="BC152" s="394" t="s">
        <v>3</v>
      </c>
      <c r="BD152" s="402" t="s">
        <v>3</v>
      </c>
      <c r="BE152" s="177" t="s">
        <v>899</v>
      </c>
      <c r="BF152" s="404" t="s">
        <v>424</v>
      </c>
      <c r="BG152" s="396" t="s">
        <v>3</v>
      </c>
      <c r="BH152" s="394" t="s">
        <v>3</v>
      </c>
      <c r="BI152" s="440">
        <v>2021</v>
      </c>
      <c r="BJ152" s="447">
        <v>4</v>
      </c>
      <c r="BK152"/>
      <c r="BM152"/>
    </row>
    <row r="153" spans="1:65" ht="132" customHeight="1">
      <c r="A153" s="32" t="s">
        <v>2169</v>
      </c>
      <c r="B153" s="93" t="s">
        <v>183</v>
      </c>
      <c r="C153" s="293" t="s">
        <v>186</v>
      </c>
      <c r="D153" s="293" t="s">
        <v>1041</v>
      </c>
      <c r="E153" s="307">
        <v>1990</v>
      </c>
      <c r="F153" s="307">
        <v>2030</v>
      </c>
      <c r="G153" s="230" t="s">
        <v>3</v>
      </c>
      <c r="H153" s="177">
        <v>2021</v>
      </c>
      <c r="I153" s="177">
        <v>2030</v>
      </c>
      <c r="J153" s="24" t="s">
        <v>933</v>
      </c>
      <c r="K153" s="308" t="s">
        <v>934</v>
      </c>
      <c r="L153" s="293" t="s">
        <v>360</v>
      </c>
      <c r="M153" s="293" t="s">
        <v>131</v>
      </c>
      <c r="N153" s="293" t="s">
        <v>131</v>
      </c>
      <c r="O153" s="293" t="s">
        <v>131</v>
      </c>
      <c r="P153" s="293" t="s">
        <v>131</v>
      </c>
      <c r="Q153" s="293" t="s">
        <v>131</v>
      </c>
      <c r="R153" s="309" t="s">
        <v>131</v>
      </c>
      <c r="S153" s="293" t="s">
        <v>131</v>
      </c>
      <c r="T153" s="293" t="s">
        <v>131</v>
      </c>
      <c r="U153" s="293" t="s">
        <v>131</v>
      </c>
      <c r="V153" s="293" t="s">
        <v>131</v>
      </c>
      <c r="W153" s="293" t="s">
        <v>131</v>
      </c>
      <c r="X153" s="293" t="s">
        <v>131</v>
      </c>
      <c r="Y153" s="310" t="s">
        <v>131</v>
      </c>
      <c r="Z153" s="293">
        <v>8</v>
      </c>
      <c r="AA153" s="293">
        <v>1.8</v>
      </c>
      <c r="AB153" s="293">
        <v>0.8</v>
      </c>
      <c r="AC153" s="293">
        <v>0</v>
      </c>
      <c r="AD153" s="293" t="s">
        <v>3</v>
      </c>
      <c r="AE153" s="293" t="s">
        <v>3</v>
      </c>
      <c r="AF153" s="298" t="s">
        <v>3</v>
      </c>
      <c r="AG153" s="322" t="s">
        <v>935</v>
      </c>
      <c r="AH153" s="322">
        <v>4.22</v>
      </c>
      <c r="AI153" s="322">
        <v>9.2200000000000006</v>
      </c>
      <c r="AJ153" s="312" t="s">
        <v>110</v>
      </c>
      <c r="AK153" s="308" t="s">
        <v>936</v>
      </c>
      <c r="AL153" s="22" t="s">
        <v>937</v>
      </c>
      <c r="AM153" s="115" t="s">
        <v>131</v>
      </c>
      <c r="AN153" s="115" t="s">
        <v>131</v>
      </c>
      <c r="AO153" s="115" t="s">
        <v>131</v>
      </c>
      <c r="AP153" s="117" t="s">
        <v>3</v>
      </c>
      <c r="AQ153" s="115" t="s">
        <v>131</v>
      </c>
      <c r="AR153" s="300" t="s">
        <v>3</v>
      </c>
      <c r="AS153" s="117">
        <f t="shared" si="2"/>
        <v>1</v>
      </c>
      <c r="AT153" s="30" t="s">
        <v>203</v>
      </c>
      <c r="AU153" s="302" t="s">
        <v>3</v>
      </c>
      <c r="AV153" s="302">
        <v>37733</v>
      </c>
      <c r="AW153" s="120">
        <v>42481</v>
      </c>
      <c r="AX153" s="120">
        <v>42906</v>
      </c>
      <c r="AY153" s="302">
        <v>42272</v>
      </c>
      <c r="AZ153" s="305" t="s">
        <v>801</v>
      </c>
      <c r="BA153" s="321">
        <v>43894</v>
      </c>
      <c r="BB153" s="603" t="s">
        <v>2156</v>
      </c>
      <c r="BC153" s="394" t="s">
        <v>3</v>
      </c>
      <c r="BD153" s="394" t="s">
        <v>3</v>
      </c>
      <c r="BE153" s="177" t="s">
        <v>899</v>
      </c>
      <c r="BF153" s="404" t="s">
        <v>424</v>
      </c>
      <c r="BG153" s="396" t="s">
        <v>3</v>
      </c>
      <c r="BH153" s="394" t="s">
        <v>3</v>
      </c>
      <c r="BI153" s="440">
        <v>2021</v>
      </c>
      <c r="BJ153" s="448">
        <v>3</v>
      </c>
      <c r="BK153"/>
      <c r="BM153"/>
    </row>
    <row r="154" spans="1:65" ht="131.25" customHeight="1">
      <c r="A154" s="32" t="s">
        <v>617</v>
      </c>
      <c r="B154" s="93" t="s">
        <v>183</v>
      </c>
      <c r="C154" s="293" t="s">
        <v>186</v>
      </c>
      <c r="D154" s="318">
        <v>0.3</v>
      </c>
      <c r="E154" s="307">
        <v>1990</v>
      </c>
      <c r="F154" s="307">
        <v>2030</v>
      </c>
      <c r="G154" s="230" t="s">
        <v>3</v>
      </c>
      <c r="H154" s="412">
        <v>2021</v>
      </c>
      <c r="I154" s="412">
        <v>2030</v>
      </c>
      <c r="J154" s="24" t="s">
        <v>1181</v>
      </c>
      <c r="K154" s="308" t="s">
        <v>1170</v>
      </c>
      <c r="L154" s="293" t="s">
        <v>360</v>
      </c>
      <c r="M154" s="293" t="s">
        <v>131</v>
      </c>
      <c r="N154" s="293" t="s">
        <v>131</v>
      </c>
      <c r="O154" s="293" t="s">
        <v>131</v>
      </c>
      <c r="P154" s="293" t="s">
        <v>131</v>
      </c>
      <c r="Q154" s="293" t="s">
        <v>131</v>
      </c>
      <c r="R154" s="309" t="s">
        <v>131</v>
      </c>
      <c r="S154" s="293" t="s">
        <v>131</v>
      </c>
      <c r="T154" s="293" t="s">
        <v>131</v>
      </c>
      <c r="U154" s="293" t="s">
        <v>131</v>
      </c>
      <c r="V154" s="293" t="s">
        <v>131</v>
      </c>
      <c r="W154" s="293" t="s">
        <v>131</v>
      </c>
      <c r="X154" s="293" t="s">
        <v>131</v>
      </c>
      <c r="Y154" s="310" t="s">
        <v>131</v>
      </c>
      <c r="Z154" s="293">
        <v>1710.6</v>
      </c>
      <c r="AA154" s="293">
        <v>456</v>
      </c>
      <c r="AB154" s="293">
        <v>87.6</v>
      </c>
      <c r="AC154" s="293">
        <v>33.5</v>
      </c>
      <c r="AD154" s="293">
        <v>10.199999999999999</v>
      </c>
      <c r="AE154" s="293">
        <v>9.1</v>
      </c>
      <c r="AF154" s="298" t="s">
        <v>3</v>
      </c>
      <c r="AG154" s="322" t="s">
        <v>3</v>
      </c>
      <c r="AH154" s="322" t="s">
        <v>3</v>
      </c>
      <c r="AI154" s="322" t="s">
        <v>3</v>
      </c>
      <c r="AJ154" s="312" t="s">
        <v>3</v>
      </c>
      <c r="AK154" s="308" t="s">
        <v>3</v>
      </c>
      <c r="AL154" s="22" t="s">
        <v>1183</v>
      </c>
      <c r="AM154" s="115" t="s">
        <v>135</v>
      </c>
      <c r="AN154" s="115" t="s">
        <v>3</v>
      </c>
      <c r="AO154" s="115" t="s">
        <v>3</v>
      </c>
      <c r="AP154" s="115" t="s">
        <v>3</v>
      </c>
      <c r="AQ154" s="115" t="s">
        <v>3</v>
      </c>
      <c r="AR154" s="116" t="s">
        <v>3</v>
      </c>
      <c r="AS154" s="117">
        <f t="shared" si="2"/>
        <v>1</v>
      </c>
      <c r="AT154" s="30" t="s">
        <v>204</v>
      </c>
      <c r="AU154" s="302">
        <v>36230</v>
      </c>
      <c r="AV154" s="302">
        <v>38309</v>
      </c>
      <c r="AW154" s="120">
        <v>42482</v>
      </c>
      <c r="AX154" s="303">
        <v>44160</v>
      </c>
      <c r="AY154" s="302">
        <v>42095</v>
      </c>
      <c r="AZ154" s="317" t="s">
        <v>841</v>
      </c>
      <c r="BA154" s="303">
        <v>44160</v>
      </c>
      <c r="BB154" s="603" t="s">
        <v>2139</v>
      </c>
      <c r="BC154" s="394" t="s">
        <v>3</v>
      </c>
      <c r="BD154" s="394" t="s">
        <v>3</v>
      </c>
      <c r="BE154" s="177" t="s">
        <v>906</v>
      </c>
      <c r="BF154" s="404" t="s">
        <v>471</v>
      </c>
      <c r="BG154" s="397">
        <v>2017</v>
      </c>
      <c r="BH154" s="395">
        <v>3</v>
      </c>
      <c r="BI154" s="177" t="s">
        <v>3</v>
      </c>
      <c r="BJ154" s="446" t="s">
        <v>3</v>
      </c>
      <c r="BK154"/>
      <c r="BM154"/>
    </row>
    <row r="155" spans="1:65" ht="164.55" customHeight="1">
      <c r="A155" s="31" t="s">
        <v>618</v>
      </c>
      <c r="B155" s="92" t="s">
        <v>180</v>
      </c>
      <c r="C155" s="230" t="s">
        <v>977</v>
      </c>
      <c r="D155" s="230" t="s">
        <v>1048</v>
      </c>
      <c r="E155" s="337" t="s">
        <v>978</v>
      </c>
      <c r="F155" s="337">
        <v>2030</v>
      </c>
      <c r="G155" s="230" t="s">
        <v>3</v>
      </c>
      <c r="H155" s="173">
        <v>2015</v>
      </c>
      <c r="I155" s="173">
        <v>2030</v>
      </c>
      <c r="J155" s="46" t="s">
        <v>979</v>
      </c>
      <c r="K155" s="308" t="s">
        <v>980</v>
      </c>
      <c r="L155" s="293" t="s">
        <v>360</v>
      </c>
      <c r="M155" s="293" t="s">
        <v>131</v>
      </c>
      <c r="N155" s="293" t="s">
        <v>981</v>
      </c>
      <c r="O155" s="293" t="s">
        <v>131</v>
      </c>
      <c r="P155" s="293" t="s">
        <v>131</v>
      </c>
      <c r="Q155" s="293" t="s">
        <v>982</v>
      </c>
      <c r="R155" s="309" t="s">
        <v>131</v>
      </c>
      <c r="S155" s="293" t="s">
        <v>131</v>
      </c>
      <c r="T155" s="293" t="s">
        <v>131</v>
      </c>
      <c r="U155" s="293" t="s">
        <v>131</v>
      </c>
      <c r="V155" s="293" t="s">
        <v>981</v>
      </c>
      <c r="W155" s="293" t="s">
        <v>3</v>
      </c>
      <c r="X155" s="293" t="s">
        <v>3</v>
      </c>
      <c r="Y155" s="310" t="s">
        <v>3</v>
      </c>
      <c r="Z155" s="293" t="s">
        <v>424</v>
      </c>
      <c r="AA155" s="293" t="s">
        <v>452</v>
      </c>
      <c r="AB155" s="293" t="s">
        <v>452</v>
      </c>
      <c r="AC155" s="293" t="s">
        <v>452</v>
      </c>
      <c r="AD155" s="293" t="s">
        <v>452</v>
      </c>
      <c r="AE155" s="293" t="s">
        <v>452</v>
      </c>
      <c r="AF155" s="298" t="s">
        <v>3</v>
      </c>
      <c r="AG155" s="231">
        <v>5.6769999999999996</v>
      </c>
      <c r="AH155" s="231">
        <v>5.3639999999999999</v>
      </c>
      <c r="AI155" s="231">
        <v>11.04</v>
      </c>
      <c r="AJ155" s="312" t="s">
        <v>983</v>
      </c>
      <c r="AK155" s="308" t="s">
        <v>985</v>
      </c>
      <c r="AL155" s="22" t="s">
        <v>984</v>
      </c>
      <c r="AM155" s="115" t="s">
        <v>131</v>
      </c>
      <c r="AN155" s="115" t="s">
        <v>3</v>
      </c>
      <c r="AO155" s="115" t="s">
        <v>3</v>
      </c>
      <c r="AP155" s="115" t="s">
        <v>3</v>
      </c>
      <c r="AQ155" s="115" t="s">
        <v>131</v>
      </c>
      <c r="AR155" s="116" t="s">
        <v>3</v>
      </c>
      <c r="AS155" s="117">
        <f t="shared" si="2"/>
        <v>1</v>
      </c>
      <c r="AT155" s="30" t="s">
        <v>203</v>
      </c>
      <c r="AU155" s="302" t="s">
        <v>3</v>
      </c>
      <c r="AV155" s="302">
        <v>38190</v>
      </c>
      <c r="AW155" s="120">
        <v>42482</v>
      </c>
      <c r="AX155" s="120">
        <v>42649</v>
      </c>
      <c r="AY155" s="302">
        <v>42277</v>
      </c>
      <c r="AZ155" s="305" t="s">
        <v>689</v>
      </c>
      <c r="BA155" s="321">
        <v>43971</v>
      </c>
      <c r="BB155" s="603" t="s">
        <v>2138</v>
      </c>
      <c r="BC155" s="394" t="s">
        <v>3</v>
      </c>
      <c r="BD155" s="394" t="s">
        <v>3</v>
      </c>
      <c r="BE155" s="177" t="s">
        <v>899</v>
      </c>
      <c r="BF155" s="404" t="s">
        <v>424</v>
      </c>
      <c r="BG155" s="396" t="s">
        <v>3</v>
      </c>
      <c r="BH155" s="394" t="s">
        <v>3</v>
      </c>
      <c r="BI155" s="402">
        <v>2021</v>
      </c>
      <c r="BJ155" s="403">
        <v>1</v>
      </c>
      <c r="BK155"/>
      <c r="BM155"/>
    </row>
    <row r="156" spans="1:65" ht="103.5" customHeight="1">
      <c r="A156" s="32" t="s">
        <v>686</v>
      </c>
      <c r="B156" s="95" t="s">
        <v>181</v>
      </c>
      <c r="C156" s="293" t="s">
        <v>873</v>
      </c>
      <c r="D156" s="318">
        <v>0.61</v>
      </c>
      <c r="E156" s="307">
        <v>2010</v>
      </c>
      <c r="F156" s="293">
        <v>2030</v>
      </c>
      <c r="G156" s="230" t="s">
        <v>3</v>
      </c>
      <c r="H156" s="176">
        <v>2021</v>
      </c>
      <c r="I156" s="176">
        <v>2030</v>
      </c>
      <c r="J156" s="24" t="s">
        <v>1790</v>
      </c>
      <c r="K156" s="308" t="s">
        <v>1791</v>
      </c>
      <c r="L156" s="293" t="s">
        <v>360</v>
      </c>
      <c r="M156" s="293" t="s">
        <v>131</v>
      </c>
      <c r="N156" s="293" t="s">
        <v>131</v>
      </c>
      <c r="O156" s="293" t="s">
        <v>131</v>
      </c>
      <c r="P156" s="293" t="s">
        <v>131</v>
      </c>
      <c r="Q156" s="293" t="s">
        <v>131</v>
      </c>
      <c r="R156" s="309" t="s">
        <v>131</v>
      </c>
      <c r="S156" s="293" t="s">
        <v>131</v>
      </c>
      <c r="T156" s="293" t="s">
        <v>3</v>
      </c>
      <c r="U156" s="293" t="s">
        <v>3</v>
      </c>
      <c r="V156" s="293" t="s">
        <v>3</v>
      </c>
      <c r="W156" s="293" t="s">
        <v>3</v>
      </c>
      <c r="X156" s="293" t="s">
        <v>3</v>
      </c>
      <c r="Y156" s="310" t="s">
        <v>3</v>
      </c>
      <c r="Z156" s="293" t="s">
        <v>452</v>
      </c>
      <c r="AA156" s="293" t="s">
        <v>452</v>
      </c>
      <c r="AB156" s="293" t="s">
        <v>452</v>
      </c>
      <c r="AC156" s="293" t="s">
        <v>452</v>
      </c>
      <c r="AD156" s="293" t="s">
        <v>452</v>
      </c>
      <c r="AE156" s="293" t="s">
        <v>452</v>
      </c>
      <c r="AF156" s="298" t="s">
        <v>3</v>
      </c>
      <c r="AG156" s="322">
        <v>0.63700000000000001</v>
      </c>
      <c r="AH156" s="322">
        <v>0.127</v>
      </c>
      <c r="AI156" s="322">
        <f>AG156+AH156</f>
        <v>0.76400000000000001</v>
      </c>
      <c r="AJ156" s="312" t="s">
        <v>1793</v>
      </c>
      <c r="AK156" s="308" t="s">
        <v>3</v>
      </c>
      <c r="AL156" s="22" t="s">
        <v>1794</v>
      </c>
      <c r="AM156" s="115" t="s">
        <v>967</v>
      </c>
      <c r="AN156" s="115" t="s">
        <v>967</v>
      </c>
      <c r="AO156" s="115" t="s">
        <v>967</v>
      </c>
      <c r="AP156" s="117" t="s">
        <v>3</v>
      </c>
      <c r="AQ156" s="115" t="s">
        <v>1792</v>
      </c>
      <c r="AR156" s="300" t="s">
        <v>1792</v>
      </c>
      <c r="AS156" s="117">
        <f t="shared" si="2"/>
        <v>1</v>
      </c>
      <c r="AT156" s="30" t="s">
        <v>203</v>
      </c>
      <c r="AU156" s="302" t="s">
        <v>3</v>
      </c>
      <c r="AV156" s="302">
        <v>39546</v>
      </c>
      <c r="AW156" s="120">
        <v>42482</v>
      </c>
      <c r="AX156" s="120">
        <v>42482</v>
      </c>
      <c r="AY156" s="302">
        <v>42350</v>
      </c>
      <c r="AZ156" s="305" t="s">
        <v>687</v>
      </c>
      <c r="BA156" s="321">
        <v>44494</v>
      </c>
      <c r="BB156" s="603" t="s">
        <v>2137</v>
      </c>
      <c r="BC156" s="394" t="s">
        <v>3</v>
      </c>
      <c r="BD156" s="402" t="s">
        <v>3</v>
      </c>
      <c r="BE156" s="177" t="s">
        <v>899</v>
      </c>
      <c r="BF156" s="404" t="s">
        <v>424</v>
      </c>
      <c r="BG156" s="396" t="s">
        <v>3</v>
      </c>
      <c r="BH156" s="394" t="s">
        <v>3</v>
      </c>
      <c r="BI156" s="402" t="s">
        <v>3</v>
      </c>
      <c r="BJ156" s="403" t="s">
        <v>3</v>
      </c>
      <c r="BK156"/>
      <c r="BM156"/>
    </row>
    <row r="157" spans="1:65" ht="120" customHeight="1">
      <c r="A157" s="32" t="s">
        <v>619</v>
      </c>
      <c r="B157" s="95" t="s">
        <v>181</v>
      </c>
      <c r="C157" s="293" t="s">
        <v>1349</v>
      </c>
      <c r="D157" s="293" t="s">
        <v>1350</v>
      </c>
      <c r="E157" s="293">
        <v>2010</v>
      </c>
      <c r="F157" s="293">
        <v>2030</v>
      </c>
      <c r="G157" s="293" t="s">
        <v>1351</v>
      </c>
      <c r="H157" s="176" t="s">
        <v>424</v>
      </c>
      <c r="I157" s="177">
        <v>2030</v>
      </c>
      <c r="J157" s="24" t="s">
        <v>1353</v>
      </c>
      <c r="K157" s="308" t="s">
        <v>1354</v>
      </c>
      <c r="L157" s="293" t="s">
        <v>1352</v>
      </c>
      <c r="M157" s="293" t="s">
        <v>131</v>
      </c>
      <c r="N157" s="293" t="s">
        <v>3</v>
      </c>
      <c r="O157" s="293" t="s">
        <v>131</v>
      </c>
      <c r="P157" s="293" t="s">
        <v>3</v>
      </c>
      <c r="Q157" s="293" t="s">
        <v>3</v>
      </c>
      <c r="R157" s="309" t="s">
        <v>3</v>
      </c>
      <c r="S157" s="293" t="s">
        <v>131</v>
      </c>
      <c r="T157" s="293" t="s">
        <v>131</v>
      </c>
      <c r="U157" s="293" t="s">
        <v>131</v>
      </c>
      <c r="V157" s="293" t="s">
        <v>3</v>
      </c>
      <c r="W157" s="293" t="s">
        <v>3</v>
      </c>
      <c r="X157" s="293" t="s">
        <v>3</v>
      </c>
      <c r="Y157" s="310" t="s">
        <v>3</v>
      </c>
      <c r="Z157" s="293" t="s">
        <v>452</v>
      </c>
      <c r="AA157" s="293" t="s">
        <v>452</v>
      </c>
      <c r="AB157" s="293" t="s">
        <v>452</v>
      </c>
      <c r="AC157" s="293" t="s">
        <v>452</v>
      </c>
      <c r="AD157" s="293" t="s">
        <v>452</v>
      </c>
      <c r="AE157" s="293" t="s">
        <v>452</v>
      </c>
      <c r="AF157" s="298" t="s">
        <v>3</v>
      </c>
      <c r="AG157" s="322">
        <v>0.36799999999999999</v>
      </c>
      <c r="AH157" s="322" t="s">
        <v>3</v>
      </c>
      <c r="AI157" s="322">
        <f>AG157</f>
        <v>0.36799999999999999</v>
      </c>
      <c r="AJ157" s="312" t="s">
        <v>1355</v>
      </c>
      <c r="AK157" s="308" t="s">
        <v>3</v>
      </c>
      <c r="AL157" s="22" t="s">
        <v>1356</v>
      </c>
      <c r="AM157" s="115" t="s">
        <v>3</v>
      </c>
      <c r="AN157" s="115" t="s">
        <v>3</v>
      </c>
      <c r="AO157" s="115" t="s">
        <v>3</v>
      </c>
      <c r="AP157" s="117" t="s">
        <v>131</v>
      </c>
      <c r="AQ157" s="115" t="s">
        <v>3</v>
      </c>
      <c r="AR157" s="300" t="s">
        <v>3</v>
      </c>
      <c r="AS157" s="117">
        <f t="shared" si="2"/>
        <v>1</v>
      </c>
      <c r="AT157" s="30" t="s">
        <v>203</v>
      </c>
      <c r="AU157" s="302">
        <v>35870</v>
      </c>
      <c r="AV157" s="302">
        <v>37853</v>
      </c>
      <c r="AW157" s="120">
        <v>42482</v>
      </c>
      <c r="AX157" s="120">
        <v>42482</v>
      </c>
      <c r="AY157" s="302">
        <v>42326</v>
      </c>
      <c r="AZ157" s="305" t="s">
        <v>709</v>
      </c>
      <c r="BA157" s="321">
        <v>44223</v>
      </c>
      <c r="BB157" s="603" t="s">
        <v>2136</v>
      </c>
      <c r="BC157" s="394" t="s">
        <v>3</v>
      </c>
      <c r="BD157" s="402" t="s">
        <v>3</v>
      </c>
      <c r="BE157" s="177" t="s">
        <v>899</v>
      </c>
      <c r="BF157" s="404" t="s">
        <v>424</v>
      </c>
      <c r="BG157" s="396" t="s">
        <v>3</v>
      </c>
      <c r="BH157" s="394" t="s">
        <v>3</v>
      </c>
      <c r="BI157" s="402">
        <v>2021</v>
      </c>
      <c r="BJ157" s="403">
        <v>1</v>
      </c>
      <c r="BK157"/>
      <c r="BM157"/>
    </row>
    <row r="158" spans="1:65" ht="90" customHeight="1">
      <c r="A158" s="32" t="s">
        <v>620</v>
      </c>
      <c r="B158" s="95" t="s">
        <v>181</v>
      </c>
      <c r="C158" s="293" t="s">
        <v>185</v>
      </c>
      <c r="D158" s="318">
        <v>0.22</v>
      </c>
      <c r="E158" s="307" t="s">
        <v>1</v>
      </c>
      <c r="F158" s="307">
        <v>2025</v>
      </c>
      <c r="G158" s="230" t="s">
        <v>3</v>
      </c>
      <c r="H158" s="176" t="s">
        <v>424</v>
      </c>
      <c r="I158" s="177">
        <v>2025</v>
      </c>
      <c r="J158" s="24" t="s">
        <v>1143</v>
      </c>
      <c r="K158" s="308" t="s">
        <v>118</v>
      </c>
      <c r="L158" s="293" t="s">
        <v>360</v>
      </c>
      <c r="M158" s="293" t="s">
        <v>131</v>
      </c>
      <c r="N158" s="293" t="s">
        <v>131</v>
      </c>
      <c r="O158" s="293" t="s">
        <v>131</v>
      </c>
      <c r="P158" s="293" t="s">
        <v>131</v>
      </c>
      <c r="Q158" s="293" t="s">
        <v>131</v>
      </c>
      <c r="R158" s="309" t="s">
        <v>131</v>
      </c>
      <c r="S158" s="293" t="s">
        <v>131</v>
      </c>
      <c r="T158" s="293" t="s">
        <v>131</v>
      </c>
      <c r="U158" s="293" t="s">
        <v>131</v>
      </c>
      <c r="V158" s="293" t="s">
        <v>131</v>
      </c>
      <c r="W158" s="293" t="s">
        <v>3</v>
      </c>
      <c r="X158" s="293" t="s">
        <v>3</v>
      </c>
      <c r="Y158" s="310" t="s">
        <v>3</v>
      </c>
      <c r="Z158" s="293" t="s">
        <v>452</v>
      </c>
      <c r="AA158" s="293" t="s">
        <v>452</v>
      </c>
      <c r="AB158" s="293" t="s">
        <v>452</v>
      </c>
      <c r="AC158" s="293" t="s">
        <v>452</v>
      </c>
      <c r="AD158" s="293" t="s">
        <v>452</v>
      </c>
      <c r="AE158" s="293" t="s">
        <v>452</v>
      </c>
      <c r="AF158" s="298" t="s">
        <v>3</v>
      </c>
      <c r="AG158" s="322" t="s">
        <v>3</v>
      </c>
      <c r="AH158" s="322" t="s">
        <v>3</v>
      </c>
      <c r="AI158" s="322" t="s">
        <v>3</v>
      </c>
      <c r="AJ158" s="312" t="s">
        <v>3</v>
      </c>
      <c r="AK158" s="308" t="s">
        <v>3</v>
      </c>
      <c r="AL158" s="22" t="s">
        <v>400</v>
      </c>
      <c r="AM158" s="115" t="s">
        <v>131</v>
      </c>
      <c r="AN158" s="115" t="s">
        <v>131</v>
      </c>
      <c r="AO158" s="115" t="s">
        <v>131</v>
      </c>
      <c r="AP158" s="117" t="s">
        <v>3</v>
      </c>
      <c r="AQ158" s="115" t="s">
        <v>131</v>
      </c>
      <c r="AR158" s="300" t="s">
        <v>3</v>
      </c>
      <c r="AS158" s="117">
        <f t="shared" si="2"/>
        <v>1</v>
      </c>
      <c r="AT158" s="30" t="s">
        <v>203</v>
      </c>
      <c r="AU158" s="302">
        <v>35873</v>
      </c>
      <c r="AV158" s="302">
        <v>38352</v>
      </c>
      <c r="AW158" s="120">
        <v>42482</v>
      </c>
      <c r="AX158" s="120">
        <v>42550</v>
      </c>
      <c r="AY158" s="302">
        <v>42326</v>
      </c>
      <c r="AZ158" s="305" t="s">
        <v>710</v>
      </c>
      <c r="BA158" s="302">
        <v>42550</v>
      </c>
      <c r="BB158" s="603" t="s">
        <v>2135</v>
      </c>
      <c r="BC158" s="394" t="s">
        <v>3</v>
      </c>
      <c r="BD158" s="394" t="s">
        <v>3</v>
      </c>
      <c r="BE158" s="177" t="s">
        <v>899</v>
      </c>
      <c r="BF158" s="404" t="s">
        <v>424</v>
      </c>
      <c r="BG158" s="396" t="s">
        <v>3</v>
      </c>
      <c r="BH158" s="394" t="s">
        <v>3</v>
      </c>
      <c r="BI158" s="402" t="s">
        <v>3</v>
      </c>
      <c r="BJ158" s="403" t="s">
        <v>3</v>
      </c>
      <c r="BK158"/>
      <c r="BM158"/>
    </row>
    <row r="159" spans="1:65" ht="91.95" customHeight="1">
      <c r="A159" s="32" t="s">
        <v>621</v>
      </c>
      <c r="B159" s="97" t="s">
        <v>25</v>
      </c>
      <c r="C159" s="293" t="s">
        <v>873</v>
      </c>
      <c r="D159" s="318">
        <v>0.26</v>
      </c>
      <c r="E159" s="293">
        <v>2007</v>
      </c>
      <c r="F159" s="293">
        <v>2030</v>
      </c>
      <c r="G159" s="230" t="s">
        <v>3</v>
      </c>
      <c r="H159" s="176">
        <v>2022</v>
      </c>
      <c r="I159" s="176">
        <v>2030</v>
      </c>
      <c r="J159" s="22" t="s">
        <v>1523</v>
      </c>
      <c r="K159" s="314" t="s">
        <v>130</v>
      </c>
      <c r="L159" s="30" t="s">
        <v>354</v>
      </c>
      <c r="M159" s="30" t="s">
        <v>131</v>
      </c>
      <c r="N159" s="30" t="s">
        <v>1518</v>
      </c>
      <c r="O159" s="30" t="s">
        <v>1518</v>
      </c>
      <c r="P159" s="30" t="s">
        <v>1518</v>
      </c>
      <c r="Q159" s="30" t="s">
        <v>471</v>
      </c>
      <c r="R159" s="315" t="s">
        <v>3</v>
      </c>
      <c r="S159" s="293" t="s">
        <v>131</v>
      </c>
      <c r="T159" s="293" t="s">
        <v>1518</v>
      </c>
      <c r="U159" s="293" t="s">
        <v>1518</v>
      </c>
      <c r="V159" s="293" t="s">
        <v>3</v>
      </c>
      <c r="W159" s="293" t="s">
        <v>3</v>
      </c>
      <c r="X159" s="293" t="s">
        <v>3</v>
      </c>
      <c r="Y159" s="310" t="s">
        <v>3</v>
      </c>
      <c r="Z159" s="293" t="s">
        <v>452</v>
      </c>
      <c r="AA159" s="293" t="s">
        <v>452</v>
      </c>
      <c r="AB159" s="293" t="s">
        <v>452</v>
      </c>
      <c r="AC159" s="293" t="s">
        <v>452</v>
      </c>
      <c r="AD159" s="293" t="s">
        <v>452</v>
      </c>
      <c r="AE159" s="293" t="s">
        <v>452</v>
      </c>
      <c r="AF159" s="298" t="s">
        <v>3</v>
      </c>
      <c r="AG159" s="322" t="s">
        <v>3</v>
      </c>
      <c r="AH159" s="322" t="s">
        <v>3</v>
      </c>
      <c r="AI159" s="322" t="s">
        <v>3</v>
      </c>
      <c r="AJ159" s="316" t="s">
        <v>3</v>
      </c>
      <c r="AK159" s="314" t="s">
        <v>3</v>
      </c>
      <c r="AL159" s="22" t="s">
        <v>1522</v>
      </c>
      <c r="AM159" s="115" t="s">
        <v>131</v>
      </c>
      <c r="AN159" s="115" t="s">
        <v>3</v>
      </c>
      <c r="AO159" s="115" t="s">
        <v>3</v>
      </c>
      <c r="AP159" s="115" t="s">
        <v>3</v>
      </c>
      <c r="AQ159" s="115" t="s">
        <v>3</v>
      </c>
      <c r="AR159" s="116" t="s">
        <v>3</v>
      </c>
      <c r="AS159" s="117">
        <f t="shared" si="2"/>
        <v>1</v>
      </c>
      <c r="AT159" s="30" t="s">
        <v>203</v>
      </c>
      <c r="AU159" s="302">
        <v>35870</v>
      </c>
      <c r="AV159" s="302">
        <v>36857</v>
      </c>
      <c r="AW159" s="120">
        <v>42482</v>
      </c>
      <c r="AX159" s="120">
        <v>42482</v>
      </c>
      <c r="AY159" s="302">
        <v>42278</v>
      </c>
      <c r="AZ159" s="305" t="s">
        <v>703</v>
      </c>
      <c r="BA159" s="302">
        <v>42482</v>
      </c>
      <c r="BB159" s="608" t="s">
        <v>3</v>
      </c>
      <c r="BC159" s="321">
        <v>44407</v>
      </c>
      <c r="BD159" s="486" t="s">
        <v>2134</v>
      </c>
      <c r="BE159" s="177" t="s">
        <v>899</v>
      </c>
      <c r="BF159" s="404" t="s">
        <v>424</v>
      </c>
      <c r="BG159" s="396" t="s">
        <v>3</v>
      </c>
      <c r="BH159" s="394" t="s">
        <v>3</v>
      </c>
      <c r="BI159" s="402" t="s">
        <v>3</v>
      </c>
      <c r="BJ159" s="403" t="s">
        <v>3</v>
      </c>
      <c r="BK159"/>
      <c r="BM159"/>
    </row>
    <row r="160" spans="1:65" ht="91.95" customHeight="1">
      <c r="A160" s="32" t="s">
        <v>622</v>
      </c>
      <c r="B160" s="94" t="s">
        <v>76</v>
      </c>
      <c r="C160" s="293" t="s">
        <v>186</v>
      </c>
      <c r="D160" s="318">
        <v>0.2</v>
      </c>
      <c r="E160" s="307">
        <v>2005</v>
      </c>
      <c r="F160" s="307">
        <v>2030</v>
      </c>
      <c r="G160" s="230" t="s">
        <v>3</v>
      </c>
      <c r="H160" s="174" t="s">
        <v>424</v>
      </c>
      <c r="I160" s="174" t="s">
        <v>424</v>
      </c>
      <c r="J160" s="24" t="s">
        <v>1145</v>
      </c>
      <c r="K160" s="308" t="s">
        <v>3</v>
      </c>
      <c r="L160" s="293" t="s">
        <v>360</v>
      </c>
      <c r="M160" s="293" t="s">
        <v>131</v>
      </c>
      <c r="N160" s="293" t="s">
        <v>131</v>
      </c>
      <c r="O160" s="293" t="s">
        <v>131</v>
      </c>
      <c r="P160" s="293" t="s">
        <v>131</v>
      </c>
      <c r="Q160" s="293" t="s">
        <v>131</v>
      </c>
      <c r="R160" s="309" t="s">
        <v>131</v>
      </c>
      <c r="S160" s="293" t="s">
        <v>131</v>
      </c>
      <c r="T160" s="293" t="s">
        <v>131</v>
      </c>
      <c r="U160" s="293" t="s">
        <v>131</v>
      </c>
      <c r="V160" s="293" t="s">
        <v>131</v>
      </c>
      <c r="W160" s="293" t="s">
        <v>131</v>
      </c>
      <c r="X160" s="293" t="s">
        <v>131</v>
      </c>
      <c r="Y160" s="310" t="s">
        <v>131</v>
      </c>
      <c r="Z160" s="293" t="s">
        <v>452</v>
      </c>
      <c r="AA160" s="293" t="s">
        <v>452</v>
      </c>
      <c r="AB160" s="293" t="s">
        <v>452</v>
      </c>
      <c r="AC160" s="293" t="s">
        <v>452</v>
      </c>
      <c r="AD160" s="293" t="s">
        <v>452</v>
      </c>
      <c r="AE160" s="293" t="s">
        <v>452</v>
      </c>
      <c r="AF160" s="298" t="s">
        <v>3</v>
      </c>
      <c r="AG160" s="322" t="s">
        <v>3</v>
      </c>
      <c r="AH160" s="322" t="s">
        <v>3</v>
      </c>
      <c r="AI160" s="322" t="s">
        <v>3</v>
      </c>
      <c r="AJ160" s="312" t="s">
        <v>3</v>
      </c>
      <c r="AK160" s="308" t="s">
        <v>111</v>
      </c>
      <c r="AL160" s="22" t="s">
        <v>18</v>
      </c>
      <c r="AM160" s="115" t="s">
        <v>131</v>
      </c>
      <c r="AN160" s="115" t="s">
        <v>3</v>
      </c>
      <c r="AO160" s="115" t="s">
        <v>3</v>
      </c>
      <c r="AP160" s="115" t="s">
        <v>3</v>
      </c>
      <c r="AQ160" s="115" t="s">
        <v>3</v>
      </c>
      <c r="AR160" s="116" t="s">
        <v>3</v>
      </c>
      <c r="AS160" s="117">
        <f t="shared" si="2"/>
        <v>1</v>
      </c>
      <c r="AT160" s="30" t="s">
        <v>203</v>
      </c>
      <c r="AU160" s="302" t="s">
        <v>3</v>
      </c>
      <c r="AV160" s="302">
        <v>40296</v>
      </c>
      <c r="AW160" s="120">
        <v>42482</v>
      </c>
      <c r="AX160" s="120">
        <v>43369</v>
      </c>
      <c r="AY160" s="302">
        <v>42277</v>
      </c>
      <c r="AZ160" s="305" t="s">
        <v>752</v>
      </c>
      <c r="BA160" s="303">
        <v>43369</v>
      </c>
      <c r="BB160" s="603" t="s">
        <v>2133</v>
      </c>
      <c r="BC160" s="394" t="s">
        <v>3</v>
      </c>
      <c r="BD160" s="394" t="s">
        <v>3</v>
      </c>
      <c r="BE160" s="177" t="s">
        <v>899</v>
      </c>
      <c r="BF160" s="404" t="s">
        <v>424</v>
      </c>
      <c r="BG160" s="396" t="s">
        <v>3</v>
      </c>
      <c r="BH160" s="394" t="s">
        <v>3</v>
      </c>
      <c r="BI160" s="402" t="s">
        <v>3</v>
      </c>
      <c r="BJ160" s="403" t="s">
        <v>3</v>
      </c>
      <c r="BK160"/>
      <c r="BM160"/>
    </row>
    <row r="161" spans="1:65" ht="108" customHeight="1">
      <c r="A161" s="31" t="s">
        <v>623</v>
      </c>
      <c r="B161" s="92" t="s">
        <v>180</v>
      </c>
      <c r="C161" s="230" t="s">
        <v>1535</v>
      </c>
      <c r="D161" s="319">
        <v>0.27</v>
      </c>
      <c r="E161" s="337" t="s">
        <v>1536</v>
      </c>
      <c r="F161" s="337">
        <v>2030</v>
      </c>
      <c r="G161" s="230" t="s">
        <v>3</v>
      </c>
      <c r="H161" s="173">
        <v>2020</v>
      </c>
      <c r="I161" s="173">
        <v>2030</v>
      </c>
      <c r="J161" s="46" t="s">
        <v>1534</v>
      </c>
      <c r="K161" s="308" t="s">
        <v>1537</v>
      </c>
      <c r="L161" s="293" t="s">
        <v>360</v>
      </c>
      <c r="M161" s="293" t="s">
        <v>131</v>
      </c>
      <c r="N161" s="293" t="s">
        <v>131</v>
      </c>
      <c r="O161" s="293" t="s">
        <v>131</v>
      </c>
      <c r="P161" s="293" t="s">
        <v>131</v>
      </c>
      <c r="Q161" s="293" t="s">
        <v>1538</v>
      </c>
      <c r="R161" s="309" t="s">
        <v>131</v>
      </c>
      <c r="S161" s="293" t="s">
        <v>131</v>
      </c>
      <c r="T161" s="293" t="s">
        <v>131</v>
      </c>
      <c r="U161" s="293" t="s">
        <v>131</v>
      </c>
      <c r="V161" s="293" t="s">
        <v>3</v>
      </c>
      <c r="W161" s="293" t="s">
        <v>3</v>
      </c>
      <c r="X161" s="293" t="s">
        <v>3</v>
      </c>
      <c r="Y161" s="310" t="s">
        <v>3</v>
      </c>
      <c r="Z161" s="293" t="s">
        <v>452</v>
      </c>
      <c r="AA161" s="293" t="s">
        <v>452</v>
      </c>
      <c r="AB161" s="293" t="s">
        <v>452</v>
      </c>
      <c r="AC161" s="293" t="s">
        <v>452</v>
      </c>
      <c r="AD161" s="293" t="s">
        <v>452</v>
      </c>
      <c r="AE161" s="293" t="s">
        <v>452</v>
      </c>
      <c r="AF161" s="298" t="s">
        <v>3</v>
      </c>
      <c r="AG161" s="231">
        <v>0.15</v>
      </c>
      <c r="AH161" s="231" t="s">
        <v>3</v>
      </c>
      <c r="AI161" s="231">
        <v>0.15</v>
      </c>
      <c r="AJ161" s="312" t="s">
        <v>1539</v>
      </c>
      <c r="AK161" s="308" t="s">
        <v>1540</v>
      </c>
      <c r="AL161" s="22" t="s">
        <v>1541</v>
      </c>
      <c r="AM161" s="115" t="s">
        <v>131</v>
      </c>
      <c r="AN161" s="115" t="s">
        <v>3</v>
      </c>
      <c r="AO161" s="115" t="s">
        <v>3</v>
      </c>
      <c r="AP161" s="115" t="s">
        <v>3</v>
      </c>
      <c r="AQ161" s="115" t="s">
        <v>131</v>
      </c>
      <c r="AR161" s="116" t="s">
        <v>3</v>
      </c>
      <c r="AS161" s="117">
        <f t="shared" si="2"/>
        <v>1</v>
      </c>
      <c r="AT161" s="30" t="s">
        <v>203</v>
      </c>
      <c r="AU161" s="302" t="s">
        <v>3</v>
      </c>
      <c r="AV161" s="302">
        <v>39563</v>
      </c>
      <c r="AW161" s="120">
        <v>42482</v>
      </c>
      <c r="AX161" s="120">
        <v>42676</v>
      </c>
      <c r="AY161" s="302">
        <v>42277</v>
      </c>
      <c r="AZ161" s="305" t="s">
        <v>777</v>
      </c>
      <c r="BA161" s="321">
        <v>44407</v>
      </c>
      <c r="BB161" s="603" t="s">
        <v>2132</v>
      </c>
      <c r="BC161" s="394" t="s">
        <v>3</v>
      </c>
      <c r="BD161" s="394" t="s">
        <v>3</v>
      </c>
      <c r="BE161" s="177" t="s">
        <v>899</v>
      </c>
      <c r="BF161" s="404" t="s">
        <v>424</v>
      </c>
      <c r="BG161" s="396" t="s">
        <v>3</v>
      </c>
      <c r="BH161" s="394" t="s">
        <v>3</v>
      </c>
      <c r="BI161" s="402" t="s">
        <v>3</v>
      </c>
      <c r="BJ161" s="403" t="s">
        <v>3</v>
      </c>
      <c r="BK161"/>
      <c r="BM161"/>
    </row>
    <row r="162" spans="1:65" ht="108" customHeight="1">
      <c r="A162" s="31" t="s">
        <v>624</v>
      </c>
      <c r="B162" s="203" t="s">
        <v>182</v>
      </c>
      <c r="C162" s="230" t="s">
        <v>866</v>
      </c>
      <c r="D162" s="230" t="s">
        <v>1785</v>
      </c>
      <c r="E162" s="230" t="s">
        <v>424</v>
      </c>
      <c r="F162" s="230" t="s">
        <v>1784</v>
      </c>
      <c r="G162" s="230" t="s">
        <v>3</v>
      </c>
      <c r="H162" s="179">
        <v>2020</v>
      </c>
      <c r="I162" s="179">
        <v>2030</v>
      </c>
      <c r="J162" s="320" t="s">
        <v>1783</v>
      </c>
      <c r="K162" s="314" t="s">
        <v>1786</v>
      </c>
      <c r="L162" s="30" t="s">
        <v>354</v>
      </c>
      <c r="M162" s="30" t="s">
        <v>131</v>
      </c>
      <c r="N162" s="30" t="s">
        <v>3</v>
      </c>
      <c r="O162" s="30" t="s">
        <v>3</v>
      </c>
      <c r="P162" s="30" t="s">
        <v>3</v>
      </c>
      <c r="Q162" s="30" t="s">
        <v>3</v>
      </c>
      <c r="R162" s="315" t="s">
        <v>1787</v>
      </c>
      <c r="S162" s="30" t="s">
        <v>1787</v>
      </c>
      <c r="T162" s="30" t="s">
        <v>1787</v>
      </c>
      <c r="U162" s="30" t="s">
        <v>3</v>
      </c>
      <c r="V162" s="30" t="s">
        <v>3</v>
      </c>
      <c r="W162" s="30" t="s">
        <v>3</v>
      </c>
      <c r="X162" s="30" t="s">
        <v>3</v>
      </c>
      <c r="Y162" s="298" t="s">
        <v>3</v>
      </c>
      <c r="Z162" s="30">
        <v>602.29999999999995</v>
      </c>
      <c r="AA162" s="30">
        <v>90.7</v>
      </c>
      <c r="AB162" s="30">
        <v>8.1999999999999993</v>
      </c>
      <c r="AC162" s="30">
        <v>0.3</v>
      </c>
      <c r="AD162" s="30" t="s">
        <v>3</v>
      </c>
      <c r="AE162" s="30">
        <v>2.5</v>
      </c>
      <c r="AF162" s="298" t="s">
        <v>3</v>
      </c>
      <c r="AG162" s="311" t="s">
        <v>3</v>
      </c>
      <c r="AH162" s="311" t="s">
        <v>3</v>
      </c>
      <c r="AI162" s="311" t="s">
        <v>3</v>
      </c>
      <c r="AJ162" s="316" t="s">
        <v>3</v>
      </c>
      <c r="AK162" s="314" t="s">
        <v>1788</v>
      </c>
      <c r="AL162" s="22" t="s">
        <v>1789</v>
      </c>
      <c r="AM162" s="115" t="s">
        <v>1787</v>
      </c>
      <c r="AN162" s="115" t="s">
        <v>3</v>
      </c>
      <c r="AO162" s="115" t="s">
        <v>1787</v>
      </c>
      <c r="AP162" s="115" t="s">
        <v>3</v>
      </c>
      <c r="AQ162" s="115" t="s">
        <v>3</v>
      </c>
      <c r="AR162" s="300" t="s">
        <v>246</v>
      </c>
      <c r="AS162" s="117">
        <f t="shared" si="2"/>
        <v>1</v>
      </c>
      <c r="AT162" s="30" t="s">
        <v>203</v>
      </c>
      <c r="AU162" s="302" t="s">
        <v>3</v>
      </c>
      <c r="AV162" s="302">
        <v>38383</v>
      </c>
      <c r="AW162" s="120">
        <v>42677</v>
      </c>
      <c r="AX162" s="120">
        <v>42677</v>
      </c>
      <c r="AY162" s="324">
        <v>42318</v>
      </c>
      <c r="AZ162" s="317" t="s">
        <v>720</v>
      </c>
      <c r="BA162" s="489">
        <v>44492</v>
      </c>
      <c r="BB162" s="603" t="s">
        <v>2131</v>
      </c>
      <c r="BC162" s="394" t="s">
        <v>3</v>
      </c>
      <c r="BD162" s="394" t="s">
        <v>3</v>
      </c>
      <c r="BE162" s="177" t="s">
        <v>899</v>
      </c>
      <c r="BF162" s="404" t="s">
        <v>424</v>
      </c>
      <c r="BG162" s="396" t="s">
        <v>3</v>
      </c>
      <c r="BH162" s="394" t="s">
        <v>3</v>
      </c>
      <c r="BI162" s="440">
        <v>2018</v>
      </c>
      <c r="BJ162" s="448">
        <v>1</v>
      </c>
      <c r="BK162"/>
      <c r="BM162"/>
    </row>
    <row r="163" spans="1:65" ht="132" customHeight="1">
      <c r="A163" s="31" t="s">
        <v>625</v>
      </c>
      <c r="B163" s="92" t="s">
        <v>180</v>
      </c>
      <c r="C163" s="230" t="s">
        <v>865</v>
      </c>
      <c r="D163" s="230" t="s">
        <v>1262</v>
      </c>
      <c r="E163" s="337" t="s">
        <v>1</v>
      </c>
      <c r="F163" s="230" t="s">
        <v>1074</v>
      </c>
      <c r="G163" s="230" t="s">
        <v>3</v>
      </c>
      <c r="H163" s="412">
        <v>2025</v>
      </c>
      <c r="I163" s="412">
        <v>2030</v>
      </c>
      <c r="J163" s="46" t="s">
        <v>1261</v>
      </c>
      <c r="K163" s="308" t="s">
        <v>1264</v>
      </c>
      <c r="L163" s="293" t="s">
        <v>360</v>
      </c>
      <c r="M163" s="293" t="s">
        <v>131</v>
      </c>
      <c r="N163" s="293" t="s">
        <v>131</v>
      </c>
      <c r="O163" s="293" t="s">
        <v>131</v>
      </c>
      <c r="P163" s="293" t="s">
        <v>131</v>
      </c>
      <c r="Q163" s="293" t="s">
        <v>131</v>
      </c>
      <c r="R163" s="309" t="s">
        <v>131</v>
      </c>
      <c r="S163" s="293" t="s">
        <v>131</v>
      </c>
      <c r="T163" s="293" t="s">
        <v>131</v>
      </c>
      <c r="U163" s="293" t="s">
        <v>131</v>
      </c>
      <c r="V163" s="293" t="s">
        <v>3</v>
      </c>
      <c r="W163" s="293" t="s">
        <v>3</v>
      </c>
      <c r="X163" s="293" t="s">
        <v>3</v>
      </c>
      <c r="Y163" s="310" t="s">
        <v>3</v>
      </c>
      <c r="Z163" s="293">
        <v>9.1999999999999993</v>
      </c>
      <c r="AA163" s="293">
        <v>9.9</v>
      </c>
      <c r="AB163" s="293">
        <v>3</v>
      </c>
      <c r="AC163" s="293" t="s">
        <v>3</v>
      </c>
      <c r="AD163" s="293" t="s">
        <v>3</v>
      </c>
      <c r="AE163" s="293" t="s">
        <v>3</v>
      </c>
      <c r="AF163" s="298" t="s">
        <v>3</v>
      </c>
      <c r="AG163" s="231">
        <v>8.6999999999999993</v>
      </c>
      <c r="AH163" s="311">
        <v>4.3</v>
      </c>
      <c r="AI163" s="231">
        <f>AG163+AH163</f>
        <v>13</v>
      </c>
      <c r="AJ163" s="312" t="s">
        <v>1265</v>
      </c>
      <c r="AK163" s="308" t="s">
        <v>1266</v>
      </c>
      <c r="AL163" s="22" t="s">
        <v>1267</v>
      </c>
      <c r="AM163" s="115" t="s">
        <v>3</v>
      </c>
      <c r="AN163" s="115" t="s">
        <v>3</v>
      </c>
      <c r="AO163" s="115" t="s">
        <v>1268</v>
      </c>
      <c r="AP163" s="115" t="s">
        <v>3</v>
      </c>
      <c r="AQ163" s="115" t="s">
        <v>131</v>
      </c>
      <c r="AR163" s="116" t="s">
        <v>3</v>
      </c>
      <c r="AS163" s="117">
        <f t="shared" si="2"/>
        <v>1</v>
      </c>
      <c r="AT163" s="30" t="s">
        <v>203</v>
      </c>
      <c r="AU163" s="302" t="s">
        <v>3</v>
      </c>
      <c r="AV163" s="302">
        <v>37092</v>
      </c>
      <c r="AW163" s="120">
        <v>42482</v>
      </c>
      <c r="AX163" s="120">
        <v>42634</v>
      </c>
      <c r="AY163" s="302">
        <v>42273</v>
      </c>
      <c r="AZ163" s="305" t="s">
        <v>799</v>
      </c>
      <c r="BA163" s="302">
        <v>44194</v>
      </c>
      <c r="BB163" s="603" t="s">
        <v>2130</v>
      </c>
      <c r="BC163" s="394" t="s">
        <v>3</v>
      </c>
      <c r="BD163" s="394" t="s">
        <v>3</v>
      </c>
      <c r="BE163" s="177" t="s">
        <v>897</v>
      </c>
      <c r="BF163" s="404" t="s">
        <v>860</v>
      </c>
      <c r="BG163" s="396" t="s">
        <v>3</v>
      </c>
      <c r="BH163" s="394" t="s">
        <v>3</v>
      </c>
      <c r="BI163" s="402" t="s">
        <v>3</v>
      </c>
      <c r="BJ163" s="403" t="s">
        <v>3</v>
      </c>
      <c r="BK163"/>
      <c r="BM163"/>
    </row>
    <row r="164" spans="1:65" ht="80.55" customHeight="1">
      <c r="A164" s="32" t="s">
        <v>626</v>
      </c>
      <c r="B164" s="93" t="s">
        <v>183</v>
      </c>
      <c r="C164" s="293" t="s">
        <v>186</v>
      </c>
      <c r="D164" s="345" t="s">
        <v>1969</v>
      </c>
      <c r="E164" s="307" t="s">
        <v>1968</v>
      </c>
      <c r="F164" s="307">
        <v>2030</v>
      </c>
      <c r="G164" s="230" t="s">
        <v>3</v>
      </c>
      <c r="H164" s="177">
        <v>2021</v>
      </c>
      <c r="I164" s="177">
        <v>2030</v>
      </c>
      <c r="J164" s="24" t="s">
        <v>1970</v>
      </c>
      <c r="K164" s="308" t="s">
        <v>3</v>
      </c>
      <c r="L164" s="293" t="s">
        <v>360</v>
      </c>
      <c r="M164" s="293" t="s">
        <v>131</v>
      </c>
      <c r="N164" s="293" t="s">
        <v>131</v>
      </c>
      <c r="O164" s="293" t="s">
        <v>131</v>
      </c>
      <c r="P164" s="293" t="s">
        <v>131</v>
      </c>
      <c r="Q164" s="293" t="s">
        <v>131</v>
      </c>
      <c r="R164" s="309" t="s">
        <v>131</v>
      </c>
      <c r="S164" s="293" t="s">
        <v>131</v>
      </c>
      <c r="T164" s="293" t="s">
        <v>131</v>
      </c>
      <c r="U164" s="293" t="s">
        <v>131</v>
      </c>
      <c r="V164" s="293" t="s">
        <v>131</v>
      </c>
      <c r="W164" s="293" t="s">
        <v>131</v>
      </c>
      <c r="X164" s="293" t="s">
        <v>131</v>
      </c>
      <c r="Y164" s="310" t="s">
        <v>1961</v>
      </c>
      <c r="Z164" s="293">
        <v>47.4</v>
      </c>
      <c r="AA164" s="293">
        <v>10.4</v>
      </c>
      <c r="AB164" s="293">
        <v>2.9</v>
      </c>
      <c r="AC164" s="293">
        <v>7</v>
      </c>
      <c r="AD164" s="293">
        <v>0.1</v>
      </c>
      <c r="AE164" s="293" t="s">
        <v>3</v>
      </c>
      <c r="AF164" s="298" t="s">
        <v>3</v>
      </c>
      <c r="AG164" s="322" t="s">
        <v>3</v>
      </c>
      <c r="AH164" s="322" t="s">
        <v>3</v>
      </c>
      <c r="AI164" s="322" t="s">
        <v>3</v>
      </c>
      <c r="AJ164" s="312" t="s">
        <v>3</v>
      </c>
      <c r="AK164" s="308" t="s">
        <v>3</v>
      </c>
      <c r="AL164" s="22" t="s">
        <v>1966</v>
      </c>
      <c r="AM164" s="115" t="s">
        <v>3</v>
      </c>
      <c r="AN164" s="115" t="s">
        <v>3</v>
      </c>
      <c r="AO164" s="115" t="s">
        <v>3</v>
      </c>
      <c r="AP164" s="115" t="s">
        <v>3</v>
      </c>
      <c r="AQ164" s="115" t="s">
        <v>3</v>
      </c>
      <c r="AR164" s="116" t="s">
        <v>3</v>
      </c>
      <c r="AS164" s="117" t="str">
        <f t="shared" si="2"/>
        <v/>
      </c>
      <c r="AT164" s="30" t="s">
        <v>203</v>
      </c>
      <c r="AU164" s="302" t="s">
        <v>3</v>
      </c>
      <c r="AV164" s="302">
        <v>39374</v>
      </c>
      <c r="AW164" s="120">
        <v>42482</v>
      </c>
      <c r="AX164" s="120">
        <v>42941</v>
      </c>
      <c r="AY164" s="302">
        <v>42185</v>
      </c>
      <c r="AZ164" s="317" t="s">
        <v>835</v>
      </c>
      <c r="BA164" s="321">
        <v>44797</v>
      </c>
      <c r="BB164" s="603" t="s">
        <v>2129</v>
      </c>
      <c r="BC164" s="394" t="s">
        <v>3</v>
      </c>
      <c r="BD164" s="394" t="s">
        <v>3</v>
      </c>
      <c r="BE164" s="177" t="s">
        <v>899</v>
      </c>
      <c r="BF164" s="404" t="s">
        <v>905</v>
      </c>
      <c r="BG164" s="396" t="s">
        <v>3</v>
      </c>
      <c r="BH164" s="394" t="s">
        <v>3</v>
      </c>
      <c r="BI164" s="440">
        <v>2016</v>
      </c>
      <c r="BJ164" s="448">
        <v>1</v>
      </c>
      <c r="BK164"/>
      <c r="BM164"/>
    </row>
    <row r="165" spans="1:65" ht="96" customHeight="1">
      <c r="A165" s="31" t="s">
        <v>627</v>
      </c>
      <c r="B165" s="92" t="s">
        <v>180</v>
      </c>
      <c r="C165" s="230" t="s">
        <v>1495</v>
      </c>
      <c r="D165" s="323">
        <v>0.26400000000000001</v>
      </c>
      <c r="E165" s="337" t="s">
        <v>1486</v>
      </c>
      <c r="F165" s="230">
        <v>2030</v>
      </c>
      <c r="G165" s="230" t="s">
        <v>3</v>
      </c>
      <c r="H165" s="180">
        <v>2020</v>
      </c>
      <c r="I165" s="180">
        <v>2030</v>
      </c>
      <c r="J165" s="46" t="s">
        <v>1494</v>
      </c>
      <c r="K165" s="308" t="s">
        <v>1496</v>
      </c>
      <c r="L165" s="293" t="s">
        <v>360</v>
      </c>
      <c r="M165" s="293" t="s">
        <v>131</v>
      </c>
      <c r="N165" s="293" t="s">
        <v>3</v>
      </c>
      <c r="O165" s="293" t="s">
        <v>131</v>
      </c>
      <c r="P165" s="293" t="s">
        <v>131</v>
      </c>
      <c r="Q165" s="293" t="s">
        <v>3</v>
      </c>
      <c r="R165" s="309" t="s">
        <v>3</v>
      </c>
      <c r="S165" s="293" t="s">
        <v>131</v>
      </c>
      <c r="T165" s="293" t="s">
        <v>131</v>
      </c>
      <c r="U165" s="293" t="s">
        <v>3</v>
      </c>
      <c r="V165" s="293" t="s">
        <v>1489</v>
      </c>
      <c r="W165" s="293" t="s">
        <v>3</v>
      </c>
      <c r="X165" s="293" t="s">
        <v>3</v>
      </c>
      <c r="Y165" s="310" t="s">
        <v>3</v>
      </c>
      <c r="Z165" s="293" t="s">
        <v>452</v>
      </c>
      <c r="AA165" s="293" t="s">
        <v>452</v>
      </c>
      <c r="AB165" s="293" t="s">
        <v>452</v>
      </c>
      <c r="AC165" s="293" t="s">
        <v>452</v>
      </c>
      <c r="AD165" s="293" t="s">
        <v>452</v>
      </c>
      <c r="AE165" s="293" t="s">
        <v>452</v>
      </c>
      <c r="AF165" s="298" t="s">
        <v>3</v>
      </c>
      <c r="AG165" s="231">
        <v>0.309</v>
      </c>
      <c r="AH165" s="231">
        <v>0.29499999999999998</v>
      </c>
      <c r="AI165" s="231">
        <v>0.60399999999999998</v>
      </c>
      <c r="AJ165" s="312" t="s">
        <v>1497</v>
      </c>
      <c r="AK165" s="308" t="s">
        <v>1498</v>
      </c>
      <c r="AL165" s="22" t="s">
        <v>1499</v>
      </c>
      <c r="AM165" s="115" t="s">
        <v>1485</v>
      </c>
      <c r="AN165" s="115" t="s">
        <v>3</v>
      </c>
      <c r="AO165" s="115" t="s">
        <v>3</v>
      </c>
      <c r="AP165" s="115" t="s">
        <v>3</v>
      </c>
      <c r="AQ165" s="115" t="s">
        <v>3</v>
      </c>
      <c r="AR165" s="116" t="s">
        <v>3</v>
      </c>
      <c r="AS165" s="117" t="str">
        <f t="shared" si="2"/>
        <v/>
      </c>
      <c r="AT165" s="30" t="s">
        <v>203</v>
      </c>
      <c r="AU165" s="302">
        <v>35874</v>
      </c>
      <c r="AV165" s="302">
        <v>37459</v>
      </c>
      <c r="AW165" s="120">
        <v>42485</v>
      </c>
      <c r="AX165" s="120">
        <v>42489</v>
      </c>
      <c r="AY165" s="325">
        <v>42272</v>
      </c>
      <c r="AZ165" s="317" t="s">
        <v>805</v>
      </c>
      <c r="BA165" s="321">
        <v>44407</v>
      </c>
      <c r="BB165" s="603" t="s">
        <v>2128</v>
      </c>
      <c r="BC165" s="394" t="s">
        <v>3</v>
      </c>
      <c r="BD165" s="402" t="s">
        <v>3</v>
      </c>
      <c r="BE165" s="177" t="s">
        <v>912</v>
      </c>
      <c r="BF165" s="404" t="s">
        <v>424</v>
      </c>
      <c r="BG165" s="396" t="s">
        <v>3</v>
      </c>
      <c r="BH165" s="394" t="s">
        <v>3</v>
      </c>
      <c r="BI165" s="402" t="s">
        <v>3</v>
      </c>
      <c r="BJ165" s="403" t="s">
        <v>3</v>
      </c>
      <c r="BK165"/>
      <c r="BM165"/>
    </row>
    <row r="166" spans="1:65" ht="126.45" customHeight="1">
      <c r="A166" s="31" t="s">
        <v>628</v>
      </c>
      <c r="B166" s="92" t="s">
        <v>180</v>
      </c>
      <c r="C166" s="230" t="s">
        <v>460</v>
      </c>
      <c r="D166" s="230" t="s">
        <v>1550</v>
      </c>
      <c r="E166" s="337">
        <v>2005</v>
      </c>
      <c r="F166" s="230" t="s">
        <v>1549</v>
      </c>
      <c r="G166" s="230" t="s">
        <v>3</v>
      </c>
      <c r="H166" s="180">
        <v>2020</v>
      </c>
      <c r="I166" s="180">
        <v>2030</v>
      </c>
      <c r="J166" s="46" t="s">
        <v>1552</v>
      </c>
      <c r="K166" s="308" t="s">
        <v>1553</v>
      </c>
      <c r="L166" s="293" t="s">
        <v>360</v>
      </c>
      <c r="M166" s="293" t="s">
        <v>131</v>
      </c>
      <c r="N166" s="293" t="s">
        <v>131</v>
      </c>
      <c r="O166" s="293" t="s">
        <v>131</v>
      </c>
      <c r="P166" s="293" t="s">
        <v>131</v>
      </c>
      <c r="Q166" s="293" t="s">
        <v>131</v>
      </c>
      <c r="R166" s="309" t="s">
        <v>131</v>
      </c>
      <c r="S166" s="293" t="s">
        <v>131</v>
      </c>
      <c r="T166" s="293" t="s">
        <v>131</v>
      </c>
      <c r="U166" s="293" t="s">
        <v>131</v>
      </c>
      <c r="V166" s="293" t="s">
        <v>3</v>
      </c>
      <c r="W166" s="293" t="s">
        <v>3</v>
      </c>
      <c r="X166" s="293" t="s">
        <v>3</v>
      </c>
      <c r="Y166" s="310" t="s">
        <v>3</v>
      </c>
      <c r="Z166" s="293" t="s">
        <v>452</v>
      </c>
      <c r="AA166" s="293" t="s">
        <v>452</v>
      </c>
      <c r="AB166" s="293" t="s">
        <v>452</v>
      </c>
      <c r="AC166" s="293" t="s">
        <v>452</v>
      </c>
      <c r="AD166" s="293" t="s">
        <v>452</v>
      </c>
      <c r="AE166" s="293" t="s">
        <v>452</v>
      </c>
      <c r="AF166" s="298" t="s">
        <v>3</v>
      </c>
      <c r="AG166" s="231" t="s">
        <v>3</v>
      </c>
      <c r="AH166" s="231" t="s">
        <v>3</v>
      </c>
      <c r="AI166" s="231">
        <v>2.7</v>
      </c>
      <c r="AJ166" s="312" t="s">
        <v>1554</v>
      </c>
      <c r="AK166" s="308" t="s">
        <v>1555</v>
      </c>
      <c r="AL166" s="22" t="s">
        <v>1551</v>
      </c>
      <c r="AM166" s="115" t="s">
        <v>1556</v>
      </c>
      <c r="AN166" s="115" t="s">
        <v>3</v>
      </c>
      <c r="AO166" s="115" t="s">
        <v>3</v>
      </c>
      <c r="AP166" s="115" t="s">
        <v>3</v>
      </c>
      <c r="AQ166" s="115" t="s">
        <v>1540</v>
      </c>
      <c r="AR166" s="116" t="s">
        <v>3</v>
      </c>
      <c r="AS166" s="117">
        <f t="shared" si="2"/>
        <v>1</v>
      </c>
      <c r="AT166" s="30" t="s">
        <v>203</v>
      </c>
      <c r="AU166" s="302" t="s">
        <v>3</v>
      </c>
      <c r="AV166" s="302">
        <v>39031</v>
      </c>
      <c r="AW166" s="120">
        <v>42482</v>
      </c>
      <c r="AX166" s="120">
        <v>42675</v>
      </c>
      <c r="AY166" s="302">
        <v>42278</v>
      </c>
      <c r="AZ166" s="305" t="s">
        <v>746</v>
      </c>
      <c r="BA166" s="321">
        <v>44408</v>
      </c>
      <c r="BB166" s="603" t="s">
        <v>2127</v>
      </c>
      <c r="BC166" s="394" t="s">
        <v>3</v>
      </c>
      <c r="BD166" s="402" t="s">
        <v>3</v>
      </c>
      <c r="BE166" s="177" t="s">
        <v>912</v>
      </c>
      <c r="BF166" s="404" t="s">
        <v>424</v>
      </c>
      <c r="BG166" s="396" t="s">
        <v>3</v>
      </c>
      <c r="BH166" s="394" t="s">
        <v>3</v>
      </c>
      <c r="BI166" s="402" t="s">
        <v>3</v>
      </c>
      <c r="BJ166" s="403" t="s">
        <v>3</v>
      </c>
      <c r="BK166"/>
      <c r="BM166"/>
    </row>
    <row r="167" spans="1:65" ht="91.95" customHeight="1">
      <c r="A167" s="31" t="s">
        <v>629</v>
      </c>
      <c r="B167" s="90" t="s">
        <v>23</v>
      </c>
      <c r="C167" s="230" t="s">
        <v>445</v>
      </c>
      <c r="D167" s="319" t="s">
        <v>962</v>
      </c>
      <c r="E167" s="230" t="s">
        <v>963</v>
      </c>
      <c r="F167" s="230">
        <v>2030</v>
      </c>
      <c r="G167" s="230" t="s">
        <v>3</v>
      </c>
      <c r="H167" s="179">
        <v>2021</v>
      </c>
      <c r="I167" s="179">
        <v>2030</v>
      </c>
      <c r="J167" s="320" t="s">
        <v>964</v>
      </c>
      <c r="K167" s="421" t="s">
        <v>1096</v>
      </c>
      <c r="L167" s="30" t="s">
        <v>360</v>
      </c>
      <c r="M167" s="30" t="s">
        <v>131</v>
      </c>
      <c r="N167" s="30" t="s">
        <v>131</v>
      </c>
      <c r="O167" s="30" t="s">
        <v>3</v>
      </c>
      <c r="P167" s="30" t="s">
        <v>131</v>
      </c>
      <c r="Q167" s="30" t="s">
        <v>131</v>
      </c>
      <c r="R167" s="315" t="s">
        <v>131</v>
      </c>
      <c r="S167" s="30" t="s">
        <v>131</v>
      </c>
      <c r="T167" s="30" t="s">
        <v>131</v>
      </c>
      <c r="U167" s="30" t="s">
        <v>131</v>
      </c>
      <c r="V167" s="30" t="s">
        <v>131</v>
      </c>
      <c r="W167" s="30" t="s">
        <v>131</v>
      </c>
      <c r="X167" s="30" t="s">
        <v>131</v>
      </c>
      <c r="Y167" s="298" t="s">
        <v>965</v>
      </c>
      <c r="Z167" s="30">
        <v>52.2</v>
      </c>
      <c r="AA167" s="30">
        <v>2.8</v>
      </c>
      <c r="AB167" s="30">
        <v>1.7</v>
      </c>
      <c r="AC167" s="30">
        <v>2.2000000000000002</v>
      </c>
      <c r="AD167" s="30">
        <v>0.4</v>
      </c>
      <c r="AE167" s="30">
        <v>0.4</v>
      </c>
      <c r="AF167" s="298" t="s">
        <v>3</v>
      </c>
      <c r="AG167" s="311" t="s">
        <v>3</v>
      </c>
      <c r="AH167" s="311" t="s">
        <v>3</v>
      </c>
      <c r="AI167" s="311" t="s">
        <v>3</v>
      </c>
      <c r="AJ167" s="316" t="s">
        <v>3</v>
      </c>
      <c r="AK167" s="314" t="s">
        <v>952</v>
      </c>
      <c r="AL167" s="22" t="s">
        <v>966</v>
      </c>
      <c r="AM167" s="115" t="s">
        <v>132</v>
      </c>
      <c r="AN167" s="115" t="s">
        <v>3</v>
      </c>
      <c r="AO167" s="115" t="s">
        <v>3</v>
      </c>
      <c r="AP167" s="115" t="s">
        <v>3</v>
      </c>
      <c r="AQ167" s="115" t="s">
        <v>3</v>
      </c>
      <c r="AR167" s="116" t="s">
        <v>3</v>
      </c>
      <c r="AS167" s="117">
        <f t="shared" si="2"/>
        <v>1</v>
      </c>
      <c r="AT167" s="30" t="s">
        <v>203</v>
      </c>
      <c r="AU167" s="302" t="s">
        <v>3</v>
      </c>
      <c r="AV167" s="302">
        <v>38819</v>
      </c>
      <c r="AW167" s="120">
        <v>42482</v>
      </c>
      <c r="AX167" s="120">
        <v>42634</v>
      </c>
      <c r="AY167" s="302">
        <v>42188</v>
      </c>
      <c r="AZ167" s="305" t="s">
        <v>831</v>
      </c>
      <c r="BA167" s="321">
        <v>43921</v>
      </c>
      <c r="BB167" s="603" t="s">
        <v>2126</v>
      </c>
      <c r="BC167" s="394" t="s">
        <v>3</v>
      </c>
      <c r="BD167" s="402" t="s">
        <v>3</v>
      </c>
      <c r="BE167" s="177" t="s">
        <v>899</v>
      </c>
      <c r="BF167" s="404" t="s">
        <v>860</v>
      </c>
      <c r="BG167" s="396" t="s">
        <v>3</v>
      </c>
      <c r="BH167" s="394" t="s">
        <v>3</v>
      </c>
      <c r="BI167" s="440">
        <v>2020</v>
      </c>
      <c r="BJ167" s="448">
        <v>4</v>
      </c>
      <c r="BK167"/>
      <c r="BM167"/>
    </row>
    <row r="168" spans="1:65" ht="159.44999999999999" customHeight="1">
      <c r="A168" s="32" t="s">
        <v>630</v>
      </c>
      <c r="B168" s="97" t="s">
        <v>25</v>
      </c>
      <c r="C168" s="293" t="s">
        <v>186</v>
      </c>
      <c r="D168" s="293" t="s">
        <v>1445</v>
      </c>
      <c r="E168" s="307">
        <v>2015</v>
      </c>
      <c r="F168" s="293" t="s">
        <v>6</v>
      </c>
      <c r="G168" s="230" t="s">
        <v>3</v>
      </c>
      <c r="H168" s="176">
        <v>2020</v>
      </c>
      <c r="I168" s="176">
        <v>2030</v>
      </c>
      <c r="J168" s="24" t="s">
        <v>1446</v>
      </c>
      <c r="K168" s="308" t="s">
        <v>1449</v>
      </c>
      <c r="L168" s="293" t="s">
        <v>360</v>
      </c>
      <c r="M168" s="293" t="s">
        <v>131</v>
      </c>
      <c r="N168" s="293" t="s">
        <v>1447</v>
      </c>
      <c r="O168" s="293" t="s">
        <v>131</v>
      </c>
      <c r="P168" s="293" t="s">
        <v>3</v>
      </c>
      <c r="Q168" s="293" t="s">
        <v>131</v>
      </c>
      <c r="R168" s="309" t="s">
        <v>3</v>
      </c>
      <c r="S168" s="293" t="s">
        <v>131</v>
      </c>
      <c r="T168" s="293" t="s">
        <v>1448</v>
      </c>
      <c r="U168" s="293" t="s">
        <v>1448</v>
      </c>
      <c r="V168" s="293" t="s">
        <v>3</v>
      </c>
      <c r="W168" s="293" t="s">
        <v>3</v>
      </c>
      <c r="X168" s="293" t="s">
        <v>3</v>
      </c>
      <c r="Y168" s="310" t="s">
        <v>3</v>
      </c>
      <c r="Z168" s="293" t="s">
        <v>452</v>
      </c>
      <c r="AA168" s="293" t="s">
        <v>452</v>
      </c>
      <c r="AB168" s="293" t="s">
        <v>452</v>
      </c>
      <c r="AC168" s="293" t="s">
        <v>452</v>
      </c>
      <c r="AD168" s="293" t="s">
        <v>452</v>
      </c>
      <c r="AE168" s="293" t="s">
        <v>452</v>
      </c>
      <c r="AF168" s="298" t="s">
        <v>3</v>
      </c>
      <c r="AG168" s="322" t="s">
        <v>3</v>
      </c>
      <c r="AH168" s="322">
        <v>0.126</v>
      </c>
      <c r="AI168" s="322">
        <v>0.252</v>
      </c>
      <c r="AJ168" s="312" t="s">
        <v>1448</v>
      </c>
      <c r="AK168" s="308" t="s">
        <v>3</v>
      </c>
      <c r="AL168" s="22" t="s">
        <v>1450</v>
      </c>
      <c r="AM168" s="115" t="s">
        <v>132</v>
      </c>
      <c r="AN168" s="115" t="s">
        <v>3</v>
      </c>
      <c r="AO168" s="115" t="s">
        <v>3</v>
      </c>
      <c r="AP168" s="115" t="s">
        <v>3</v>
      </c>
      <c r="AQ168" s="115" t="s">
        <v>3</v>
      </c>
      <c r="AR168" s="116" t="s">
        <v>3</v>
      </c>
      <c r="AS168" s="117">
        <f t="shared" si="2"/>
        <v>1</v>
      </c>
      <c r="AT168" s="30" t="s">
        <v>203</v>
      </c>
      <c r="AU168" s="302">
        <v>36067</v>
      </c>
      <c r="AV168" s="302">
        <v>37693</v>
      </c>
      <c r="AW168" s="120">
        <v>42482</v>
      </c>
      <c r="AX168" s="120">
        <v>42634</v>
      </c>
      <c r="AY168" s="302">
        <v>42277</v>
      </c>
      <c r="AZ168" s="305" t="s">
        <v>764</v>
      </c>
      <c r="BA168" s="321">
        <v>44396</v>
      </c>
      <c r="BB168" s="603" t="s">
        <v>2125</v>
      </c>
      <c r="BC168" s="394" t="s">
        <v>3</v>
      </c>
      <c r="BD168" s="402" t="s">
        <v>3</v>
      </c>
      <c r="BE168" s="177" t="s">
        <v>912</v>
      </c>
      <c r="BF168" s="404" t="s">
        <v>424</v>
      </c>
      <c r="BG168" s="396" t="s">
        <v>3</v>
      </c>
      <c r="BH168" s="394" t="s">
        <v>3</v>
      </c>
      <c r="BI168" s="402" t="s">
        <v>3</v>
      </c>
      <c r="BJ168" s="403" t="s">
        <v>3</v>
      </c>
      <c r="BK168"/>
      <c r="BM168"/>
    </row>
    <row r="169" spans="1:65" ht="156" customHeight="1">
      <c r="A169" s="31" t="s">
        <v>631</v>
      </c>
      <c r="B169" s="92" t="s">
        <v>180</v>
      </c>
      <c r="C169" s="230" t="s">
        <v>1535</v>
      </c>
      <c r="D169" s="319">
        <v>0.3</v>
      </c>
      <c r="E169" s="337" t="s">
        <v>1536</v>
      </c>
      <c r="F169" s="337">
        <v>2030</v>
      </c>
      <c r="G169" s="230" t="s">
        <v>3</v>
      </c>
      <c r="H169" s="180">
        <v>2021</v>
      </c>
      <c r="I169" s="180">
        <v>2030</v>
      </c>
      <c r="J169" s="46" t="s">
        <v>1546</v>
      </c>
      <c r="K169" s="308" t="s">
        <v>1547</v>
      </c>
      <c r="L169" s="293" t="s">
        <v>354</v>
      </c>
      <c r="M169" s="293" t="s">
        <v>131</v>
      </c>
      <c r="N169" s="293" t="s">
        <v>1544</v>
      </c>
      <c r="O169" s="293" t="s">
        <v>3</v>
      </c>
      <c r="P169" s="293" t="s">
        <v>1544</v>
      </c>
      <c r="Q169" s="293" t="s">
        <v>131</v>
      </c>
      <c r="R169" s="309" t="s">
        <v>3</v>
      </c>
      <c r="S169" s="293" t="s">
        <v>131</v>
      </c>
      <c r="T169" s="293" t="s">
        <v>3</v>
      </c>
      <c r="U169" s="293" t="s">
        <v>3</v>
      </c>
      <c r="V169" s="293" t="s">
        <v>3</v>
      </c>
      <c r="W169" s="293" t="s">
        <v>3</v>
      </c>
      <c r="X169" s="293" t="s">
        <v>3</v>
      </c>
      <c r="Y169" s="310" t="s">
        <v>3</v>
      </c>
      <c r="Z169" s="293" t="s">
        <v>452</v>
      </c>
      <c r="AA169" s="293" t="s">
        <v>452</v>
      </c>
      <c r="AB169" s="293" t="s">
        <v>452</v>
      </c>
      <c r="AC169" s="293" t="s">
        <v>452</v>
      </c>
      <c r="AD169" s="293" t="s">
        <v>452</v>
      </c>
      <c r="AE169" s="293" t="s">
        <v>452</v>
      </c>
      <c r="AF169" s="298" t="s">
        <v>3</v>
      </c>
      <c r="AG169" s="311">
        <v>6.96</v>
      </c>
      <c r="AH169" s="311">
        <v>55.5</v>
      </c>
      <c r="AI169" s="311">
        <f>AG169+AH169</f>
        <v>62.46</v>
      </c>
      <c r="AJ169" s="312" t="s">
        <v>1548</v>
      </c>
      <c r="AK169" s="308" t="s">
        <v>3</v>
      </c>
      <c r="AL169" s="21" t="s">
        <v>1540</v>
      </c>
      <c r="AM169" s="115" t="s">
        <v>3</v>
      </c>
      <c r="AN169" s="115" t="s">
        <v>3</v>
      </c>
      <c r="AO169" s="115" t="s">
        <v>3</v>
      </c>
      <c r="AP169" s="115" t="s">
        <v>3</v>
      </c>
      <c r="AQ169" s="115" t="s">
        <v>3</v>
      </c>
      <c r="AR169" s="116" t="s">
        <v>3</v>
      </c>
      <c r="AS169" s="117" t="str">
        <f t="shared" si="2"/>
        <v/>
      </c>
      <c r="AT169" s="30" t="s">
        <v>203</v>
      </c>
      <c r="AU169" s="302" t="s">
        <v>3</v>
      </c>
      <c r="AV169" s="302">
        <v>40385</v>
      </c>
      <c r="AW169" s="120">
        <v>42482</v>
      </c>
      <c r="AX169" s="120">
        <v>42482</v>
      </c>
      <c r="AY169" s="325">
        <v>42325</v>
      </c>
      <c r="AZ169" s="317" t="s">
        <v>712</v>
      </c>
      <c r="BA169" s="321">
        <v>44408</v>
      </c>
      <c r="BB169" s="603" t="s">
        <v>2124</v>
      </c>
      <c r="BC169" s="394" t="s">
        <v>3</v>
      </c>
      <c r="BD169" s="402" t="s">
        <v>3</v>
      </c>
      <c r="BE169" s="177" t="s">
        <v>912</v>
      </c>
      <c r="BF169" s="404" t="s">
        <v>424</v>
      </c>
      <c r="BG169" s="396" t="s">
        <v>3</v>
      </c>
      <c r="BH169" s="394" t="s">
        <v>3</v>
      </c>
      <c r="BI169" s="402" t="s">
        <v>3</v>
      </c>
      <c r="BJ169" s="403" t="s">
        <v>3</v>
      </c>
      <c r="BK169"/>
      <c r="BM169"/>
    </row>
    <row r="170" spans="1:65" ht="144.44999999999999" customHeight="1">
      <c r="A170" s="31" t="s">
        <v>632</v>
      </c>
      <c r="B170" s="92" t="s">
        <v>180</v>
      </c>
      <c r="C170" s="230" t="s">
        <v>1609</v>
      </c>
      <c r="D170" s="230" t="s">
        <v>1610</v>
      </c>
      <c r="E170" s="337" t="s">
        <v>3</v>
      </c>
      <c r="F170" s="230" t="s">
        <v>6</v>
      </c>
      <c r="G170" s="230" t="s">
        <v>3</v>
      </c>
      <c r="H170" s="173" t="s">
        <v>1607</v>
      </c>
      <c r="I170" s="173" t="s">
        <v>1608</v>
      </c>
      <c r="J170" s="46" t="s">
        <v>1611</v>
      </c>
      <c r="K170" s="308" t="s">
        <v>1615</v>
      </c>
      <c r="L170" s="293" t="s">
        <v>360</v>
      </c>
      <c r="M170" s="293" t="s">
        <v>131</v>
      </c>
      <c r="N170" s="293" t="s">
        <v>131</v>
      </c>
      <c r="O170" s="293" t="s">
        <v>1612</v>
      </c>
      <c r="P170" s="293" t="s">
        <v>131</v>
      </c>
      <c r="Q170" s="293" t="s">
        <v>131</v>
      </c>
      <c r="R170" s="309" t="s">
        <v>131</v>
      </c>
      <c r="S170" s="293" t="s">
        <v>131</v>
      </c>
      <c r="T170" s="293" t="s">
        <v>131</v>
      </c>
      <c r="U170" s="293" t="s">
        <v>131</v>
      </c>
      <c r="V170" s="293" t="s">
        <v>1612</v>
      </c>
      <c r="W170" s="293" t="s">
        <v>1612</v>
      </c>
      <c r="X170" s="293" t="s">
        <v>1613</v>
      </c>
      <c r="Y170" s="310" t="s">
        <v>3</v>
      </c>
      <c r="Z170" s="293">
        <v>461.5</v>
      </c>
      <c r="AA170" s="293">
        <v>81.3</v>
      </c>
      <c r="AB170" s="293">
        <v>21.5</v>
      </c>
      <c r="AC170" s="293">
        <v>0.8</v>
      </c>
      <c r="AD170" s="293">
        <v>0.2</v>
      </c>
      <c r="AE170" s="293">
        <v>1.8</v>
      </c>
      <c r="AF170" s="298" t="s">
        <v>3</v>
      </c>
      <c r="AG170" s="231" t="s">
        <v>1613</v>
      </c>
      <c r="AH170" s="231" t="s">
        <v>1613</v>
      </c>
      <c r="AI170" s="231" t="s">
        <v>1613</v>
      </c>
      <c r="AJ170" s="312" t="s">
        <v>1614</v>
      </c>
      <c r="AK170" s="308" t="s">
        <v>1613</v>
      </c>
      <c r="AL170" s="22" t="s">
        <v>1616</v>
      </c>
      <c r="AM170" s="115" t="s">
        <v>3</v>
      </c>
      <c r="AN170" s="115" t="s">
        <v>3</v>
      </c>
      <c r="AO170" s="115" t="s">
        <v>3</v>
      </c>
      <c r="AP170" s="115" t="s">
        <v>3</v>
      </c>
      <c r="AQ170" s="115" t="s">
        <v>1612</v>
      </c>
      <c r="AR170" s="116" t="s">
        <v>3</v>
      </c>
      <c r="AS170" s="117">
        <f t="shared" si="2"/>
        <v>1</v>
      </c>
      <c r="AT170" s="30" t="s">
        <v>203</v>
      </c>
      <c r="AU170" s="302" t="s">
        <v>3</v>
      </c>
      <c r="AV170" s="302">
        <v>37468</v>
      </c>
      <c r="AW170" s="120">
        <v>42482</v>
      </c>
      <c r="AX170" s="120">
        <v>42675</v>
      </c>
      <c r="AY170" s="325">
        <v>42272</v>
      </c>
      <c r="AZ170" s="317" t="s">
        <v>802</v>
      </c>
      <c r="BA170" s="321">
        <v>44466</v>
      </c>
      <c r="BB170" s="603" t="s">
        <v>2123</v>
      </c>
      <c r="BC170" s="394" t="s">
        <v>3</v>
      </c>
      <c r="BD170" s="402" t="s">
        <v>3</v>
      </c>
      <c r="BE170" s="177" t="s">
        <v>899</v>
      </c>
      <c r="BF170" s="404" t="s">
        <v>424</v>
      </c>
      <c r="BG170" s="396" t="s">
        <v>3</v>
      </c>
      <c r="BH170" s="394" t="s">
        <v>3</v>
      </c>
      <c r="BI170" s="440">
        <v>2021</v>
      </c>
      <c r="BJ170" s="448">
        <v>4</v>
      </c>
      <c r="BK170"/>
      <c r="BM170"/>
    </row>
    <row r="171" spans="1:65" ht="156" customHeight="1">
      <c r="A171" s="31" t="s">
        <v>671</v>
      </c>
      <c r="B171" s="92" t="s">
        <v>180</v>
      </c>
      <c r="C171" s="230" t="s">
        <v>1628</v>
      </c>
      <c r="D171" s="230" t="s">
        <v>1629</v>
      </c>
      <c r="E171" s="337" t="s">
        <v>3</v>
      </c>
      <c r="F171" s="337">
        <v>2030</v>
      </c>
      <c r="G171" s="230" t="s">
        <v>3</v>
      </c>
      <c r="H171" s="412" t="s">
        <v>424</v>
      </c>
      <c r="I171" s="412">
        <v>2030</v>
      </c>
      <c r="J171" s="46" t="s">
        <v>1630</v>
      </c>
      <c r="K171" s="308" t="s">
        <v>1631</v>
      </c>
      <c r="L171" s="293" t="s">
        <v>1632</v>
      </c>
      <c r="M171" s="293" t="s">
        <v>131</v>
      </c>
      <c r="N171" s="293" t="s">
        <v>1623</v>
      </c>
      <c r="O171" s="293" t="s">
        <v>131</v>
      </c>
      <c r="P171" s="293" t="s">
        <v>471</v>
      </c>
      <c r="Q171" s="293" t="s">
        <v>131</v>
      </c>
      <c r="R171" s="309" t="s">
        <v>1623</v>
      </c>
      <c r="S171" s="293" t="s">
        <v>131</v>
      </c>
      <c r="T171" s="293" t="s">
        <v>3</v>
      </c>
      <c r="U171" s="293" t="s">
        <v>3</v>
      </c>
      <c r="V171" s="293" t="s">
        <v>3</v>
      </c>
      <c r="W171" s="293" t="s">
        <v>3</v>
      </c>
      <c r="X171" s="293" t="s">
        <v>3</v>
      </c>
      <c r="Y171" s="310" t="s">
        <v>3</v>
      </c>
      <c r="Z171" s="293" t="s">
        <v>424</v>
      </c>
      <c r="AA171" s="293" t="s">
        <v>3</v>
      </c>
      <c r="AB171" s="293" t="s">
        <v>3</v>
      </c>
      <c r="AC171" s="293" t="s">
        <v>3</v>
      </c>
      <c r="AD171" s="293" t="s">
        <v>3</v>
      </c>
      <c r="AE171" s="293" t="s">
        <v>3</v>
      </c>
      <c r="AF171" s="298" t="s">
        <v>3</v>
      </c>
      <c r="AG171" s="231" t="s">
        <v>3</v>
      </c>
      <c r="AH171" s="231" t="s">
        <v>1624</v>
      </c>
      <c r="AI171" s="231">
        <v>93</v>
      </c>
      <c r="AJ171" s="312" t="s">
        <v>1633</v>
      </c>
      <c r="AK171" s="308" t="s">
        <v>1634</v>
      </c>
      <c r="AL171" s="46" t="s">
        <v>1635</v>
      </c>
      <c r="AM171" s="115" t="s">
        <v>1623</v>
      </c>
      <c r="AN171" s="115" t="s">
        <v>1623</v>
      </c>
      <c r="AO171" s="115" t="s">
        <v>3</v>
      </c>
      <c r="AP171" s="115" t="s">
        <v>3</v>
      </c>
      <c r="AQ171" s="115" t="s">
        <v>1624</v>
      </c>
      <c r="AR171" s="116" t="s">
        <v>3</v>
      </c>
      <c r="AS171" s="117">
        <f t="shared" si="2"/>
        <v>1</v>
      </c>
      <c r="AT171" s="30" t="s">
        <v>203</v>
      </c>
      <c r="AU171" s="302" t="s">
        <v>3</v>
      </c>
      <c r="AV171" s="302" t="s">
        <v>3</v>
      </c>
      <c r="AW171" s="120">
        <v>42482</v>
      </c>
      <c r="AX171" s="120">
        <v>44250</v>
      </c>
      <c r="AY171" s="302">
        <v>42331</v>
      </c>
      <c r="AZ171" s="305" t="s">
        <v>704</v>
      </c>
      <c r="BA171" s="303">
        <v>44250</v>
      </c>
      <c r="BB171" s="608" t="s">
        <v>3</v>
      </c>
      <c r="BC171" s="527">
        <v>44460</v>
      </c>
      <c r="BD171" s="598" t="s">
        <v>2122</v>
      </c>
      <c r="BE171" s="177" t="s">
        <v>899</v>
      </c>
      <c r="BF171" s="404" t="s">
        <v>424</v>
      </c>
      <c r="BG171" s="396" t="s">
        <v>3</v>
      </c>
      <c r="BH171" s="394" t="s">
        <v>3</v>
      </c>
      <c r="BI171" s="402" t="s">
        <v>3</v>
      </c>
      <c r="BJ171" s="403" t="s">
        <v>3</v>
      </c>
      <c r="BK171"/>
      <c r="BM171"/>
    </row>
    <row r="172" spans="1:65" ht="168" customHeight="1">
      <c r="A172" s="31" t="s">
        <v>633</v>
      </c>
      <c r="B172" s="90" t="s">
        <v>23</v>
      </c>
      <c r="C172" s="230" t="s">
        <v>185</v>
      </c>
      <c r="D172" s="230" t="s">
        <v>1517</v>
      </c>
      <c r="E172" s="230" t="s">
        <v>1</v>
      </c>
      <c r="F172" s="230">
        <v>2030</v>
      </c>
      <c r="G172" s="230" t="s">
        <v>3</v>
      </c>
      <c r="H172" s="179">
        <v>2021</v>
      </c>
      <c r="I172" s="179">
        <v>2030</v>
      </c>
      <c r="J172" s="320" t="s">
        <v>1636</v>
      </c>
      <c r="K172" s="314" t="s">
        <v>1520</v>
      </c>
      <c r="L172" s="30" t="s">
        <v>360</v>
      </c>
      <c r="M172" s="30" t="s">
        <v>131</v>
      </c>
      <c r="N172" s="30" t="s">
        <v>1518</v>
      </c>
      <c r="O172" s="30" t="s">
        <v>131</v>
      </c>
      <c r="P172" s="30" t="s">
        <v>131</v>
      </c>
      <c r="Q172" s="30" t="s">
        <v>131</v>
      </c>
      <c r="R172" s="315" t="s">
        <v>131</v>
      </c>
      <c r="S172" s="30" t="s">
        <v>131</v>
      </c>
      <c r="T172" s="30" t="s">
        <v>1519</v>
      </c>
      <c r="U172" s="30" t="s">
        <v>1519</v>
      </c>
      <c r="V172" s="30" t="s">
        <v>3</v>
      </c>
      <c r="W172" s="30" t="s">
        <v>3</v>
      </c>
      <c r="X172" s="30" t="s">
        <v>3</v>
      </c>
      <c r="Y172" s="298" t="s">
        <v>3</v>
      </c>
      <c r="Z172" s="30">
        <v>21</v>
      </c>
      <c r="AA172" s="30">
        <v>12.4</v>
      </c>
      <c r="AB172" s="30">
        <v>3.4</v>
      </c>
      <c r="AC172" s="30" t="s">
        <v>3</v>
      </c>
      <c r="AD172" s="30" t="s">
        <v>3</v>
      </c>
      <c r="AE172" s="30" t="s">
        <v>3</v>
      </c>
      <c r="AF172" s="298" t="s">
        <v>3</v>
      </c>
      <c r="AG172" s="311" t="s">
        <v>3</v>
      </c>
      <c r="AH172" s="311" t="s">
        <v>3</v>
      </c>
      <c r="AI172" s="311" t="s">
        <v>3</v>
      </c>
      <c r="AJ172" s="316" t="s">
        <v>3</v>
      </c>
      <c r="AK172" s="314" t="s">
        <v>1521</v>
      </c>
      <c r="AL172" s="21" t="s">
        <v>3</v>
      </c>
      <c r="AM172" s="115" t="s">
        <v>3</v>
      </c>
      <c r="AN172" s="115" t="s">
        <v>3</v>
      </c>
      <c r="AO172" s="115" t="s">
        <v>3</v>
      </c>
      <c r="AP172" s="115" t="s">
        <v>3</v>
      </c>
      <c r="AQ172" s="115" t="s">
        <v>3</v>
      </c>
      <c r="AR172" s="116" t="s">
        <v>3</v>
      </c>
      <c r="AS172" s="117" t="str">
        <f t="shared" si="2"/>
        <v/>
      </c>
      <c r="AT172" s="30" t="s">
        <v>203</v>
      </c>
      <c r="AU172" s="302" t="s">
        <v>3</v>
      </c>
      <c r="AV172" s="302">
        <v>37502</v>
      </c>
      <c r="AW172" s="120">
        <v>42482</v>
      </c>
      <c r="AX172" s="120">
        <v>42634</v>
      </c>
      <c r="AY172" s="324">
        <v>42299</v>
      </c>
      <c r="AZ172" s="317" t="s">
        <v>680</v>
      </c>
      <c r="BA172" s="321">
        <v>44463</v>
      </c>
      <c r="BB172" s="603" t="s">
        <v>2121</v>
      </c>
      <c r="BC172" s="394" t="s">
        <v>3</v>
      </c>
      <c r="BD172" s="402" t="s">
        <v>3</v>
      </c>
      <c r="BE172" s="177" t="s">
        <v>899</v>
      </c>
      <c r="BF172" s="404" t="s">
        <v>424</v>
      </c>
      <c r="BG172" s="396" t="s">
        <v>3</v>
      </c>
      <c r="BH172" s="394" t="s">
        <v>3</v>
      </c>
      <c r="BI172" s="402" t="s">
        <v>3</v>
      </c>
      <c r="BJ172" s="403" t="s">
        <v>3</v>
      </c>
      <c r="BK172"/>
      <c r="BM172"/>
    </row>
    <row r="173" spans="1:65" s="595" customFormat="1" ht="119.55" customHeight="1">
      <c r="A173" s="31" t="s">
        <v>2177</v>
      </c>
      <c r="B173" s="203" t="s">
        <v>182</v>
      </c>
      <c r="C173" s="230" t="s">
        <v>185</v>
      </c>
      <c r="D173" s="323" t="s">
        <v>1661</v>
      </c>
      <c r="E173" s="230" t="s">
        <v>1</v>
      </c>
      <c r="F173" s="230">
        <v>2040</v>
      </c>
      <c r="G173" s="230" t="s">
        <v>3</v>
      </c>
      <c r="H173" s="477">
        <v>2021</v>
      </c>
      <c r="I173" s="179">
        <v>2040</v>
      </c>
      <c r="J173" s="320" t="s">
        <v>1660</v>
      </c>
      <c r="K173" s="314" t="s">
        <v>1662</v>
      </c>
      <c r="L173" s="30" t="s">
        <v>360</v>
      </c>
      <c r="M173" s="30" t="s">
        <v>131</v>
      </c>
      <c r="N173" s="30" t="s">
        <v>131</v>
      </c>
      <c r="O173" s="30" t="s">
        <v>131</v>
      </c>
      <c r="P173" s="30" t="s">
        <v>131</v>
      </c>
      <c r="Q173" s="30" t="s">
        <v>131</v>
      </c>
      <c r="R173" s="315" t="s">
        <v>131</v>
      </c>
      <c r="S173" s="30" t="s">
        <v>131</v>
      </c>
      <c r="T173" s="30" t="s">
        <v>131</v>
      </c>
      <c r="U173" s="30" t="s">
        <v>131</v>
      </c>
      <c r="V173" s="30" t="s">
        <v>3</v>
      </c>
      <c r="W173" s="30" t="s">
        <v>3</v>
      </c>
      <c r="X173" s="30" t="s">
        <v>3</v>
      </c>
      <c r="Y173" s="298" t="s">
        <v>3</v>
      </c>
      <c r="Z173" s="293" t="s">
        <v>424</v>
      </c>
      <c r="AA173" s="293" t="s">
        <v>424</v>
      </c>
      <c r="AB173" s="293" t="s">
        <v>424</v>
      </c>
      <c r="AC173" s="293" t="s">
        <v>424</v>
      </c>
      <c r="AD173" s="293" t="s">
        <v>424</v>
      </c>
      <c r="AE173" s="293" t="s">
        <v>424</v>
      </c>
      <c r="AF173" s="298" t="s">
        <v>3</v>
      </c>
      <c r="AG173" s="339" t="s">
        <v>424</v>
      </c>
      <c r="AH173" s="339" t="s">
        <v>424</v>
      </c>
      <c r="AI173" s="339">
        <v>2.74</v>
      </c>
      <c r="AJ173" s="316" t="s">
        <v>1664</v>
      </c>
      <c r="AK173" s="314" t="s">
        <v>1665</v>
      </c>
      <c r="AL173" s="22" t="s">
        <v>1666</v>
      </c>
      <c r="AM173" s="115" t="s">
        <v>132</v>
      </c>
      <c r="AN173" s="115" t="s">
        <v>967</v>
      </c>
      <c r="AO173" s="115" t="s">
        <v>967</v>
      </c>
      <c r="AP173" s="115" t="s">
        <v>967</v>
      </c>
      <c r="AQ173" s="115" t="s">
        <v>3</v>
      </c>
      <c r="AR173" s="116" t="s">
        <v>3</v>
      </c>
      <c r="AS173" s="117">
        <f t="shared" si="2"/>
        <v>1</v>
      </c>
      <c r="AT173" s="30" t="s">
        <v>203</v>
      </c>
      <c r="AU173" s="302" t="s">
        <v>3</v>
      </c>
      <c r="AV173" s="302" t="s">
        <v>3</v>
      </c>
      <c r="AW173" s="120">
        <v>42482</v>
      </c>
      <c r="AX173" s="120">
        <v>42482</v>
      </c>
      <c r="AY173" s="324" t="s">
        <v>3</v>
      </c>
      <c r="AZ173" s="356" t="s">
        <v>3</v>
      </c>
      <c r="BA173" s="321">
        <v>44479</v>
      </c>
      <c r="BB173" s="603" t="s">
        <v>2146</v>
      </c>
      <c r="BC173" s="394" t="s">
        <v>3</v>
      </c>
      <c r="BD173" s="394" t="s">
        <v>3</v>
      </c>
      <c r="BE173" s="177" t="s">
        <v>899</v>
      </c>
      <c r="BF173" s="404" t="s">
        <v>424</v>
      </c>
      <c r="BG173" s="396" t="s">
        <v>3</v>
      </c>
      <c r="BH173" s="394" t="s">
        <v>3</v>
      </c>
      <c r="BI173" s="402" t="s">
        <v>3</v>
      </c>
      <c r="BJ173" s="403" t="s">
        <v>3</v>
      </c>
    </row>
    <row r="174" spans="1:65" s="508" customFormat="1" ht="169.95" customHeight="1">
      <c r="A174" s="31" t="s">
        <v>634</v>
      </c>
      <c r="B174" s="92" t="s">
        <v>180</v>
      </c>
      <c r="C174" s="230" t="s">
        <v>1975</v>
      </c>
      <c r="D174" s="230" t="s">
        <v>1976</v>
      </c>
      <c r="E174" s="337" t="s">
        <v>1</v>
      </c>
      <c r="F174" s="337">
        <v>2030</v>
      </c>
      <c r="G174" s="230" t="s">
        <v>3</v>
      </c>
      <c r="H174" s="173">
        <v>2021</v>
      </c>
      <c r="I174" s="173">
        <v>2030</v>
      </c>
      <c r="J174" s="46" t="s">
        <v>1977</v>
      </c>
      <c r="K174" s="308" t="s">
        <v>1978</v>
      </c>
      <c r="L174" s="293" t="s">
        <v>354</v>
      </c>
      <c r="M174" s="293" t="s">
        <v>131</v>
      </c>
      <c r="N174" s="293" t="s">
        <v>3</v>
      </c>
      <c r="O174" s="293" t="s">
        <v>471</v>
      </c>
      <c r="P174" s="293" t="s">
        <v>471</v>
      </c>
      <c r="Q174" s="293" t="s">
        <v>131</v>
      </c>
      <c r="R174" s="309" t="s">
        <v>3</v>
      </c>
      <c r="S174" s="293" t="s">
        <v>131</v>
      </c>
      <c r="T174" s="293" t="s">
        <v>131</v>
      </c>
      <c r="U174" s="293" t="s">
        <v>131</v>
      </c>
      <c r="V174" s="293" t="s">
        <v>3</v>
      </c>
      <c r="W174" s="293" t="s">
        <v>3</v>
      </c>
      <c r="X174" s="293" t="s">
        <v>3</v>
      </c>
      <c r="Y174" s="310" t="s">
        <v>3</v>
      </c>
      <c r="Z174" s="293">
        <v>18.7</v>
      </c>
      <c r="AA174" s="293">
        <v>97.1</v>
      </c>
      <c r="AB174" s="293">
        <v>42.7</v>
      </c>
      <c r="AC174" s="293" t="s">
        <v>3</v>
      </c>
      <c r="AD174" s="293" t="s">
        <v>3</v>
      </c>
      <c r="AE174" s="293" t="s">
        <v>3</v>
      </c>
      <c r="AF174" s="298" t="s">
        <v>3</v>
      </c>
      <c r="AG174" s="231">
        <v>4.3929999999999998</v>
      </c>
      <c r="AH174" s="231">
        <v>3.85</v>
      </c>
      <c r="AI174" s="231">
        <v>8.2430000000000003</v>
      </c>
      <c r="AJ174" s="312" t="s">
        <v>1979</v>
      </c>
      <c r="AK174" s="308" t="s">
        <v>1979</v>
      </c>
      <c r="AL174" s="22" t="s">
        <v>1980</v>
      </c>
      <c r="AM174" s="115" t="s">
        <v>132</v>
      </c>
      <c r="AN174" s="115" t="s">
        <v>3</v>
      </c>
      <c r="AO174" s="115" t="s">
        <v>3</v>
      </c>
      <c r="AP174" s="115" t="s">
        <v>3</v>
      </c>
      <c r="AQ174" s="115" t="s">
        <v>3</v>
      </c>
      <c r="AR174" s="116" t="s">
        <v>3</v>
      </c>
      <c r="AS174" s="117">
        <f t="shared" si="2"/>
        <v>1</v>
      </c>
      <c r="AT174" s="30" t="s">
        <v>203</v>
      </c>
      <c r="AU174" s="302" t="s">
        <v>3</v>
      </c>
      <c r="AV174" s="302">
        <v>38293</v>
      </c>
      <c r="AW174" s="120">
        <v>42482</v>
      </c>
      <c r="AX174" s="120">
        <v>42949</v>
      </c>
      <c r="AY174" s="302">
        <v>42318</v>
      </c>
      <c r="AZ174" s="305" t="s">
        <v>719</v>
      </c>
      <c r="BA174" s="321">
        <v>44347</v>
      </c>
      <c r="BB174" s="603" t="s">
        <v>2120</v>
      </c>
      <c r="BC174" s="394" t="s">
        <v>3</v>
      </c>
      <c r="BD174" s="402" t="s">
        <v>3</v>
      </c>
      <c r="BE174" s="177" t="s">
        <v>899</v>
      </c>
      <c r="BF174" s="404" t="s">
        <v>424</v>
      </c>
      <c r="BG174" s="396" t="s">
        <v>3</v>
      </c>
      <c r="BH174" s="394" t="s">
        <v>3</v>
      </c>
      <c r="BI174" s="402" t="s">
        <v>3</v>
      </c>
      <c r="BJ174" s="403" t="s">
        <v>3</v>
      </c>
    </row>
    <row r="175" spans="1:65" ht="172.5" customHeight="1">
      <c r="A175" s="32" t="s">
        <v>672</v>
      </c>
      <c r="B175" s="95" t="s">
        <v>181</v>
      </c>
      <c r="C175" s="293" t="s">
        <v>923</v>
      </c>
      <c r="D175" s="293" t="s">
        <v>1073</v>
      </c>
      <c r="E175" s="307">
        <v>2008</v>
      </c>
      <c r="F175" s="293" t="s">
        <v>1074</v>
      </c>
      <c r="G175" s="230" t="s">
        <v>3</v>
      </c>
      <c r="H175" s="412">
        <v>2020</v>
      </c>
      <c r="I175" s="412">
        <v>2030</v>
      </c>
      <c r="J175" s="24" t="s">
        <v>926</v>
      </c>
      <c r="K175" s="308" t="s">
        <v>917</v>
      </c>
      <c r="L175" s="293" t="s">
        <v>360</v>
      </c>
      <c r="M175" s="293" t="s">
        <v>131</v>
      </c>
      <c r="N175" s="293" t="s">
        <v>131</v>
      </c>
      <c r="O175" s="293" t="s">
        <v>131</v>
      </c>
      <c r="P175" s="293" t="s">
        <v>918</v>
      </c>
      <c r="Q175" s="293" t="s">
        <v>131</v>
      </c>
      <c r="R175" s="309" t="s">
        <v>918</v>
      </c>
      <c r="S175" s="293" t="s">
        <v>131</v>
      </c>
      <c r="T175" s="293" t="s">
        <v>131</v>
      </c>
      <c r="U175" s="293" t="s">
        <v>131</v>
      </c>
      <c r="V175" s="293" t="s">
        <v>3</v>
      </c>
      <c r="W175" s="293" t="s">
        <v>3</v>
      </c>
      <c r="X175" s="293" t="s">
        <v>3</v>
      </c>
      <c r="Y175" s="310" t="s">
        <v>3</v>
      </c>
      <c r="Z175" s="293">
        <v>2.1</v>
      </c>
      <c r="AA175" s="293">
        <v>0.8</v>
      </c>
      <c r="AB175" s="293">
        <v>0.2</v>
      </c>
      <c r="AC175" s="293" t="s">
        <v>3</v>
      </c>
      <c r="AD175" s="293" t="s">
        <v>3</v>
      </c>
      <c r="AE175" s="293" t="s">
        <v>3</v>
      </c>
      <c r="AF175" s="298" t="s">
        <v>3</v>
      </c>
      <c r="AG175" s="322" t="s">
        <v>919</v>
      </c>
      <c r="AH175" s="322" t="s">
        <v>919</v>
      </c>
      <c r="AI175" s="322">
        <v>0.69599999999999995</v>
      </c>
      <c r="AJ175" s="312" t="s">
        <v>920</v>
      </c>
      <c r="AK175" s="308" t="s">
        <v>921</v>
      </c>
      <c r="AL175" s="22" t="s">
        <v>916</v>
      </c>
      <c r="AM175" s="115" t="s">
        <v>135</v>
      </c>
      <c r="AN175" s="115" t="s">
        <v>3</v>
      </c>
      <c r="AO175" s="115" t="s">
        <v>3</v>
      </c>
      <c r="AP175" s="115" t="s">
        <v>3</v>
      </c>
      <c r="AQ175" s="115" t="s">
        <v>3</v>
      </c>
      <c r="AR175" s="116" t="s">
        <v>3</v>
      </c>
      <c r="AS175" s="117">
        <f t="shared" si="2"/>
        <v>1</v>
      </c>
      <c r="AT175" s="30" t="s">
        <v>203</v>
      </c>
      <c r="AU175" s="302" t="s">
        <v>3</v>
      </c>
      <c r="AV175" s="302">
        <v>38985</v>
      </c>
      <c r="AW175" s="120">
        <v>42482</v>
      </c>
      <c r="AX175" s="303">
        <v>43509</v>
      </c>
      <c r="AY175" s="302">
        <v>42305</v>
      </c>
      <c r="AZ175" s="317" t="s">
        <v>725</v>
      </c>
      <c r="BA175" s="303">
        <v>43509</v>
      </c>
      <c r="BB175" s="608" t="s">
        <v>3</v>
      </c>
      <c r="BC175" s="321">
        <v>43808</v>
      </c>
      <c r="BD175" s="598" t="s">
        <v>2119</v>
      </c>
      <c r="BE175" s="177" t="s">
        <v>899</v>
      </c>
      <c r="BF175" s="404" t="s">
        <v>424</v>
      </c>
      <c r="BG175" s="396" t="s">
        <v>3</v>
      </c>
      <c r="BH175" s="394" t="s">
        <v>3</v>
      </c>
      <c r="BI175" s="402" t="s">
        <v>3</v>
      </c>
      <c r="BJ175" s="403" t="s">
        <v>3</v>
      </c>
      <c r="BK175"/>
      <c r="BM175"/>
    </row>
    <row r="176" spans="1:65" ht="115.05" customHeight="1">
      <c r="A176" s="32" t="s">
        <v>635</v>
      </c>
      <c r="B176" s="94" t="s">
        <v>76</v>
      </c>
      <c r="C176" s="293" t="s">
        <v>186</v>
      </c>
      <c r="D176" s="318" t="s">
        <v>1832</v>
      </c>
      <c r="E176" s="307">
        <v>1990</v>
      </c>
      <c r="F176" s="293">
        <v>2030</v>
      </c>
      <c r="G176" s="230" t="s">
        <v>1169</v>
      </c>
      <c r="H176" s="177">
        <v>2021</v>
      </c>
      <c r="I176" s="177">
        <v>2030</v>
      </c>
      <c r="J176" s="24" t="s">
        <v>1833</v>
      </c>
      <c r="K176" s="308" t="s">
        <v>3</v>
      </c>
      <c r="L176" s="293" t="s">
        <v>360</v>
      </c>
      <c r="M176" s="293" t="s">
        <v>131</v>
      </c>
      <c r="N176" s="293" t="s">
        <v>131</v>
      </c>
      <c r="O176" s="293" t="s">
        <v>131</v>
      </c>
      <c r="P176" s="293" t="s">
        <v>131</v>
      </c>
      <c r="Q176" s="293" t="s">
        <v>131</v>
      </c>
      <c r="R176" s="309" t="s">
        <v>131</v>
      </c>
      <c r="S176" s="293" t="s">
        <v>131</v>
      </c>
      <c r="T176" s="293" t="s">
        <v>131</v>
      </c>
      <c r="U176" s="293" t="s">
        <v>131</v>
      </c>
      <c r="V176" s="293" t="s">
        <v>131</v>
      </c>
      <c r="W176" s="293" t="s">
        <v>131</v>
      </c>
      <c r="X176" s="293" t="s">
        <v>131</v>
      </c>
      <c r="Y176" s="310" t="s">
        <v>131</v>
      </c>
      <c r="Z176" s="293">
        <v>39.9</v>
      </c>
      <c r="AA176" s="293">
        <v>9.4</v>
      </c>
      <c r="AB176" s="293">
        <v>2.2000000000000002</v>
      </c>
      <c r="AC176" s="293">
        <v>2.5</v>
      </c>
      <c r="AD176" s="293">
        <v>0.1</v>
      </c>
      <c r="AE176" s="293">
        <v>0.5</v>
      </c>
      <c r="AF176" s="298" t="s">
        <v>3</v>
      </c>
      <c r="AG176" s="322" t="s">
        <v>3</v>
      </c>
      <c r="AH176" s="322" t="s">
        <v>3</v>
      </c>
      <c r="AI176" s="322" t="s">
        <v>3</v>
      </c>
      <c r="AJ176" s="312" t="s">
        <v>3</v>
      </c>
      <c r="AK176" s="308" t="s">
        <v>3</v>
      </c>
      <c r="AL176" s="22" t="s">
        <v>1831</v>
      </c>
      <c r="AM176" s="115" t="s">
        <v>131</v>
      </c>
      <c r="AN176" s="115" t="s">
        <v>3</v>
      </c>
      <c r="AO176" s="115" t="s">
        <v>1169</v>
      </c>
      <c r="AP176" s="115" t="s">
        <v>246</v>
      </c>
      <c r="AQ176" s="115" t="s">
        <v>131</v>
      </c>
      <c r="AR176" s="116" t="s">
        <v>3</v>
      </c>
      <c r="AS176" s="117">
        <f t="shared" si="2"/>
        <v>1</v>
      </c>
      <c r="AT176" s="30" t="s">
        <v>205</v>
      </c>
      <c r="AU176" s="302">
        <v>35870</v>
      </c>
      <c r="AV176" s="302">
        <v>37811</v>
      </c>
      <c r="AW176" s="120">
        <v>42482</v>
      </c>
      <c r="AX176" s="120">
        <v>43014</v>
      </c>
      <c r="AY176" s="302">
        <v>42062</v>
      </c>
      <c r="AZ176" s="305" t="s">
        <v>847</v>
      </c>
      <c r="BA176" s="321">
        <v>44547</v>
      </c>
      <c r="BB176" s="603" t="s">
        <v>2118</v>
      </c>
      <c r="BC176" s="394" t="s">
        <v>3</v>
      </c>
      <c r="BD176" s="402" t="s">
        <v>3</v>
      </c>
      <c r="BE176" s="177" t="s">
        <v>899</v>
      </c>
      <c r="BF176" s="404" t="s">
        <v>424</v>
      </c>
      <c r="BG176" s="397">
        <v>2022</v>
      </c>
      <c r="BH176" s="395">
        <v>5</v>
      </c>
      <c r="BI176" s="177" t="s">
        <v>3</v>
      </c>
      <c r="BJ176" s="446" t="s">
        <v>3</v>
      </c>
      <c r="BK176"/>
      <c r="BM176"/>
    </row>
    <row r="177" spans="1:65" ht="103.5" customHeight="1">
      <c r="A177" s="425" t="s">
        <v>2167</v>
      </c>
      <c r="B177" s="203" t="s">
        <v>182</v>
      </c>
      <c r="C177" s="230" t="s">
        <v>3</v>
      </c>
      <c r="D177" s="230" t="s">
        <v>21</v>
      </c>
      <c r="E177" s="230" t="s">
        <v>3</v>
      </c>
      <c r="F177" s="230" t="s">
        <v>3</v>
      </c>
      <c r="G177" s="230" t="s">
        <v>3</v>
      </c>
      <c r="H177" s="174" t="s">
        <v>424</v>
      </c>
      <c r="I177" s="174" t="s">
        <v>424</v>
      </c>
      <c r="J177" s="46" t="s">
        <v>3</v>
      </c>
      <c r="K177" s="314" t="s">
        <v>3</v>
      </c>
      <c r="L177" s="30" t="s">
        <v>3</v>
      </c>
      <c r="M177" s="30" t="s">
        <v>3</v>
      </c>
      <c r="N177" s="30" t="s">
        <v>3</v>
      </c>
      <c r="O177" s="30" t="s">
        <v>3</v>
      </c>
      <c r="P177" s="30" t="s">
        <v>3</v>
      </c>
      <c r="Q177" s="30" t="s">
        <v>3</v>
      </c>
      <c r="R177" s="315" t="s">
        <v>3</v>
      </c>
      <c r="S177" s="30" t="s">
        <v>3</v>
      </c>
      <c r="T177" s="30" t="s">
        <v>3</v>
      </c>
      <c r="U177" s="30" t="s">
        <v>3</v>
      </c>
      <c r="V177" s="30" t="s">
        <v>3</v>
      </c>
      <c r="W177" s="30" t="s">
        <v>3</v>
      </c>
      <c r="X177" s="30" t="s">
        <v>3</v>
      </c>
      <c r="Y177" s="298" t="s">
        <v>3</v>
      </c>
      <c r="Z177" s="30">
        <v>26.3</v>
      </c>
      <c r="AA177" s="30">
        <v>12.6</v>
      </c>
      <c r="AB177" s="30">
        <v>4.4000000000000004</v>
      </c>
      <c r="AC177" s="30" t="s">
        <v>3</v>
      </c>
      <c r="AD177" s="30" t="s">
        <v>3</v>
      </c>
      <c r="AE177" s="30" t="s">
        <v>3</v>
      </c>
      <c r="AF177" s="298" t="s">
        <v>3</v>
      </c>
      <c r="AG177" s="322" t="s">
        <v>3</v>
      </c>
      <c r="AH177" s="339" t="s">
        <v>3</v>
      </c>
      <c r="AI177" s="339" t="s">
        <v>3</v>
      </c>
      <c r="AJ177" s="316" t="s">
        <v>3</v>
      </c>
      <c r="AK177" s="314" t="s">
        <v>3</v>
      </c>
      <c r="AL177" s="21" t="s">
        <v>3</v>
      </c>
      <c r="AM177" s="355" t="s">
        <v>3</v>
      </c>
      <c r="AN177" s="355" t="s">
        <v>3</v>
      </c>
      <c r="AO177" s="355" t="s">
        <v>3</v>
      </c>
      <c r="AP177" s="355" t="s">
        <v>3</v>
      </c>
      <c r="AQ177" s="355" t="s">
        <v>3</v>
      </c>
      <c r="AR177" s="116" t="s">
        <v>3</v>
      </c>
      <c r="AS177" s="117" t="str">
        <f t="shared" si="2"/>
        <v/>
      </c>
      <c r="AT177" s="30" t="s">
        <v>203</v>
      </c>
      <c r="AU177" s="302" t="s">
        <v>3</v>
      </c>
      <c r="AV177" s="302">
        <v>38744</v>
      </c>
      <c r="AW177" s="120" t="s">
        <v>3</v>
      </c>
      <c r="AX177" s="120">
        <v>43052</v>
      </c>
      <c r="AY177" s="324" t="s">
        <v>3</v>
      </c>
      <c r="AZ177" s="356" t="s">
        <v>3</v>
      </c>
      <c r="BA177" s="303">
        <v>43434</v>
      </c>
      <c r="BB177" s="603" t="s">
        <v>2117</v>
      </c>
      <c r="BC177" s="394" t="s">
        <v>3</v>
      </c>
      <c r="BD177" s="394" t="s">
        <v>3</v>
      </c>
      <c r="BE177" s="177" t="s">
        <v>904</v>
      </c>
      <c r="BF177" s="404" t="s">
        <v>471</v>
      </c>
      <c r="BG177" s="396" t="s">
        <v>3</v>
      </c>
      <c r="BH177" s="394" t="s">
        <v>3</v>
      </c>
      <c r="BI177" s="402" t="s">
        <v>3</v>
      </c>
      <c r="BJ177" s="403" t="s">
        <v>3</v>
      </c>
      <c r="BK177" s="283"/>
      <c r="BM177"/>
    </row>
    <row r="178" spans="1:65" ht="108" customHeight="1">
      <c r="A178" s="31" t="s">
        <v>636</v>
      </c>
      <c r="B178" s="93" t="s">
        <v>183</v>
      </c>
      <c r="C178" s="230" t="s">
        <v>186</v>
      </c>
      <c r="D178" s="319" t="s">
        <v>1710</v>
      </c>
      <c r="E178" s="230">
        <v>1990</v>
      </c>
      <c r="F178" s="230">
        <v>2030</v>
      </c>
      <c r="G178" s="230" t="s">
        <v>3</v>
      </c>
      <c r="H178" s="177">
        <v>2021</v>
      </c>
      <c r="I178" s="177">
        <v>2030</v>
      </c>
      <c r="J178" s="320" t="s">
        <v>1709</v>
      </c>
      <c r="K178" s="314" t="s">
        <v>1711</v>
      </c>
      <c r="L178" s="30" t="s">
        <v>360</v>
      </c>
      <c r="M178" s="293" t="s">
        <v>131</v>
      </c>
      <c r="N178" s="293" t="s">
        <v>131</v>
      </c>
      <c r="O178" s="293" t="s">
        <v>1705</v>
      </c>
      <c r="P178" s="293" t="s">
        <v>1705</v>
      </c>
      <c r="Q178" s="293" t="s">
        <v>131</v>
      </c>
      <c r="R178" s="309" t="s">
        <v>131</v>
      </c>
      <c r="S178" s="293" t="s">
        <v>131</v>
      </c>
      <c r="T178" s="293" t="s">
        <v>131</v>
      </c>
      <c r="U178" s="293" t="s">
        <v>131</v>
      </c>
      <c r="V178" s="30" t="s">
        <v>3</v>
      </c>
      <c r="W178" s="30" t="s">
        <v>3</v>
      </c>
      <c r="X178" s="30" t="s">
        <v>3</v>
      </c>
      <c r="Y178" s="298" t="s">
        <v>3</v>
      </c>
      <c r="Z178" s="293">
        <v>5</v>
      </c>
      <c r="AA178" s="293">
        <v>6.9</v>
      </c>
      <c r="AB178" s="293">
        <v>1.7</v>
      </c>
      <c r="AC178" s="30">
        <v>0</v>
      </c>
      <c r="AD178" s="30">
        <v>0.1</v>
      </c>
      <c r="AE178" s="30" t="s">
        <v>3</v>
      </c>
      <c r="AF178" s="298" t="s">
        <v>3</v>
      </c>
      <c r="AG178" s="311" t="s">
        <v>3</v>
      </c>
      <c r="AH178" s="311" t="s">
        <v>3</v>
      </c>
      <c r="AI178" s="311" t="s">
        <v>3</v>
      </c>
      <c r="AJ178" s="316" t="s">
        <v>1712</v>
      </c>
      <c r="AK178" s="314" t="s">
        <v>1713</v>
      </c>
      <c r="AL178" s="21" t="s">
        <v>3</v>
      </c>
      <c r="AM178" s="115" t="s">
        <v>3</v>
      </c>
      <c r="AN178" s="115" t="s">
        <v>3</v>
      </c>
      <c r="AO178" s="115" t="s">
        <v>3</v>
      </c>
      <c r="AP178" s="115" t="s">
        <v>3</v>
      </c>
      <c r="AQ178" s="115" t="s">
        <v>3</v>
      </c>
      <c r="AR178" s="116" t="s">
        <v>3</v>
      </c>
      <c r="AS178" s="117" t="str">
        <f t="shared" si="2"/>
        <v/>
      </c>
      <c r="AT178" s="30" t="s">
        <v>203</v>
      </c>
      <c r="AU178" s="302" t="s">
        <v>3</v>
      </c>
      <c r="AV178" s="302">
        <v>39811</v>
      </c>
      <c r="AW178" s="120">
        <v>42482</v>
      </c>
      <c r="AX178" s="120">
        <v>42816</v>
      </c>
      <c r="AY178" s="325">
        <v>42277</v>
      </c>
      <c r="AZ178" s="317" t="s">
        <v>757</v>
      </c>
      <c r="BA178" s="321">
        <v>44481</v>
      </c>
      <c r="BB178" s="603" t="s">
        <v>2116</v>
      </c>
      <c r="BC178" s="394" t="s">
        <v>3</v>
      </c>
      <c r="BD178" s="394" t="s">
        <v>3</v>
      </c>
      <c r="BE178" s="177" t="s">
        <v>906</v>
      </c>
      <c r="BF178" s="404" t="s">
        <v>471</v>
      </c>
      <c r="BG178" s="396" t="s">
        <v>3</v>
      </c>
      <c r="BH178" s="394" t="s">
        <v>3</v>
      </c>
      <c r="BI178" s="402">
        <v>2019</v>
      </c>
      <c r="BJ178" s="403">
        <v>1</v>
      </c>
      <c r="BK178"/>
      <c r="BM178"/>
    </row>
    <row r="179" spans="1:65" ht="156" customHeight="1">
      <c r="A179" s="31" t="s">
        <v>637</v>
      </c>
      <c r="B179" s="90" t="s">
        <v>23</v>
      </c>
      <c r="C179" s="230" t="s">
        <v>185</v>
      </c>
      <c r="D179" s="319" t="s">
        <v>1057</v>
      </c>
      <c r="E179" s="230" t="s">
        <v>1</v>
      </c>
      <c r="F179" s="230">
        <v>2030</v>
      </c>
      <c r="G179" s="230" t="s">
        <v>3</v>
      </c>
      <c r="H179" s="179">
        <v>2021</v>
      </c>
      <c r="I179" s="179">
        <v>2030</v>
      </c>
      <c r="J179" s="320" t="s">
        <v>1177</v>
      </c>
      <c r="K179" s="314" t="s">
        <v>1178</v>
      </c>
      <c r="L179" s="30" t="s">
        <v>360</v>
      </c>
      <c r="M179" s="30" t="s">
        <v>131</v>
      </c>
      <c r="N179" s="30" t="s">
        <v>131</v>
      </c>
      <c r="O179" s="30" t="s">
        <v>131</v>
      </c>
      <c r="P179" s="30" t="s">
        <v>131</v>
      </c>
      <c r="Q179" s="30" t="s">
        <v>3</v>
      </c>
      <c r="R179" s="315" t="s">
        <v>131</v>
      </c>
      <c r="S179" s="30" t="s">
        <v>131</v>
      </c>
      <c r="T179" s="30" t="s">
        <v>131</v>
      </c>
      <c r="U179" s="30" t="s">
        <v>131</v>
      </c>
      <c r="V179" s="30" t="s">
        <v>131</v>
      </c>
      <c r="W179" s="30" t="s">
        <v>131</v>
      </c>
      <c r="X179" s="30" t="s">
        <v>131</v>
      </c>
      <c r="Y179" s="298" t="s">
        <v>3</v>
      </c>
      <c r="Z179" s="30">
        <v>272.3</v>
      </c>
      <c r="AA179" s="30">
        <v>108.8</v>
      </c>
      <c r="AB179" s="30">
        <v>23</v>
      </c>
      <c r="AC179" s="30" t="s">
        <v>3</v>
      </c>
      <c r="AD179" s="30" t="s">
        <v>3</v>
      </c>
      <c r="AE179" s="30">
        <v>1.3</v>
      </c>
      <c r="AF179" s="298" t="s">
        <v>3</v>
      </c>
      <c r="AG179" s="311" t="s">
        <v>3</v>
      </c>
      <c r="AH179" s="311" t="s">
        <v>3</v>
      </c>
      <c r="AI179" s="311" t="s">
        <v>3</v>
      </c>
      <c r="AJ179" s="316" t="s">
        <v>3</v>
      </c>
      <c r="AK179" s="314" t="s">
        <v>1179</v>
      </c>
      <c r="AL179" s="22" t="s">
        <v>1180</v>
      </c>
      <c r="AM179" s="115" t="s">
        <v>131</v>
      </c>
      <c r="AN179" s="115" t="s">
        <v>131</v>
      </c>
      <c r="AO179" s="115" t="s">
        <v>131</v>
      </c>
      <c r="AP179" s="117" t="s">
        <v>246</v>
      </c>
      <c r="AQ179" s="115" t="s">
        <v>3</v>
      </c>
      <c r="AR179" s="300" t="s">
        <v>246</v>
      </c>
      <c r="AS179" s="117">
        <f t="shared" si="2"/>
        <v>1</v>
      </c>
      <c r="AT179" s="30" t="s">
        <v>203</v>
      </c>
      <c r="AU179" s="302">
        <v>36193</v>
      </c>
      <c r="AV179" s="302">
        <v>37496</v>
      </c>
      <c r="AW179" s="120">
        <v>42482</v>
      </c>
      <c r="AX179" s="303">
        <v>42634</v>
      </c>
      <c r="AY179" s="302">
        <v>42278</v>
      </c>
      <c r="AZ179" s="305" t="s">
        <v>748</v>
      </c>
      <c r="BA179" s="321">
        <v>44130</v>
      </c>
      <c r="BB179" s="603" t="s">
        <v>2114</v>
      </c>
      <c r="BC179" s="394" t="s">
        <v>3</v>
      </c>
      <c r="BD179" s="402" t="s">
        <v>3</v>
      </c>
      <c r="BE179" s="177" t="s">
        <v>899</v>
      </c>
      <c r="BF179" s="404" t="s">
        <v>424</v>
      </c>
      <c r="BG179" s="396" t="s">
        <v>3</v>
      </c>
      <c r="BH179" s="394" t="s">
        <v>3</v>
      </c>
      <c r="BI179" s="440">
        <v>2020</v>
      </c>
      <c r="BJ179" s="448">
        <v>3</v>
      </c>
      <c r="BK179"/>
      <c r="BM179"/>
    </row>
    <row r="180" spans="1:65" ht="138" customHeight="1">
      <c r="A180" s="31" t="s">
        <v>638</v>
      </c>
      <c r="B180" s="90" t="s">
        <v>23</v>
      </c>
      <c r="C180" s="230" t="s">
        <v>189</v>
      </c>
      <c r="D180" s="230" t="s">
        <v>3</v>
      </c>
      <c r="E180" s="230" t="s">
        <v>3</v>
      </c>
      <c r="F180" s="230" t="s">
        <v>3</v>
      </c>
      <c r="G180" s="230" t="s">
        <v>3</v>
      </c>
      <c r="H180" s="179">
        <v>2020</v>
      </c>
      <c r="I180" s="179">
        <v>2025</v>
      </c>
      <c r="J180" s="320" t="s">
        <v>239</v>
      </c>
      <c r="K180" s="314" t="s">
        <v>240</v>
      </c>
      <c r="L180" s="30" t="s">
        <v>360</v>
      </c>
      <c r="M180" s="30" t="s">
        <v>131</v>
      </c>
      <c r="N180" s="30" t="s">
        <v>131</v>
      </c>
      <c r="O180" s="30" t="s">
        <v>3</v>
      </c>
      <c r="P180" s="30" t="s">
        <v>131</v>
      </c>
      <c r="Q180" s="30" t="s">
        <v>131</v>
      </c>
      <c r="R180" s="315" t="s">
        <v>3</v>
      </c>
      <c r="S180" s="30" t="s">
        <v>131</v>
      </c>
      <c r="T180" s="30" t="s">
        <v>131</v>
      </c>
      <c r="U180" s="30" t="s">
        <v>131</v>
      </c>
      <c r="V180" s="30" t="s">
        <v>3</v>
      </c>
      <c r="W180" s="30" t="s">
        <v>3</v>
      </c>
      <c r="X180" s="30" t="s">
        <v>3</v>
      </c>
      <c r="Y180" s="298" t="s">
        <v>3</v>
      </c>
      <c r="Z180" s="293" t="s">
        <v>452</v>
      </c>
      <c r="AA180" s="293" t="s">
        <v>452</v>
      </c>
      <c r="AB180" s="293" t="s">
        <v>452</v>
      </c>
      <c r="AC180" s="293" t="s">
        <v>452</v>
      </c>
      <c r="AD180" s="293" t="s">
        <v>452</v>
      </c>
      <c r="AE180" s="293" t="s">
        <v>452</v>
      </c>
      <c r="AF180" s="298" t="s">
        <v>3</v>
      </c>
      <c r="AG180" s="339" t="s">
        <v>3</v>
      </c>
      <c r="AH180" s="339" t="s">
        <v>3</v>
      </c>
      <c r="AI180" s="339" t="s">
        <v>3</v>
      </c>
      <c r="AJ180" s="316" t="s">
        <v>3</v>
      </c>
      <c r="AK180" s="314" t="s">
        <v>241</v>
      </c>
      <c r="AL180" s="21" t="s">
        <v>3</v>
      </c>
      <c r="AM180" s="115" t="s">
        <v>3</v>
      </c>
      <c r="AN180" s="115" t="s">
        <v>3</v>
      </c>
      <c r="AO180" s="115" t="s">
        <v>3</v>
      </c>
      <c r="AP180" s="115" t="s">
        <v>3</v>
      </c>
      <c r="AQ180" s="115" t="s">
        <v>3</v>
      </c>
      <c r="AR180" s="116" t="s">
        <v>3</v>
      </c>
      <c r="AS180" s="117" t="str">
        <f t="shared" si="2"/>
        <v/>
      </c>
      <c r="AT180" s="30" t="s">
        <v>203</v>
      </c>
      <c r="AU180" s="302" t="s">
        <v>3</v>
      </c>
      <c r="AV180" s="302">
        <v>39735</v>
      </c>
      <c r="AW180" s="120">
        <v>42482</v>
      </c>
      <c r="AX180" s="303">
        <v>42963</v>
      </c>
      <c r="AY180" s="324">
        <v>42963</v>
      </c>
      <c r="AZ180" s="313" t="s">
        <v>676</v>
      </c>
      <c r="BA180" s="303">
        <v>42963</v>
      </c>
      <c r="BB180" s="603" t="s">
        <v>2113</v>
      </c>
      <c r="BC180" s="394" t="s">
        <v>3</v>
      </c>
      <c r="BD180" s="394" t="s">
        <v>3</v>
      </c>
      <c r="BE180" s="177" t="s">
        <v>899</v>
      </c>
      <c r="BF180" s="404" t="s">
        <v>424</v>
      </c>
      <c r="BG180" s="396" t="s">
        <v>3</v>
      </c>
      <c r="BH180" s="394" t="s">
        <v>3</v>
      </c>
      <c r="BI180" s="402" t="s">
        <v>3</v>
      </c>
      <c r="BJ180" s="403" t="s">
        <v>3</v>
      </c>
      <c r="BK180"/>
      <c r="BM180"/>
    </row>
    <row r="181" spans="1:65" ht="108" customHeight="1">
      <c r="A181" s="31" t="s">
        <v>639</v>
      </c>
      <c r="B181" s="92" t="s">
        <v>180</v>
      </c>
      <c r="C181" s="230" t="s">
        <v>185</v>
      </c>
      <c r="D181" s="230" t="s">
        <v>1731</v>
      </c>
      <c r="E181" s="337" t="s">
        <v>1</v>
      </c>
      <c r="F181" s="337">
        <v>2030</v>
      </c>
      <c r="G181" s="230" t="s">
        <v>3</v>
      </c>
      <c r="H181" s="173">
        <v>2020</v>
      </c>
      <c r="I181" s="173">
        <v>2030</v>
      </c>
      <c r="J181" s="46" t="s">
        <v>1732</v>
      </c>
      <c r="K181" s="308" t="s">
        <v>1733</v>
      </c>
      <c r="L181" s="293" t="s">
        <v>360</v>
      </c>
      <c r="M181" s="293" t="s">
        <v>131</v>
      </c>
      <c r="N181" s="293" t="s">
        <v>131</v>
      </c>
      <c r="O181" s="293" t="s">
        <v>1705</v>
      </c>
      <c r="P181" s="293" t="s">
        <v>1705</v>
      </c>
      <c r="Q181" s="293" t="s">
        <v>131</v>
      </c>
      <c r="R181" s="309" t="s">
        <v>1705</v>
      </c>
      <c r="S181" s="293" t="s">
        <v>131</v>
      </c>
      <c r="T181" s="293" t="s">
        <v>131</v>
      </c>
      <c r="U181" s="293" t="s">
        <v>131</v>
      </c>
      <c r="V181" s="293" t="s">
        <v>1705</v>
      </c>
      <c r="W181" s="293" t="s">
        <v>3</v>
      </c>
      <c r="X181" s="293" t="s">
        <v>3</v>
      </c>
      <c r="Y181" s="310" t="s">
        <v>3</v>
      </c>
      <c r="Z181" s="293">
        <v>2.4</v>
      </c>
      <c r="AA181" s="293">
        <v>5.0999999999999996</v>
      </c>
      <c r="AB181" s="293">
        <v>1.5</v>
      </c>
      <c r="AC181" s="293" t="s">
        <v>3</v>
      </c>
      <c r="AD181" s="293" t="s">
        <v>3</v>
      </c>
      <c r="AE181" s="293" t="s">
        <v>3</v>
      </c>
      <c r="AF181" s="298" t="s">
        <v>3</v>
      </c>
      <c r="AG181" s="231">
        <v>2.7</v>
      </c>
      <c r="AH181" s="231">
        <v>2.6</v>
      </c>
      <c r="AI181" s="231">
        <v>5.4</v>
      </c>
      <c r="AJ181" s="312" t="s">
        <v>1734</v>
      </c>
      <c r="AK181" s="308" t="s">
        <v>1735</v>
      </c>
      <c r="AL181" s="22" t="s">
        <v>1736</v>
      </c>
      <c r="AM181" s="115" t="s">
        <v>967</v>
      </c>
      <c r="AN181" s="115" t="s">
        <v>967</v>
      </c>
      <c r="AO181" s="115" t="s">
        <v>967</v>
      </c>
      <c r="AP181" s="115" t="s">
        <v>3</v>
      </c>
      <c r="AQ181" s="115" t="s">
        <v>1706</v>
      </c>
      <c r="AR181" s="116" t="s">
        <v>3</v>
      </c>
      <c r="AS181" s="117">
        <f t="shared" si="2"/>
        <v>1</v>
      </c>
      <c r="AT181" s="30" t="s">
        <v>203</v>
      </c>
      <c r="AU181" s="302" t="s">
        <v>3</v>
      </c>
      <c r="AV181" s="302">
        <v>38170</v>
      </c>
      <c r="AW181" s="120">
        <v>42632</v>
      </c>
      <c r="AX181" s="120">
        <v>42914</v>
      </c>
      <c r="AY181" s="302">
        <v>42277</v>
      </c>
      <c r="AZ181" s="305" t="s">
        <v>728</v>
      </c>
      <c r="BA181" s="321">
        <v>44481</v>
      </c>
      <c r="BB181" s="603" t="s">
        <v>2112</v>
      </c>
      <c r="BC181" s="394" t="s">
        <v>3</v>
      </c>
      <c r="BD181" s="394" t="s">
        <v>3</v>
      </c>
      <c r="BE181" s="177" t="s">
        <v>897</v>
      </c>
      <c r="BF181" s="404" t="s">
        <v>424</v>
      </c>
      <c r="BG181" s="396" t="s">
        <v>3</v>
      </c>
      <c r="BH181" s="394" t="s">
        <v>3</v>
      </c>
      <c r="BI181" s="440">
        <v>2021</v>
      </c>
      <c r="BJ181" s="448">
        <v>2</v>
      </c>
      <c r="BK181"/>
      <c r="BM181"/>
    </row>
    <row r="182" spans="1:65" ht="84" customHeight="1">
      <c r="A182" s="32" t="s">
        <v>640</v>
      </c>
      <c r="B182" s="97" t="s">
        <v>25</v>
      </c>
      <c r="C182" s="293" t="s">
        <v>1195</v>
      </c>
      <c r="D182" s="293" t="s">
        <v>1194</v>
      </c>
      <c r="E182" s="307">
        <v>2006</v>
      </c>
      <c r="F182" s="307">
        <v>2030</v>
      </c>
      <c r="G182" s="230" t="s">
        <v>3</v>
      </c>
      <c r="H182" s="176">
        <v>2021</v>
      </c>
      <c r="I182" s="176">
        <v>2030</v>
      </c>
      <c r="J182" s="360" t="s">
        <v>1196</v>
      </c>
      <c r="K182" s="338" t="s">
        <v>1197</v>
      </c>
      <c r="L182" s="293" t="s">
        <v>360</v>
      </c>
      <c r="M182" s="293" t="s">
        <v>131</v>
      </c>
      <c r="N182" s="293" t="s">
        <v>131</v>
      </c>
      <c r="O182" s="293" t="s">
        <v>131</v>
      </c>
      <c r="P182" s="293" t="s">
        <v>131</v>
      </c>
      <c r="Q182" s="293" t="s">
        <v>471</v>
      </c>
      <c r="R182" s="309" t="s">
        <v>3</v>
      </c>
      <c r="S182" s="293" t="s">
        <v>131</v>
      </c>
      <c r="T182" s="293" t="s">
        <v>131</v>
      </c>
      <c r="U182" s="293" t="s">
        <v>1169</v>
      </c>
      <c r="V182" s="293" t="s">
        <v>3</v>
      </c>
      <c r="W182" s="293" t="s">
        <v>3</v>
      </c>
      <c r="X182" s="293" t="s">
        <v>3</v>
      </c>
      <c r="Y182" s="358" t="s">
        <v>3</v>
      </c>
      <c r="Z182" s="359" t="s">
        <v>452</v>
      </c>
      <c r="AA182" s="293" t="s">
        <v>452</v>
      </c>
      <c r="AB182" s="293" t="s">
        <v>452</v>
      </c>
      <c r="AC182" s="293" t="s">
        <v>452</v>
      </c>
      <c r="AD182" s="293" t="s">
        <v>452</v>
      </c>
      <c r="AE182" s="293" t="s">
        <v>452</v>
      </c>
      <c r="AF182" s="298" t="s">
        <v>3</v>
      </c>
      <c r="AG182" s="322" t="s">
        <v>3</v>
      </c>
      <c r="AH182" s="322" t="s">
        <v>3</v>
      </c>
      <c r="AI182" s="322" t="s">
        <v>3</v>
      </c>
      <c r="AJ182" s="344" t="s">
        <v>3</v>
      </c>
      <c r="AK182" s="338" t="s">
        <v>3</v>
      </c>
      <c r="AL182" s="22" t="s">
        <v>1198</v>
      </c>
      <c r="AM182" s="115" t="s">
        <v>3</v>
      </c>
      <c r="AN182" s="115" t="s">
        <v>3</v>
      </c>
      <c r="AO182" s="115" t="s">
        <v>3</v>
      </c>
      <c r="AP182" s="115" t="s">
        <v>3</v>
      </c>
      <c r="AQ182" s="115" t="s">
        <v>3</v>
      </c>
      <c r="AR182" s="116" t="s">
        <v>3</v>
      </c>
      <c r="AS182" s="117" t="str">
        <f t="shared" si="2"/>
        <v/>
      </c>
      <c r="AT182" s="30" t="s">
        <v>203</v>
      </c>
      <c r="AU182" s="302" t="s">
        <v>3</v>
      </c>
      <c r="AV182" s="302">
        <v>39461</v>
      </c>
      <c r="AW182" s="120">
        <v>42482</v>
      </c>
      <c r="AX182" s="120">
        <v>42634</v>
      </c>
      <c r="AY182" s="302">
        <v>42342</v>
      </c>
      <c r="AZ182" s="317" t="s">
        <v>688</v>
      </c>
      <c r="BA182" s="325">
        <v>42634</v>
      </c>
      <c r="BB182" s="608" t="s">
        <v>3</v>
      </c>
      <c r="BC182" s="352">
        <v>44174</v>
      </c>
      <c r="BD182" s="486" t="s">
        <v>2111</v>
      </c>
      <c r="BE182" s="177" t="s">
        <v>899</v>
      </c>
      <c r="BF182" s="404" t="s">
        <v>424</v>
      </c>
      <c r="BG182" s="396" t="s">
        <v>3</v>
      </c>
      <c r="BH182" s="394" t="s">
        <v>3</v>
      </c>
      <c r="BI182" s="402" t="s">
        <v>3</v>
      </c>
      <c r="BJ182" s="403" t="s">
        <v>3</v>
      </c>
      <c r="BK182"/>
      <c r="BM182"/>
    </row>
    <row r="183" spans="1:65" ht="103.5" customHeight="1">
      <c r="A183" s="32" t="s">
        <v>641</v>
      </c>
      <c r="B183" s="95" t="s">
        <v>181</v>
      </c>
      <c r="C183" s="293" t="s">
        <v>185</v>
      </c>
      <c r="D183" s="318">
        <v>0.15</v>
      </c>
      <c r="E183" s="307" t="s">
        <v>1</v>
      </c>
      <c r="F183" s="307">
        <v>2030</v>
      </c>
      <c r="G183" s="230" t="s">
        <v>3</v>
      </c>
      <c r="H183" s="177" t="s">
        <v>424</v>
      </c>
      <c r="I183" s="177">
        <v>2030</v>
      </c>
      <c r="J183" s="24" t="s">
        <v>43</v>
      </c>
      <c r="K183" s="308" t="s">
        <v>3</v>
      </c>
      <c r="L183" s="293" t="s">
        <v>360</v>
      </c>
      <c r="M183" s="293" t="s">
        <v>131</v>
      </c>
      <c r="N183" s="293" t="s">
        <v>3</v>
      </c>
      <c r="O183" s="293" t="s">
        <v>131</v>
      </c>
      <c r="P183" s="293" t="s">
        <v>3</v>
      </c>
      <c r="Q183" s="293" t="s">
        <v>3</v>
      </c>
      <c r="R183" s="358" t="s">
        <v>131</v>
      </c>
      <c r="S183" s="293" t="s">
        <v>131</v>
      </c>
      <c r="T183" s="293" t="s">
        <v>131</v>
      </c>
      <c r="U183" s="293" t="s">
        <v>131</v>
      </c>
      <c r="V183" s="293" t="s">
        <v>3</v>
      </c>
      <c r="W183" s="293" t="s">
        <v>3</v>
      </c>
      <c r="X183" s="293" t="s">
        <v>3</v>
      </c>
      <c r="Y183" s="293" t="s">
        <v>3</v>
      </c>
      <c r="Z183" s="359">
        <v>37.4</v>
      </c>
      <c r="AA183" s="293">
        <v>15.9</v>
      </c>
      <c r="AB183" s="293">
        <v>8.3000000000000007</v>
      </c>
      <c r="AC183" s="293">
        <v>0.1</v>
      </c>
      <c r="AD183" s="293" t="s">
        <v>3</v>
      </c>
      <c r="AE183" s="293" t="s">
        <v>3</v>
      </c>
      <c r="AF183" s="298" t="s">
        <v>3</v>
      </c>
      <c r="AG183" s="322">
        <v>2</v>
      </c>
      <c r="AH183" s="322" t="s">
        <v>3</v>
      </c>
      <c r="AI183" s="322">
        <v>2</v>
      </c>
      <c r="AJ183" s="312" t="s">
        <v>119</v>
      </c>
      <c r="AK183" s="308" t="s">
        <v>120</v>
      </c>
      <c r="AL183" s="21" t="s">
        <v>3</v>
      </c>
      <c r="AM183" s="115" t="s">
        <v>3</v>
      </c>
      <c r="AN183" s="115" t="s">
        <v>3</v>
      </c>
      <c r="AO183" s="115" t="s">
        <v>3</v>
      </c>
      <c r="AP183" s="115" t="s">
        <v>3</v>
      </c>
      <c r="AQ183" s="115" t="s">
        <v>3</v>
      </c>
      <c r="AR183" s="116" t="s">
        <v>3</v>
      </c>
      <c r="AS183" s="117" t="str">
        <f t="shared" si="2"/>
        <v/>
      </c>
      <c r="AT183" s="30" t="s">
        <v>203</v>
      </c>
      <c r="AU183" s="302">
        <v>36167</v>
      </c>
      <c r="AV183" s="302">
        <v>36188</v>
      </c>
      <c r="AW183" s="120">
        <v>42482</v>
      </c>
      <c r="AX183" s="120">
        <v>43153</v>
      </c>
      <c r="AY183" s="302">
        <v>42298</v>
      </c>
      <c r="AZ183" s="317" t="s">
        <v>729</v>
      </c>
      <c r="BA183" s="303">
        <v>43153</v>
      </c>
      <c r="BB183" s="603" t="s">
        <v>2110</v>
      </c>
      <c r="BC183" s="394" t="s">
        <v>3</v>
      </c>
      <c r="BD183" s="394" t="s">
        <v>3</v>
      </c>
      <c r="BE183" s="177" t="s">
        <v>899</v>
      </c>
      <c r="BF183" s="404" t="s">
        <v>424</v>
      </c>
      <c r="BG183" s="396" t="s">
        <v>3</v>
      </c>
      <c r="BH183" s="394" t="s">
        <v>3</v>
      </c>
      <c r="BI183" s="402">
        <v>2021</v>
      </c>
      <c r="BJ183" s="403">
        <v>1</v>
      </c>
      <c r="BK183"/>
      <c r="BM183"/>
    </row>
    <row r="184" spans="1:65" ht="156" customHeight="1">
      <c r="A184" s="31" t="s">
        <v>642</v>
      </c>
      <c r="B184" s="91" t="s">
        <v>182</v>
      </c>
      <c r="C184" s="230" t="s">
        <v>1667</v>
      </c>
      <c r="D184" s="293" t="s">
        <v>1668</v>
      </c>
      <c r="E184" s="337">
        <v>2010</v>
      </c>
      <c r="F184" s="337">
        <v>2030</v>
      </c>
      <c r="G184" s="230" t="s">
        <v>3</v>
      </c>
      <c r="H184" s="173">
        <v>2015</v>
      </c>
      <c r="I184" s="173">
        <v>2030</v>
      </c>
      <c r="J184" s="46" t="s">
        <v>1671</v>
      </c>
      <c r="K184" s="308" t="s">
        <v>1670</v>
      </c>
      <c r="L184" s="293" t="s">
        <v>360</v>
      </c>
      <c r="M184" s="293" t="s">
        <v>131</v>
      </c>
      <c r="N184" s="293" t="s">
        <v>131</v>
      </c>
      <c r="O184" s="293" t="s">
        <v>131</v>
      </c>
      <c r="P184" s="293" t="s">
        <v>131</v>
      </c>
      <c r="Q184" s="293" t="s">
        <v>131</v>
      </c>
      <c r="R184" s="309" t="s">
        <v>131</v>
      </c>
      <c r="S184" s="293" t="s">
        <v>131</v>
      </c>
      <c r="T184" s="293" t="s">
        <v>131</v>
      </c>
      <c r="U184" s="293" t="s">
        <v>131</v>
      </c>
      <c r="V184" s="293" t="s">
        <v>1669</v>
      </c>
      <c r="W184" s="293" t="s">
        <v>3</v>
      </c>
      <c r="X184" s="293" t="s">
        <v>1669</v>
      </c>
      <c r="Y184" s="310" t="s">
        <v>3</v>
      </c>
      <c r="Z184" s="293">
        <v>30.2</v>
      </c>
      <c r="AA184" s="293">
        <v>8.9</v>
      </c>
      <c r="AB184" s="293">
        <v>2.6</v>
      </c>
      <c r="AC184" s="293" t="s">
        <v>3</v>
      </c>
      <c r="AD184" s="293" t="s">
        <v>3</v>
      </c>
      <c r="AE184" s="293" t="s">
        <v>3</v>
      </c>
      <c r="AF184" s="298" t="s">
        <v>3</v>
      </c>
      <c r="AG184" s="231">
        <v>14.4</v>
      </c>
      <c r="AH184" s="231">
        <v>4.2229999999999999</v>
      </c>
      <c r="AI184" s="231">
        <f>AG184+AH184</f>
        <v>18.623000000000001</v>
      </c>
      <c r="AJ184" s="312" t="s">
        <v>1672</v>
      </c>
      <c r="AK184" s="308" t="s">
        <v>1673</v>
      </c>
      <c r="AL184" s="22" t="s">
        <v>1674</v>
      </c>
      <c r="AM184" s="115" t="s">
        <v>131</v>
      </c>
      <c r="AN184" s="115" t="s">
        <v>3</v>
      </c>
      <c r="AO184" s="115" t="s">
        <v>1669</v>
      </c>
      <c r="AP184" s="115" t="s">
        <v>3</v>
      </c>
      <c r="AQ184" s="115" t="s">
        <v>3</v>
      </c>
      <c r="AR184" s="116" t="s">
        <v>3</v>
      </c>
      <c r="AS184" s="117">
        <f t="shared" si="2"/>
        <v>1</v>
      </c>
      <c r="AT184" s="30" t="s">
        <v>203</v>
      </c>
      <c r="AU184" s="302" t="s">
        <v>3</v>
      </c>
      <c r="AV184" s="302">
        <v>37643</v>
      </c>
      <c r="AW184" s="120">
        <v>42482</v>
      </c>
      <c r="AX184" s="120">
        <v>42776</v>
      </c>
      <c r="AY184" s="302">
        <v>42263</v>
      </c>
      <c r="AZ184" s="305" t="s">
        <v>821</v>
      </c>
      <c r="BA184" s="321">
        <v>44479</v>
      </c>
      <c r="BB184" s="603" t="s">
        <v>2109</v>
      </c>
      <c r="BC184" s="394" t="s">
        <v>3</v>
      </c>
      <c r="BD184" s="394" t="s">
        <v>3</v>
      </c>
      <c r="BE184" s="177" t="s">
        <v>897</v>
      </c>
      <c r="BF184" s="404" t="s">
        <v>471</v>
      </c>
      <c r="BG184" s="396" t="s">
        <v>3</v>
      </c>
      <c r="BH184" s="394" t="s">
        <v>3</v>
      </c>
      <c r="BI184" s="440">
        <v>2016</v>
      </c>
      <c r="BJ184" s="448">
        <v>2</v>
      </c>
      <c r="BK184"/>
      <c r="BM184"/>
    </row>
    <row r="185" spans="1:65" ht="91.95" customHeight="1">
      <c r="A185" s="31" t="s">
        <v>2093</v>
      </c>
      <c r="B185" s="91" t="s">
        <v>248</v>
      </c>
      <c r="C185" s="230" t="s">
        <v>185</v>
      </c>
      <c r="D185" s="319">
        <v>0.21</v>
      </c>
      <c r="E185" s="230" t="s">
        <v>1</v>
      </c>
      <c r="F185" s="230">
        <v>2030</v>
      </c>
      <c r="G185" s="230" t="s">
        <v>3</v>
      </c>
      <c r="H185" s="174" t="s">
        <v>424</v>
      </c>
      <c r="I185" s="174" t="s">
        <v>424</v>
      </c>
      <c r="J185" s="320" t="s">
        <v>1097</v>
      </c>
      <c r="K185" s="314" t="s">
        <v>3</v>
      </c>
      <c r="L185" s="30" t="s">
        <v>360</v>
      </c>
      <c r="M185" s="293" t="s">
        <v>131</v>
      </c>
      <c r="N185" s="293" t="s">
        <v>131</v>
      </c>
      <c r="O185" s="293" t="s">
        <v>131</v>
      </c>
      <c r="P185" s="293" t="s">
        <v>131</v>
      </c>
      <c r="Q185" s="293" t="s">
        <v>131</v>
      </c>
      <c r="R185" s="309" t="s">
        <v>131</v>
      </c>
      <c r="S185" s="30" t="s">
        <v>131</v>
      </c>
      <c r="T185" s="30" t="s">
        <v>131</v>
      </c>
      <c r="U185" s="30" t="s">
        <v>131</v>
      </c>
      <c r="V185" s="30" t="s">
        <v>131</v>
      </c>
      <c r="W185" s="30" t="s">
        <v>131</v>
      </c>
      <c r="X185" s="30" t="s">
        <v>131</v>
      </c>
      <c r="Y185" s="298" t="s">
        <v>131</v>
      </c>
      <c r="Z185" s="30">
        <v>367.2</v>
      </c>
      <c r="AA185" s="30">
        <v>103.2</v>
      </c>
      <c r="AB185" s="30">
        <v>48.7</v>
      </c>
      <c r="AC185" s="30">
        <v>4.7</v>
      </c>
      <c r="AD185" s="30">
        <v>0.2</v>
      </c>
      <c r="AE185" s="30">
        <v>2</v>
      </c>
      <c r="AF185" s="298" t="s">
        <v>3</v>
      </c>
      <c r="AG185" s="311" t="s">
        <v>3</v>
      </c>
      <c r="AH185" s="311" t="s">
        <v>3</v>
      </c>
      <c r="AI185" s="311" t="s">
        <v>3</v>
      </c>
      <c r="AJ185" s="316" t="s">
        <v>3</v>
      </c>
      <c r="AK185" s="314" t="s">
        <v>3</v>
      </c>
      <c r="AL185" s="22" t="s">
        <v>1617</v>
      </c>
      <c r="AM185" s="115" t="s">
        <v>131</v>
      </c>
      <c r="AN185" s="115" t="s">
        <v>3</v>
      </c>
      <c r="AO185" s="115" t="s">
        <v>3</v>
      </c>
      <c r="AP185" s="115" t="s">
        <v>3</v>
      </c>
      <c r="AQ185" s="115" t="s">
        <v>3</v>
      </c>
      <c r="AR185" s="116" t="s">
        <v>3</v>
      </c>
      <c r="AS185" s="117">
        <f t="shared" si="2"/>
        <v>1</v>
      </c>
      <c r="AT185" s="30" t="s">
        <v>204</v>
      </c>
      <c r="AU185" s="302" t="s">
        <v>3</v>
      </c>
      <c r="AV185" s="302">
        <v>39961</v>
      </c>
      <c r="AW185" s="120">
        <v>42482</v>
      </c>
      <c r="AX185" s="321">
        <v>44480</v>
      </c>
      <c r="AY185" s="326">
        <v>42277</v>
      </c>
      <c r="AZ185" s="305" t="s">
        <v>753</v>
      </c>
      <c r="BA185" s="321">
        <v>44480</v>
      </c>
      <c r="BB185" s="609" t="s">
        <v>2108</v>
      </c>
      <c r="BC185" s="394" t="s">
        <v>3</v>
      </c>
      <c r="BD185" s="394" t="s">
        <v>3</v>
      </c>
      <c r="BE185" s="177" t="s">
        <v>899</v>
      </c>
      <c r="BF185" s="404" t="s">
        <v>424</v>
      </c>
      <c r="BG185" s="397">
        <v>2018</v>
      </c>
      <c r="BH185" s="395">
        <v>3</v>
      </c>
      <c r="BI185" s="177" t="s">
        <v>3</v>
      </c>
      <c r="BJ185" s="446" t="s">
        <v>3</v>
      </c>
      <c r="BK185"/>
      <c r="BM185"/>
    </row>
    <row r="186" spans="1:65" ht="108" customHeight="1">
      <c r="A186" s="31" t="s">
        <v>643</v>
      </c>
      <c r="B186" s="93" t="s">
        <v>183</v>
      </c>
      <c r="C186" s="230" t="s">
        <v>186</v>
      </c>
      <c r="D186" s="319" t="s">
        <v>1149</v>
      </c>
      <c r="E186" s="230">
        <v>2000</v>
      </c>
      <c r="F186" s="230">
        <v>2030</v>
      </c>
      <c r="G186" s="230" t="s">
        <v>3</v>
      </c>
      <c r="H186" s="180">
        <v>2020</v>
      </c>
      <c r="I186" s="180">
        <v>2030</v>
      </c>
      <c r="J186" s="320" t="s">
        <v>92</v>
      </c>
      <c r="K186" s="314" t="s">
        <v>107</v>
      </c>
      <c r="L186" s="30" t="s">
        <v>360</v>
      </c>
      <c r="M186" s="30" t="s">
        <v>131</v>
      </c>
      <c r="N186" s="30" t="s">
        <v>131</v>
      </c>
      <c r="O186" s="30" t="s">
        <v>3</v>
      </c>
      <c r="P186" s="30" t="s">
        <v>131</v>
      </c>
      <c r="Q186" s="30" t="s">
        <v>3</v>
      </c>
      <c r="R186" s="315" t="s">
        <v>131</v>
      </c>
      <c r="S186" s="293" t="s">
        <v>131</v>
      </c>
      <c r="T186" s="293" t="s">
        <v>131</v>
      </c>
      <c r="U186" s="293" t="s">
        <v>131</v>
      </c>
      <c r="V186" s="30" t="s">
        <v>3</v>
      </c>
      <c r="W186" s="30" t="s">
        <v>3</v>
      </c>
      <c r="X186" s="30" t="s">
        <v>3</v>
      </c>
      <c r="Y186" s="298" t="s">
        <v>3</v>
      </c>
      <c r="Z186" s="293">
        <v>74.8</v>
      </c>
      <c r="AA186" s="293">
        <v>43.5</v>
      </c>
      <c r="AB186" s="293">
        <v>5.0999999999999996</v>
      </c>
      <c r="AC186" s="30">
        <v>0.1</v>
      </c>
      <c r="AD186" s="30" t="s">
        <v>3</v>
      </c>
      <c r="AE186" s="30" t="s">
        <v>3</v>
      </c>
      <c r="AF186" s="298" t="s">
        <v>3</v>
      </c>
      <c r="AG186" s="231" t="s">
        <v>3</v>
      </c>
      <c r="AH186" s="232">
        <v>10.5</v>
      </c>
      <c r="AI186" s="232">
        <v>10.5</v>
      </c>
      <c r="AJ186" s="316" t="s">
        <v>93</v>
      </c>
      <c r="AK186" s="314" t="s">
        <v>3</v>
      </c>
      <c r="AL186" s="21" t="s">
        <v>3</v>
      </c>
      <c r="AM186" s="115" t="s">
        <v>3</v>
      </c>
      <c r="AN186" s="115" t="s">
        <v>3</v>
      </c>
      <c r="AO186" s="115" t="s">
        <v>3</v>
      </c>
      <c r="AP186" s="115" t="s">
        <v>3</v>
      </c>
      <c r="AQ186" s="115" t="s">
        <v>3</v>
      </c>
      <c r="AR186" s="116" t="s">
        <v>3</v>
      </c>
      <c r="AS186" s="117" t="str">
        <f t="shared" si="2"/>
        <v/>
      </c>
      <c r="AT186" s="30" t="s">
        <v>203</v>
      </c>
      <c r="AU186" s="302">
        <v>36066</v>
      </c>
      <c r="AV186" s="302">
        <v>36171</v>
      </c>
      <c r="AW186" s="120">
        <v>42483</v>
      </c>
      <c r="AX186" s="120">
        <v>42663</v>
      </c>
      <c r="AY186" s="325">
        <v>42277</v>
      </c>
      <c r="AZ186" s="317" t="s">
        <v>763</v>
      </c>
      <c r="BA186" s="325">
        <v>42664</v>
      </c>
      <c r="BB186" s="603" t="s">
        <v>2107</v>
      </c>
      <c r="BC186" s="394" t="s">
        <v>3</v>
      </c>
      <c r="BD186" s="394" t="s">
        <v>3</v>
      </c>
      <c r="BE186" s="177" t="s">
        <v>913</v>
      </c>
      <c r="BF186" s="404" t="s">
        <v>424</v>
      </c>
      <c r="BG186" s="396" t="s">
        <v>3</v>
      </c>
      <c r="BH186" s="394" t="s">
        <v>3</v>
      </c>
      <c r="BI186" s="402" t="s">
        <v>3</v>
      </c>
      <c r="BJ186" s="403" t="s">
        <v>3</v>
      </c>
      <c r="BK186"/>
      <c r="BM186"/>
    </row>
    <row r="187" spans="1:65" ht="108" customHeight="1">
      <c r="A187" s="32" t="s">
        <v>652</v>
      </c>
      <c r="B187" s="97" t="s">
        <v>25</v>
      </c>
      <c r="C187" s="293" t="s">
        <v>186</v>
      </c>
      <c r="D187" s="293" t="s">
        <v>1059</v>
      </c>
      <c r="E187" s="307">
        <v>2010</v>
      </c>
      <c r="F187" s="307">
        <v>2025</v>
      </c>
      <c r="G187" s="230" t="s">
        <v>3</v>
      </c>
      <c r="H187" s="176">
        <v>2020</v>
      </c>
      <c r="I187" s="176">
        <v>2025</v>
      </c>
      <c r="J187" s="360" t="s">
        <v>202</v>
      </c>
      <c r="K187" s="338" t="s">
        <v>3</v>
      </c>
      <c r="L187" s="293" t="s">
        <v>360</v>
      </c>
      <c r="M187" s="293" t="s">
        <v>131</v>
      </c>
      <c r="N187" s="293" t="s">
        <v>131</v>
      </c>
      <c r="O187" s="293" t="s">
        <v>131</v>
      </c>
      <c r="P187" s="293" t="s">
        <v>131</v>
      </c>
      <c r="Q187" s="293" t="s">
        <v>3</v>
      </c>
      <c r="R187" s="309" t="s">
        <v>3</v>
      </c>
      <c r="S187" s="30" t="s">
        <v>131</v>
      </c>
      <c r="T187" s="30" t="s">
        <v>3</v>
      </c>
      <c r="U187" s="30" t="s">
        <v>3</v>
      </c>
      <c r="V187" s="30" t="s">
        <v>3</v>
      </c>
      <c r="W187" s="30" t="s">
        <v>3</v>
      </c>
      <c r="X187" s="30" t="s">
        <v>3</v>
      </c>
      <c r="Y187" s="298" t="s">
        <v>3</v>
      </c>
      <c r="Z187" s="293" t="s">
        <v>452</v>
      </c>
      <c r="AA187" s="293" t="s">
        <v>452</v>
      </c>
      <c r="AB187" s="293" t="s">
        <v>452</v>
      </c>
      <c r="AC187" s="293" t="s">
        <v>452</v>
      </c>
      <c r="AD187" s="293" t="s">
        <v>452</v>
      </c>
      <c r="AE187" s="293" t="s">
        <v>452</v>
      </c>
      <c r="AF187" s="298" t="s">
        <v>3</v>
      </c>
      <c r="AG187" s="322" t="s">
        <v>3</v>
      </c>
      <c r="AH187" s="322" t="s">
        <v>3</v>
      </c>
      <c r="AI187" s="322">
        <v>0.35599999999999998</v>
      </c>
      <c r="AJ187" s="344" t="s">
        <v>176</v>
      </c>
      <c r="AK187" s="338" t="s">
        <v>3</v>
      </c>
      <c r="AL187" s="22" t="s">
        <v>71</v>
      </c>
      <c r="AM187" s="115" t="s">
        <v>135</v>
      </c>
      <c r="AN187" s="115" t="s">
        <v>3</v>
      </c>
      <c r="AO187" s="115" t="s">
        <v>3</v>
      </c>
      <c r="AP187" s="115" t="s">
        <v>3</v>
      </c>
      <c r="AQ187" s="115" t="s">
        <v>3</v>
      </c>
      <c r="AR187" s="116" t="s">
        <v>3</v>
      </c>
      <c r="AS187" s="117">
        <f t="shared" si="2"/>
        <v>1</v>
      </c>
      <c r="AT187" s="30" t="s">
        <v>203</v>
      </c>
      <c r="AU187" s="302">
        <v>36115</v>
      </c>
      <c r="AV187" s="302">
        <v>36115</v>
      </c>
      <c r="AW187" s="120">
        <v>42482</v>
      </c>
      <c r="AX187" s="120">
        <v>42482</v>
      </c>
      <c r="AY187" s="302">
        <v>42335</v>
      </c>
      <c r="AZ187" s="317" t="s">
        <v>694</v>
      </c>
      <c r="BA187" s="302">
        <v>42482</v>
      </c>
      <c r="BB187" s="603" t="s">
        <v>2106</v>
      </c>
      <c r="BC187" s="394" t="s">
        <v>3</v>
      </c>
      <c r="BD187" s="394" t="s">
        <v>3</v>
      </c>
      <c r="BE187" s="177" t="s">
        <v>913</v>
      </c>
      <c r="BF187" s="404" t="s">
        <v>424</v>
      </c>
      <c r="BG187" s="396" t="s">
        <v>3</v>
      </c>
      <c r="BH187" s="394" t="s">
        <v>3</v>
      </c>
      <c r="BI187" s="402" t="s">
        <v>3</v>
      </c>
      <c r="BJ187" s="403" t="s">
        <v>3</v>
      </c>
      <c r="BK187"/>
      <c r="BM187"/>
    </row>
    <row r="188" spans="1:65" ht="126.45" customHeight="1">
      <c r="A188" s="31" t="s">
        <v>653</v>
      </c>
      <c r="B188" s="92" t="s">
        <v>180</v>
      </c>
      <c r="C188" s="230" t="s">
        <v>185</v>
      </c>
      <c r="D188" s="319" t="s">
        <v>1960</v>
      </c>
      <c r="E188" s="337" t="s">
        <v>1</v>
      </c>
      <c r="F188" s="337">
        <v>2030</v>
      </c>
      <c r="G188" s="230" t="s">
        <v>3</v>
      </c>
      <c r="H188" s="181">
        <v>2021</v>
      </c>
      <c r="I188" s="173">
        <v>2030</v>
      </c>
      <c r="J188" s="46" t="s">
        <v>1959</v>
      </c>
      <c r="K188" s="308" t="s">
        <v>1963</v>
      </c>
      <c r="L188" s="293" t="s">
        <v>360</v>
      </c>
      <c r="M188" s="293" t="s">
        <v>131</v>
      </c>
      <c r="N188" s="293" t="s">
        <v>131</v>
      </c>
      <c r="O188" s="293" t="s">
        <v>131</v>
      </c>
      <c r="P188" s="293" t="s">
        <v>1961</v>
      </c>
      <c r="Q188" s="293" t="s">
        <v>131</v>
      </c>
      <c r="R188" s="309" t="s">
        <v>1961</v>
      </c>
      <c r="S188" s="293" t="s">
        <v>131</v>
      </c>
      <c r="T188" s="293" t="s">
        <v>131</v>
      </c>
      <c r="U188" s="293" t="s">
        <v>1961</v>
      </c>
      <c r="V188" s="293" t="s">
        <v>3</v>
      </c>
      <c r="W188" s="293" t="s">
        <v>3</v>
      </c>
      <c r="X188" s="293" t="s">
        <v>3</v>
      </c>
      <c r="Y188" s="310" t="s">
        <v>3</v>
      </c>
      <c r="Z188" s="293" t="s">
        <v>452</v>
      </c>
      <c r="AA188" s="293" t="s">
        <v>452</v>
      </c>
      <c r="AB188" s="293" t="s">
        <v>452</v>
      </c>
      <c r="AC188" s="293" t="s">
        <v>452</v>
      </c>
      <c r="AD188" s="293" t="s">
        <v>452</v>
      </c>
      <c r="AE188" s="293" t="s">
        <v>452</v>
      </c>
      <c r="AF188" s="298" t="s">
        <v>3</v>
      </c>
      <c r="AG188" s="231">
        <v>8.6999999999999993</v>
      </c>
      <c r="AH188" s="231">
        <v>15.2</v>
      </c>
      <c r="AI188" s="231">
        <f>SUM(AG188:AH188)</f>
        <v>23.9</v>
      </c>
      <c r="AJ188" s="592" t="s">
        <v>1964</v>
      </c>
      <c r="AK188" s="308" t="s">
        <v>1965</v>
      </c>
      <c r="AL188" s="22" t="s">
        <v>1962</v>
      </c>
      <c r="AM188" s="115" t="s">
        <v>1966</v>
      </c>
      <c r="AN188" s="115" t="s">
        <v>3</v>
      </c>
      <c r="AO188" s="115" t="s">
        <v>3</v>
      </c>
      <c r="AP188" s="115" t="s">
        <v>3</v>
      </c>
      <c r="AQ188" s="115" t="s">
        <v>1966</v>
      </c>
      <c r="AR188" s="116" t="s">
        <v>3</v>
      </c>
      <c r="AS188" s="117" t="str">
        <f t="shared" si="2"/>
        <v/>
      </c>
      <c r="AT188" s="30" t="s">
        <v>203</v>
      </c>
      <c r="AU188" s="302" t="s">
        <v>3</v>
      </c>
      <c r="AV188" s="302">
        <v>37340</v>
      </c>
      <c r="AW188" s="120">
        <v>42482</v>
      </c>
      <c r="AX188" s="120">
        <v>42634</v>
      </c>
      <c r="AY188" s="302">
        <v>42305</v>
      </c>
      <c r="AZ188" s="305" t="s">
        <v>723</v>
      </c>
      <c r="BA188" s="321">
        <v>44816</v>
      </c>
      <c r="BB188" s="603" t="s">
        <v>2105</v>
      </c>
      <c r="BC188" s="394" t="s">
        <v>3</v>
      </c>
      <c r="BD188" s="394" t="s">
        <v>3</v>
      </c>
      <c r="BE188" s="177" t="s">
        <v>913</v>
      </c>
      <c r="BF188" s="404" t="s">
        <v>424</v>
      </c>
      <c r="BG188" s="396" t="s">
        <v>3</v>
      </c>
      <c r="BH188" s="394" t="s">
        <v>3</v>
      </c>
      <c r="BI188" s="402">
        <v>2019</v>
      </c>
      <c r="BJ188" s="403">
        <v>1</v>
      </c>
      <c r="BK188"/>
      <c r="BM188"/>
    </row>
    <row r="189" spans="1:65" ht="80.55" customHeight="1">
      <c r="A189" s="32" t="s">
        <v>654</v>
      </c>
      <c r="B189" s="93" t="s">
        <v>183</v>
      </c>
      <c r="C189" s="293" t="s">
        <v>186</v>
      </c>
      <c r="D189" s="318">
        <v>0.65</v>
      </c>
      <c r="E189" s="307">
        <v>1990</v>
      </c>
      <c r="F189" s="307">
        <v>2030</v>
      </c>
      <c r="G189" s="230" t="s">
        <v>3</v>
      </c>
      <c r="H189" s="180">
        <v>2021</v>
      </c>
      <c r="I189" s="180">
        <v>2030</v>
      </c>
      <c r="J189" s="24" t="s">
        <v>1542</v>
      </c>
      <c r="K189" s="308" t="s">
        <v>1543</v>
      </c>
      <c r="L189" s="293" t="s">
        <v>360</v>
      </c>
      <c r="M189" s="293" t="s">
        <v>131</v>
      </c>
      <c r="N189" s="293" t="s">
        <v>131</v>
      </c>
      <c r="O189" s="293" t="s">
        <v>1544</v>
      </c>
      <c r="P189" s="293" t="s">
        <v>131</v>
      </c>
      <c r="Q189" s="293" t="s">
        <v>131</v>
      </c>
      <c r="R189" s="309" t="s">
        <v>131</v>
      </c>
      <c r="S189" s="293" t="s">
        <v>131</v>
      </c>
      <c r="T189" s="293" t="s">
        <v>131</v>
      </c>
      <c r="U189" s="293" t="s">
        <v>131</v>
      </c>
      <c r="V189" s="293" t="s">
        <v>131</v>
      </c>
      <c r="W189" s="293" t="s">
        <v>131</v>
      </c>
      <c r="X189" s="293" t="s">
        <v>131</v>
      </c>
      <c r="Y189" s="310" t="s">
        <v>131</v>
      </c>
      <c r="Z189" s="293">
        <v>218.1</v>
      </c>
      <c r="AA189" s="293">
        <v>60.6</v>
      </c>
      <c r="AB189" s="293">
        <v>22.3</v>
      </c>
      <c r="AC189" s="293">
        <v>0.4</v>
      </c>
      <c r="AD189" s="293">
        <v>0.2</v>
      </c>
      <c r="AE189" s="293">
        <v>0.5</v>
      </c>
      <c r="AF189" s="298" t="s">
        <v>3</v>
      </c>
      <c r="AG189" s="322" t="s">
        <v>3</v>
      </c>
      <c r="AH189" s="322" t="s">
        <v>3</v>
      </c>
      <c r="AI189" s="322" t="s">
        <v>3</v>
      </c>
      <c r="AJ189" s="312" t="s">
        <v>3</v>
      </c>
      <c r="AK189" s="308" t="s">
        <v>3</v>
      </c>
      <c r="AL189" s="22" t="s">
        <v>1545</v>
      </c>
      <c r="AM189" s="115" t="s">
        <v>131</v>
      </c>
      <c r="AN189" s="115" t="s">
        <v>3</v>
      </c>
      <c r="AO189" s="115" t="s">
        <v>3</v>
      </c>
      <c r="AP189" s="115" t="s">
        <v>3</v>
      </c>
      <c r="AQ189" s="115" t="s">
        <v>3</v>
      </c>
      <c r="AR189" s="116" t="s">
        <v>3</v>
      </c>
      <c r="AS189" s="117">
        <f t="shared" si="2"/>
        <v>1</v>
      </c>
      <c r="AT189" s="30" t="s">
        <v>204</v>
      </c>
      <c r="AU189" s="302">
        <v>36234</v>
      </c>
      <c r="AV189" s="302">
        <v>38089</v>
      </c>
      <c r="AW189" s="120">
        <v>42482</v>
      </c>
      <c r="AX189" s="120">
        <v>42632</v>
      </c>
      <c r="AY189" s="302">
        <v>42277</v>
      </c>
      <c r="AZ189" s="305" t="s">
        <v>775</v>
      </c>
      <c r="BA189" s="321">
        <v>44408</v>
      </c>
      <c r="BB189" s="603" t="s">
        <v>2104</v>
      </c>
      <c r="BC189" s="394" t="s">
        <v>3</v>
      </c>
      <c r="BD189" s="394" t="s">
        <v>3</v>
      </c>
      <c r="BE189" s="177" t="s">
        <v>913</v>
      </c>
      <c r="BF189" s="404" t="s">
        <v>424</v>
      </c>
      <c r="BG189" s="397">
        <v>2013</v>
      </c>
      <c r="BH189" s="395">
        <v>1</v>
      </c>
      <c r="BI189" s="177" t="s">
        <v>3</v>
      </c>
      <c r="BJ189" s="446" t="s">
        <v>3</v>
      </c>
      <c r="BK189"/>
      <c r="BM189"/>
    </row>
    <row r="190" spans="1:65" ht="181.95" customHeight="1">
      <c r="A190" s="31" t="s">
        <v>2165</v>
      </c>
      <c r="B190" s="203" t="s">
        <v>182</v>
      </c>
      <c r="C190" s="230" t="s">
        <v>1270</v>
      </c>
      <c r="D190" s="319">
        <v>0.31</v>
      </c>
      <c r="E190" s="230" t="s">
        <v>1269</v>
      </c>
      <c r="F190" s="230">
        <v>2030</v>
      </c>
      <c r="G190" s="230" t="s">
        <v>3</v>
      </c>
      <c r="H190" s="477">
        <v>2017</v>
      </c>
      <c r="I190" s="477">
        <v>2030</v>
      </c>
      <c r="J190" s="541" t="s">
        <v>1956</v>
      </c>
      <c r="K190" s="314" t="s">
        <v>1957</v>
      </c>
      <c r="L190" s="30" t="s">
        <v>1271</v>
      </c>
      <c r="M190" s="30" t="s">
        <v>131</v>
      </c>
      <c r="N190" s="30" t="s">
        <v>1258</v>
      </c>
      <c r="O190" s="30" t="s">
        <v>131</v>
      </c>
      <c r="P190" s="30" t="s">
        <v>131</v>
      </c>
      <c r="Q190" s="30" t="s">
        <v>471</v>
      </c>
      <c r="R190" s="315" t="s">
        <v>1258</v>
      </c>
      <c r="S190" s="30" t="s">
        <v>1258</v>
      </c>
      <c r="T190" s="30" t="s">
        <v>1258</v>
      </c>
      <c r="U190" s="30" t="s">
        <v>1258</v>
      </c>
      <c r="V190" s="30" t="s">
        <v>1266</v>
      </c>
      <c r="W190" s="30" t="s">
        <v>1258</v>
      </c>
      <c r="X190" s="30" t="s">
        <v>3</v>
      </c>
      <c r="Y190" s="298" t="s">
        <v>3</v>
      </c>
      <c r="Z190" s="30">
        <v>202.5</v>
      </c>
      <c r="AA190" s="30">
        <v>34.6</v>
      </c>
      <c r="AB190" s="30">
        <v>2.4</v>
      </c>
      <c r="AC190" s="30" t="s">
        <v>3</v>
      </c>
      <c r="AD190" s="30">
        <v>0.1</v>
      </c>
      <c r="AE190" s="30">
        <v>1</v>
      </c>
      <c r="AF190" s="298" t="s">
        <v>3</v>
      </c>
      <c r="AG190" s="311" t="s">
        <v>1266</v>
      </c>
      <c r="AH190" s="311" t="s">
        <v>3</v>
      </c>
      <c r="AI190" s="311" t="s">
        <v>3</v>
      </c>
      <c r="AJ190" s="316" t="s">
        <v>3</v>
      </c>
      <c r="AK190" s="314" t="s">
        <v>424</v>
      </c>
      <c r="AL190" s="22" t="s">
        <v>1958</v>
      </c>
      <c r="AM190" s="115" t="s">
        <v>3</v>
      </c>
      <c r="AN190" s="115" t="s">
        <v>3</v>
      </c>
      <c r="AO190" s="115" t="s">
        <v>3</v>
      </c>
      <c r="AP190" s="115" t="s">
        <v>3</v>
      </c>
      <c r="AQ190" s="115" t="s">
        <v>1258</v>
      </c>
      <c r="AR190" s="116" t="s">
        <v>3</v>
      </c>
      <c r="AS190" s="117">
        <f t="shared" si="2"/>
        <v>1</v>
      </c>
      <c r="AT190" s="30" t="s">
        <v>203</v>
      </c>
      <c r="AU190" s="302" t="s">
        <v>3</v>
      </c>
      <c r="AV190" s="302">
        <v>38378</v>
      </c>
      <c r="AW190" s="120">
        <v>42482</v>
      </c>
      <c r="AX190" s="120">
        <v>42634</v>
      </c>
      <c r="AY190" s="324">
        <v>42299</v>
      </c>
      <c r="AZ190" s="317" t="s">
        <v>726</v>
      </c>
      <c r="BA190" s="325">
        <v>42634</v>
      </c>
      <c r="BB190" s="608" t="s">
        <v>3</v>
      </c>
      <c r="BC190" s="325">
        <v>44194</v>
      </c>
      <c r="BD190" s="486" t="s">
        <v>2103</v>
      </c>
      <c r="BE190" s="177" t="s">
        <v>899</v>
      </c>
      <c r="BF190" s="404" t="s">
        <v>424</v>
      </c>
      <c r="BG190" s="396" t="s">
        <v>3</v>
      </c>
      <c r="BH190" s="394" t="s">
        <v>3</v>
      </c>
      <c r="BI190" s="402" t="s">
        <v>3</v>
      </c>
      <c r="BJ190" s="403" t="s">
        <v>3</v>
      </c>
      <c r="BK190"/>
      <c r="BM190"/>
    </row>
    <row r="191" spans="1:65" ht="131.25" customHeight="1" outlineLevel="1">
      <c r="A191" s="383" t="s">
        <v>2166</v>
      </c>
      <c r="B191" s="94" t="s">
        <v>76</v>
      </c>
      <c r="C191" s="293" t="s">
        <v>186</v>
      </c>
      <c r="D191" s="318" t="s">
        <v>1202</v>
      </c>
      <c r="E191" s="307">
        <v>1990</v>
      </c>
      <c r="F191" s="307">
        <v>2030</v>
      </c>
      <c r="G191" s="230" t="s">
        <v>3</v>
      </c>
      <c r="H191" s="176">
        <v>2021</v>
      </c>
      <c r="I191" s="176">
        <v>2030</v>
      </c>
      <c r="J191" s="24" t="s">
        <v>1981</v>
      </c>
      <c r="K191" s="308" t="s">
        <v>424</v>
      </c>
      <c r="L191" s="293" t="s">
        <v>360</v>
      </c>
      <c r="M191" s="293" t="s">
        <v>131</v>
      </c>
      <c r="N191" s="293" t="s">
        <v>131</v>
      </c>
      <c r="O191" s="293" t="s">
        <v>131</v>
      </c>
      <c r="P191" s="293" t="s">
        <v>131</v>
      </c>
      <c r="Q191" s="293" t="s">
        <v>131</v>
      </c>
      <c r="R191" s="309" t="s">
        <v>131</v>
      </c>
      <c r="S191" s="293" t="s">
        <v>131</v>
      </c>
      <c r="T191" s="293" t="s">
        <v>131</v>
      </c>
      <c r="U191" s="293" t="s">
        <v>131</v>
      </c>
      <c r="V191" s="293" t="s">
        <v>131</v>
      </c>
      <c r="W191" s="293" t="s">
        <v>131</v>
      </c>
      <c r="X191" s="293" t="s">
        <v>131</v>
      </c>
      <c r="Y191" s="310" t="s">
        <v>131</v>
      </c>
      <c r="Z191" s="293">
        <v>410.5</v>
      </c>
      <c r="AA191" s="293">
        <v>60.5</v>
      </c>
      <c r="AB191" s="293">
        <v>25.8</v>
      </c>
      <c r="AC191" s="293">
        <v>13.8</v>
      </c>
      <c r="AD191" s="293">
        <v>0.4</v>
      </c>
      <c r="AE191" s="293">
        <v>0.5</v>
      </c>
      <c r="AF191" s="298" t="s">
        <v>3</v>
      </c>
      <c r="AG191" s="322" t="s">
        <v>3</v>
      </c>
      <c r="AH191" s="322" t="s">
        <v>3</v>
      </c>
      <c r="AI191" s="322" t="s">
        <v>3</v>
      </c>
      <c r="AJ191" s="312" t="s">
        <v>3</v>
      </c>
      <c r="AK191" s="308" t="s">
        <v>3</v>
      </c>
      <c r="AL191" s="26" t="s">
        <v>1982</v>
      </c>
      <c r="AM191" s="115" t="s">
        <v>3</v>
      </c>
      <c r="AN191" s="115" t="s">
        <v>3</v>
      </c>
      <c r="AO191" s="115" t="s">
        <v>3</v>
      </c>
      <c r="AP191" s="115" t="s">
        <v>1983</v>
      </c>
      <c r="AQ191" s="115" t="s">
        <v>3</v>
      </c>
      <c r="AR191" s="116" t="s">
        <v>3</v>
      </c>
      <c r="AS191" s="117">
        <f t="shared" si="2"/>
        <v>1</v>
      </c>
      <c r="AT191" s="30" t="s">
        <v>205</v>
      </c>
      <c r="AU191" s="302">
        <v>35914</v>
      </c>
      <c r="AV191" s="302">
        <v>37407</v>
      </c>
      <c r="AW191" s="120">
        <v>42482</v>
      </c>
      <c r="AX191" s="303">
        <v>42692</v>
      </c>
      <c r="AY191" s="302">
        <v>42069</v>
      </c>
      <c r="AZ191" s="305" t="s">
        <v>846</v>
      </c>
      <c r="BA191" s="321">
        <v>44177</v>
      </c>
      <c r="BB191" s="603" t="s">
        <v>2102</v>
      </c>
      <c r="BC191" s="394" t="s">
        <v>3</v>
      </c>
      <c r="BD191" s="394" t="s">
        <v>3</v>
      </c>
      <c r="BE191" s="174" t="s">
        <v>899</v>
      </c>
      <c r="BF191" s="404" t="s">
        <v>424</v>
      </c>
      <c r="BG191" s="397">
        <v>2022</v>
      </c>
      <c r="BH191" s="395">
        <v>5</v>
      </c>
      <c r="BI191" s="177" t="s">
        <v>3</v>
      </c>
      <c r="BJ191" s="446" t="s">
        <v>3</v>
      </c>
      <c r="BK191"/>
      <c r="BM191"/>
    </row>
    <row r="192" spans="1:65" ht="108.75" customHeight="1">
      <c r="A192" s="31" t="s">
        <v>2164</v>
      </c>
      <c r="B192" s="92" t="s">
        <v>180</v>
      </c>
      <c r="C192" s="230" t="s">
        <v>185</v>
      </c>
      <c r="D192" s="230" t="s">
        <v>1487</v>
      </c>
      <c r="E192" s="337" t="s">
        <v>1486</v>
      </c>
      <c r="F192" s="337">
        <v>2030</v>
      </c>
      <c r="G192" s="230" t="s">
        <v>3</v>
      </c>
      <c r="H192" s="174" t="s">
        <v>424</v>
      </c>
      <c r="I192" s="177">
        <v>2030</v>
      </c>
      <c r="J192" s="46" t="s">
        <v>1490</v>
      </c>
      <c r="K192" s="308" t="s">
        <v>1488</v>
      </c>
      <c r="L192" s="293" t="s">
        <v>360</v>
      </c>
      <c r="M192" s="293" t="s">
        <v>131</v>
      </c>
      <c r="N192" s="293" t="s">
        <v>3</v>
      </c>
      <c r="O192" s="293" t="s">
        <v>131</v>
      </c>
      <c r="P192" s="293" t="s">
        <v>131</v>
      </c>
      <c r="Q192" s="293" t="s">
        <v>131</v>
      </c>
      <c r="R192" s="309" t="s">
        <v>3</v>
      </c>
      <c r="S192" s="293" t="s">
        <v>131</v>
      </c>
      <c r="T192" s="293" t="s">
        <v>1489</v>
      </c>
      <c r="U192" s="293" t="s">
        <v>1489</v>
      </c>
      <c r="V192" s="293" t="s">
        <v>3</v>
      </c>
      <c r="W192" s="293" t="s">
        <v>3</v>
      </c>
      <c r="X192" s="293" t="s">
        <v>3</v>
      </c>
      <c r="Y192" s="310" t="s">
        <v>3</v>
      </c>
      <c r="Z192" s="293">
        <v>11.5</v>
      </c>
      <c r="AA192" s="293">
        <v>57.5</v>
      </c>
      <c r="AB192" s="293">
        <v>23</v>
      </c>
      <c r="AC192" s="293" t="s">
        <v>3</v>
      </c>
      <c r="AD192" s="293" t="s">
        <v>3</v>
      </c>
      <c r="AE192" s="293" t="s">
        <v>3</v>
      </c>
      <c r="AF192" s="298" t="s">
        <v>3</v>
      </c>
      <c r="AG192" s="231" t="s">
        <v>1485</v>
      </c>
      <c r="AH192" s="231" t="s">
        <v>1485</v>
      </c>
      <c r="AI192" s="231">
        <v>19.2</v>
      </c>
      <c r="AJ192" s="312" t="s">
        <v>1491</v>
      </c>
      <c r="AK192" s="308" t="s">
        <v>1492</v>
      </c>
      <c r="AL192" s="22" t="s">
        <v>1493</v>
      </c>
      <c r="AM192" s="115" t="s">
        <v>3</v>
      </c>
      <c r="AN192" s="115" t="s">
        <v>3</v>
      </c>
      <c r="AO192" s="115" t="s">
        <v>3</v>
      </c>
      <c r="AP192" s="115" t="s">
        <v>3</v>
      </c>
      <c r="AQ192" s="115" t="s">
        <v>3</v>
      </c>
      <c r="AR192" s="116" t="s">
        <v>3</v>
      </c>
      <c r="AS192" s="117" t="str">
        <f t="shared" si="2"/>
        <v/>
      </c>
      <c r="AT192" s="30" t="s">
        <v>203</v>
      </c>
      <c r="AU192" s="302" t="s">
        <v>3</v>
      </c>
      <c r="AV192" s="302">
        <v>37494</v>
      </c>
      <c r="AW192" s="120">
        <v>42482</v>
      </c>
      <c r="AX192" s="120">
        <v>43238</v>
      </c>
      <c r="AY192" s="325">
        <v>42276</v>
      </c>
      <c r="AZ192" s="317" t="s">
        <v>783</v>
      </c>
      <c r="BA192" s="321">
        <v>44407</v>
      </c>
      <c r="BB192" s="603" t="s">
        <v>2115</v>
      </c>
      <c r="BC192" s="394" t="s">
        <v>3</v>
      </c>
      <c r="BD192" s="394" t="s">
        <v>3</v>
      </c>
      <c r="BE192" s="177" t="s">
        <v>899</v>
      </c>
      <c r="BF192" s="404" t="s">
        <v>424</v>
      </c>
      <c r="BG192" s="396" t="s">
        <v>3</v>
      </c>
      <c r="BH192" s="394" t="s">
        <v>3</v>
      </c>
      <c r="BI192" s="402" t="s">
        <v>3</v>
      </c>
      <c r="BJ192" s="403" t="s">
        <v>3</v>
      </c>
      <c r="BK192"/>
      <c r="BM192"/>
    </row>
    <row r="193" spans="1:65" ht="117" customHeight="1">
      <c r="A193" s="32" t="s">
        <v>644</v>
      </c>
      <c r="B193" s="208" t="s">
        <v>459</v>
      </c>
      <c r="C193" s="293" t="s">
        <v>186</v>
      </c>
      <c r="D193" s="293" t="s">
        <v>1385</v>
      </c>
      <c r="E193" s="307">
        <v>2005</v>
      </c>
      <c r="F193" s="307">
        <v>2030</v>
      </c>
      <c r="G193" s="230" t="s">
        <v>3</v>
      </c>
      <c r="H193" s="176" t="s">
        <v>424</v>
      </c>
      <c r="I193" s="177">
        <v>2030</v>
      </c>
      <c r="J193" s="24" t="s">
        <v>1386</v>
      </c>
      <c r="K193" s="308" t="s">
        <v>424</v>
      </c>
      <c r="L193" s="293" t="s">
        <v>360</v>
      </c>
      <c r="M193" s="293" t="s">
        <v>131</v>
      </c>
      <c r="N193" s="293" t="s">
        <v>131</v>
      </c>
      <c r="O193" s="293" t="s">
        <v>131</v>
      </c>
      <c r="P193" s="293" t="s">
        <v>131</v>
      </c>
      <c r="Q193" s="293" t="s">
        <v>131</v>
      </c>
      <c r="R193" s="309" t="s">
        <v>131</v>
      </c>
      <c r="S193" s="293" t="s">
        <v>131</v>
      </c>
      <c r="T193" s="293" t="s">
        <v>131</v>
      </c>
      <c r="U193" s="293" t="s">
        <v>131</v>
      </c>
      <c r="V193" s="293" t="s">
        <v>131</v>
      </c>
      <c r="W193" s="293" t="s">
        <v>131</v>
      </c>
      <c r="X193" s="293" t="s">
        <v>131</v>
      </c>
      <c r="Y193" s="310" t="s">
        <v>131</v>
      </c>
      <c r="Z193" s="361">
        <v>5088.7</v>
      </c>
      <c r="AA193" s="293">
        <v>659.8</v>
      </c>
      <c r="AB193" s="293">
        <v>284.5</v>
      </c>
      <c r="AC193" s="293">
        <v>257.89999999999998</v>
      </c>
      <c r="AD193" s="293">
        <v>6.5</v>
      </c>
      <c r="AE193" s="293">
        <v>41.2</v>
      </c>
      <c r="AF193" s="298" t="s">
        <v>3</v>
      </c>
      <c r="AG193" s="322" t="s">
        <v>3</v>
      </c>
      <c r="AH193" s="322" t="s">
        <v>3</v>
      </c>
      <c r="AI193" s="322" t="s">
        <v>3</v>
      </c>
      <c r="AJ193" s="312" t="s">
        <v>3</v>
      </c>
      <c r="AK193" s="308" t="s">
        <v>3</v>
      </c>
      <c r="AL193" s="22" t="s">
        <v>1387</v>
      </c>
      <c r="AM193" s="115" t="s">
        <v>1388</v>
      </c>
      <c r="AN193" s="115" t="s">
        <v>246</v>
      </c>
      <c r="AO193" s="115" t="s">
        <v>3</v>
      </c>
      <c r="AP193" s="117" t="s">
        <v>246</v>
      </c>
      <c r="AQ193" s="115" t="s">
        <v>3</v>
      </c>
      <c r="AR193" s="300" t="s">
        <v>3</v>
      </c>
      <c r="AS193" s="117">
        <f t="shared" si="2"/>
        <v>1</v>
      </c>
      <c r="AT193" s="293" t="s">
        <v>205</v>
      </c>
      <c r="AU193" s="302">
        <v>36111</v>
      </c>
      <c r="AV193" s="302" t="s">
        <v>3</v>
      </c>
      <c r="AW193" s="303">
        <v>42482</v>
      </c>
      <c r="AX193" s="120">
        <v>42616</v>
      </c>
      <c r="AY193" s="302">
        <v>42094</v>
      </c>
      <c r="AZ193" s="305" t="s">
        <v>843</v>
      </c>
      <c r="BA193" s="321">
        <v>44307</v>
      </c>
      <c r="BB193" s="603" t="s">
        <v>2101</v>
      </c>
      <c r="BC193" s="394" t="s">
        <v>3</v>
      </c>
      <c r="BD193" s="394" t="s">
        <v>3</v>
      </c>
      <c r="BE193" s="177" t="s">
        <v>913</v>
      </c>
      <c r="BF193" s="404" t="s">
        <v>424</v>
      </c>
      <c r="BG193" s="397">
        <v>2015</v>
      </c>
      <c r="BH193" s="395">
        <v>2</v>
      </c>
      <c r="BI193" s="177" t="s">
        <v>3</v>
      </c>
      <c r="BJ193" s="446" t="s">
        <v>3</v>
      </c>
      <c r="BK193"/>
      <c r="BM193"/>
    </row>
    <row r="194" spans="1:65" ht="132" customHeight="1">
      <c r="A194" s="32" t="s">
        <v>645</v>
      </c>
      <c r="B194" s="95" t="s">
        <v>181</v>
      </c>
      <c r="C194" s="293" t="s">
        <v>187</v>
      </c>
      <c r="D194" s="293" t="s">
        <v>282</v>
      </c>
      <c r="E194" s="307">
        <v>1990</v>
      </c>
      <c r="F194" s="307">
        <v>2025</v>
      </c>
      <c r="G194" s="230" t="s">
        <v>3</v>
      </c>
      <c r="H194" s="177" t="s">
        <v>424</v>
      </c>
      <c r="I194" s="177" t="s">
        <v>424</v>
      </c>
      <c r="J194" s="24" t="s">
        <v>281</v>
      </c>
      <c r="K194" s="308" t="s">
        <v>121</v>
      </c>
      <c r="L194" s="293" t="s">
        <v>360</v>
      </c>
      <c r="M194" s="293" t="s">
        <v>131</v>
      </c>
      <c r="N194" s="293" t="s">
        <v>131</v>
      </c>
      <c r="O194" s="293" t="s">
        <v>131</v>
      </c>
      <c r="P194" s="293" t="s">
        <v>131</v>
      </c>
      <c r="Q194" s="293" t="s">
        <v>3</v>
      </c>
      <c r="R194" s="309" t="s">
        <v>131</v>
      </c>
      <c r="S194" s="293" t="s">
        <v>131</v>
      </c>
      <c r="T194" s="293" t="s">
        <v>131</v>
      </c>
      <c r="U194" s="293" t="s">
        <v>131</v>
      </c>
      <c r="V194" s="293" t="s">
        <v>3</v>
      </c>
      <c r="W194" s="293" t="s">
        <v>3</v>
      </c>
      <c r="X194" s="293" t="s">
        <v>3</v>
      </c>
      <c r="Y194" s="310" t="s">
        <v>3</v>
      </c>
      <c r="Z194" s="293">
        <v>6.7</v>
      </c>
      <c r="AA194" s="293">
        <v>24.5</v>
      </c>
      <c r="AB194" s="293">
        <v>15.2</v>
      </c>
      <c r="AC194" s="293">
        <v>1.7</v>
      </c>
      <c r="AD194" s="293">
        <v>0.1</v>
      </c>
      <c r="AE194" s="293">
        <v>0.3</v>
      </c>
      <c r="AF194" s="298" t="s">
        <v>3</v>
      </c>
      <c r="AG194" s="322" t="s">
        <v>3</v>
      </c>
      <c r="AH194" s="322" t="s">
        <v>3</v>
      </c>
      <c r="AI194" s="322" t="s">
        <v>3</v>
      </c>
      <c r="AJ194" s="312" t="s">
        <v>122</v>
      </c>
      <c r="AK194" s="308" t="s">
        <v>3</v>
      </c>
      <c r="AL194" s="22" t="s">
        <v>279</v>
      </c>
      <c r="AM194" s="115" t="s">
        <v>132</v>
      </c>
      <c r="AN194" s="115" t="s">
        <v>3</v>
      </c>
      <c r="AO194" s="115" t="s">
        <v>3</v>
      </c>
      <c r="AP194" s="115" t="s">
        <v>3</v>
      </c>
      <c r="AQ194" s="115" t="s">
        <v>131</v>
      </c>
      <c r="AR194" s="116" t="s">
        <v>3</v>
      </c>
      <c r="AS194" s="117">
        <f t="shared" si="2"/>
        <v>1</v>
      </c>
      <c r="AT194" s="30" t="s">
        <v>203</v>
      </c>
      <c r="AU194" s="302">
        <v>36005</v>
      </c>
      <c r="AV194" s="302">
        <v>36927</v>
      </c>
      <c r="AW194" s="120">
        <v>42482</v>
      </c>
      <c r="AX194" s="120">
        <v>42662</v>
      </c>
      <c r="AY194" s="302">
        <v>42276</v>
      </c>
      <c r="AZ194" s="317" t="s">
        <v>787</v>
      </c>
      <c r="BA194" s="303">
        <v>43049</v>
      </c>
      <c r="BB194" s="603" t="s">
        <v>2100</v>
      </c>
      <c r="BC194" s="394" t="s">
        <v>3</v>
      </c>
      <c r="BD194" s="394" t="s">
        <v>3</v>
      </c>
      <c r="BE194" s="177" t="s">
        <v>898</v>
      </c>
      <c r="BF194" s="404" t="s">
        <v>471</v>
      </c>
      <c r="BG194" s="396" t="s">
        <v>3</v>
      </c>
      <c r="BH194" s="394" t="s">
        <v>3</v>
      </c>
      <c r="BI194" s="440">
        <v>2021</v>
      </c>
      <c r="BJ194" s="448">
        <v>4</v>
      </c>
      <c r="BK194"/>
      <c r="BM194"/>
    </row>
    <row r="195" spans="1:65" ht="126.45" customHeight="1">
      <c r="A195" s="31" t="s">
        <v>646</v>
      </c>
      <c r="B195" s="93" t="s">
        <v>183</v>
      </c>
      <c r="C195" s="230" t="s">
        <v>1801</v>
      </c>
      <c r="D195" s="319">
        <v>0.35</v>
      </c>
      <c r="E195" s="230">
        <v>2010</v>
      </c>
      <c r="F195" s="230">
        <v>2030</v>
      </c>
      <c r="G195" s="230" t="s">
        <v>3</v>
      </c>
      <c r="H195" s="412">
        <v>2020</v>
      </c>
      <c r="I195" s="412">
        <v>2030</v>
      </c>
      <c r="J195" s="320" t="s">
        <v>1800</v>
      </c>
      <c r="K195" s="314" t="s">
        <v>1803</v>
      </c>
      <c r="L195" s="30" t="s">
        <v>360</v>
      </c>
      <c r="M195" s="30" t="s">
        <v>131</v>
      </c>
      <c r="N195" s="30" t="s">
        <v>1802</v>
      </c>
      <c r="O195" s="30" t="s">
        <v>1792</v>
      </c>
      <c r="P195" s="30" t="s">
        <v>1802</v>
      </c>
      <c r="Q195" s="30" t="s">
        <v>131</v>
      </c>
      <c r="R195" s="315" t="s">
        <v>131</v>
      </c>
      <c r="S195" s="293" t="s">
        <v>131</v>
      </c>
      <c r="T195" s="293" t="s">
        <v>131</v>
      </c>
      <c r="U195" s="293" t="s">
        <v>131</v>
      </c>
      <c r="V195" s="30" t="s">
        <v>1802</v>
      </c>
      <c r="W195" s="30" t="s">
        <v>3</v>
      </c>
      <c r="X195" s="30" t="s">
        <v>3</v>
      </c>
      <c r="Y195" s="298" t="s">
        <v>3</v>
      </c>
      <c r="Z195" s="293">
        <v>100.7</v>
      </c>
      <c r="AA195" s="293">
        <v>55.3</v>
      </c>
      <c r="AB195" s="293">
        <v>12.6</v>
      </c>
      <c r="AC195" s="30">
        <v>1</v>
      </c>
      <c r="AD195" s="30" t="s">
        <v>3</v>
      </c>
      <c r="AE195" s="30" t="s">
        <v>3</v>
      </c>
      <c r="AF195" s="298" t="s">
        <v>3</v>
      </c>
      <c r="AG195" s="322" t="s">
        <v>3</v>
      </c>
      <c r="AH195" s="322" t="s">
        <v>3</v>
      </c>
      <c r="AI195" s="322" t="s">
        <v>3</v>
      </c>
      <c r="AJ195" s="316" t="s">
        <v>3</v>
      </c>
      <c r="AK195" s="314" t="s">
        <v>1792</v>
      </c>
      <c r="AL195" s="22" t="s">
        <v>1792</v>
      </c>
      <c r="AM195" s="115" t="s">
        <v>1792</v>
      </c>
      <c r="AN195" s="115" t="s">
        <v>3</v>
      </c>
      <c r="AO195" s="115" t="s">
        <v>3</v>
      </c>
      <c r="AP195" s="115" t="s">
        <v>3</v>
      </c>
      <c r="AQ195" s="115" t="s">
        <v>1792</v>
      </c>
      <c r="AR195" s="116" t="s">
        <v>3</v>
      </c>
      <c r="AS195" s="117" t="str">
        <f t="shared" si="2"/>
        <v/>
      </c>
      <c r="AT195" s="30" t="s">
        <v>203</v>
      </c>
      <c r="AU195" s="302">
        <v>36119</v>
      </c>
      <c r="AV195" s="302">
        <v>36445</v>
      </c>
      <c r="AW195" s="120">
        <v>42844</v>
      </c>
      <c r="AX195" s="120">
        <v>43413</v>
      </c>
      <c r="AY195" s="324">
        <v>42844</v>
      </c>
      <c r="AZ195" s="327" t="s">
        <v>675</v>
      </c>
      <c r="BA195" s="321">
        <v>44499</v>
      </c>
      <c r="BB195" s="603" t="s">
        <v>2099</v>
      </c>
      <c r="BC195" s="394" t="s">
        <v>3</v>
      </c>
      <c r="BD195" s="402" t="s">
        <v>3</v>
      </c>
      <c r="BE195" s="177" t="s">
        <v>906</v>
      </c>
      <c r="BF195" s="404" t="s">
        <v>471</v>
      </c>
      <c r="BG195" s="396" t="s">
        <v>3</v>
      </c>
      <c r="BH195" s="394" t="s">
        <v>3</v>
      </c>
      <c r="BI195" s="402">
        <v>2021</v>
      </c>
      <c r="BJ195" s="403">
        <v>1</v>
      </c>
      <c r="BK195"/>
      <c r="BM195"/>
    </row>
    <row r="196" spans="1:65" ht="144" customHeight="1">
      <c r="A196" s="32" t="s">
        <v>647</v>
      </c>
      <c r="B196" s="97" t="s">
        <v>25</v>
      </c>
      <c r="C196" s="293" t="s">
        <v>1333</v>
      </c>
      <c r="D196" s="318" t="s">
        <v>1971</v>
      </c>
      <c r="E196" s="293">
        <v>2010</v>
      </c>
      <c r="F196" s="293">
        <v>2030</v>
      </c>
      <c r="G196" s="293" t="s">
        <v>3</v>
      </c>
      <c r="H196" s="176">
        <v>2021</v>
      </c>
      <c r="I196" s="176">
        <v>2030</v>
      </c>
      <c r="J196" s="22" t="s">
        <v>1334</v>
      </c>
      <c r="K196" s="594" t="s">
        <v>1972</v>
      </c>
      <c r="L196" s="30" t="s">
        <v>360</v>
      </c>
      <c r="M196" s="30" t="s">
        <v>131</v>
      </c>
      <c r="N196" s="30" t="s">
        <v>131</v>
      </c>
      <c r="O196" s="30" t="s">
        <v>131</v>
      </c>
      <c r="P196" s="30" t="s">
        <v>1335</v>
      </c>
      <c r="Q196" s="30" t="s">
        <v>131</v>
      </c>
      <c r="R196" s="315" t="s">
        <v>424</v>
      </c>
      <c r="S196" s="30" t="s">
        <v>131</v>
      </c>
      <c r="T196" s="30" t="s">
        <v>1335</v>
      </c>
      <c r="U196" s="30" t="s">
        <v>1335</v>
      </c>
      <c r="V196" s="30" t="s">
        <v>3</v>
      </c>
      <c r="W196" s="30" t="s">
        <v>3</v>
      </c>
      <c r="X196" s="30" t="s">
        <v>3</v>
      </c>
      <c r="Y196" s="298" t="s">
        <v>3</v>
      </c>
      <c r="Z196" s="293" t="s">
        <v>471</v>
      </c>
      <c r="AA196" s="293" t="s">
        <v>471</v>
      </c>
      <c r="AB196" s="293" t="s">
        <v>471</v>
      </c>
      <c r="AC196" s="293" t="s">
        <v>452</v>
      </c>
      <c r="AD196" s="293" t="s">
        <v>452</v>
      </c>
      <c r="AE196" s="293" t="s">
        <v>452</v>
      </c>
      <c r="AF196" s="298" t="s">
        <v>3</v>
      </c>
      <c r="AG196" s="346">
        <v>0.31</v>
      </c>
      <c r="AH196" s="346">
        <v>0.72</v>
      </c>
      <c r="AI196" s="346">
        <f>SUM(AG196:AH196)</f>
        <v>1.03</v>
      </c>
      <c r="AJ196" s="316" t="s">
        <v>1973</v>
      </c>
      <c r="AK196" s="314" t="s">
        <v>1336</v>
      </c>
      <c r="AL196" s="22" t="s">
        <v>1974</v>
      </c>
      <c r="AM196" s="115" t="s">
        <v>967</v>
      </c>
      <c r="AN196" s="115" t="s">
        <v>967</v>
      </c>
      <c r="AO196" s="115" t="s">
        <v>967</v>
      </c>
      <c r="AP196" s="115" t="s">
        <v>967</v>
      </c>
      <c r="AQ196" s="115" t="s">
        <v>3</v>
      </c>
      <c r="AR196" s="116" t="s">
        <v>3</v>
      </c>
      <c r="AS196" s="117">
        <f t="shared" si="2"/>
        <v>1</v>
      </c>
      <c r="AT196" s="30" t="s">
        <v>203</v>
      </c>
      <c r="AU196" s="211" t="s">
        <v>3</v>
      </c>
      <c r="AV196" s="211">
        <v>37089</v>
      </c>
      <c r="AW196" s="120">
        <v>42482</v>
      </c>
      <c r="AX196" s="120">
        <v>42634</v>
      </c>
      <c r="AY196" s="302">
        <v>42276</v>
      </c>
      <c r="AZ196" s="305" t="s">
        <v>791</v>
      </c>
      <c r="BA196" s="321">
        <v>44278</v>
      </c>
      <c r="BB196" s="603" t="s">
        <v>2098</v>
      </c>
      <c r="BC196" s="394" t="s">
        <v>3</v>
      </c>
      <c r="BD196" s="402" t="s">
        <v>3</v>
      </c>
      <c r="BE196" s="487" t="s">
        <v>913</v>
      </c>
      <c r="BF196" s="404" t="s">
        <v>424</v>
      </c>
      <c r="BG196" s="396" t="s">
        <v>3</v>
      </c>
      <c r="BH196" s="394" t="s">
        <v>3</v>
      </c>
      <c r="BI196" s="402">
        <v>2021</v>
      </c>
      <c r="BJ196" s="403">
        <v>3</v>
      </c>
      <c r="BK196"/>
      <c r="BM196"/>
    </row>
    <row r="197" spans="1:65" ht="91.95" customHeight="1">
      <c r="A197" s="32" t="s">
        <v>2163</v>
      </c>
      <c r="B197" s="95" t="s">
        <v>458</v>
      </c>
      <c r="C197" s="293" t="s">
        <v>185</v>
      </c>
      <c r="D197" s="318">
        <v>0.2</v>
      </c>
      <c r="E197" s="307" t="s">
        <v>1</v>
      </c>
      <c r="F197" s="307">
        <v>2030</v>
      </c>
      <c r="G197" s="230" t="s">
        <v>3</v>
      </c>
      <c r="H197" s="176" t="s">
        <v>424</v>
      </c>
      <c r="I197" s="176" t="s">
        <v>424</v>
      </c>
      <c r="J197" s="24" t="s">
        <v>1817</v>
      </c>
      <c r="K197" s="308" t="s">
        <v>1818</v>
      </c>
      <c r="L197" s="293" t="s">
        <v>360</v>
      </c>
      <c r="M197" s="293" t="s">
        <v>131</v>
      </c>
      <c r="N197" s="293" t="s">
        <v>1819</v>
      </c>
      <c r="O197" s="293" t="s">
        <v>131</v>
      </c>
      <c r="P197" s="293" t="s">
        <v>131</v>
      </c>
      <c r="Q197" s="293" t="s">
        <v>131</v>
      </c>
      <c r="R197" s="309" t="s">
        <v>131</v>
      </c>
      <c r="S197" s="293" t="s">
        <v>131</v>
      </c>
      <c r="T197" s="293" t="s">
        <v>131</v>
      </c>
      <c r="U197" s="293" t="s">
        <v>1820</v>
      </c>
      <c r="V197" s="293" t="s">
        <v>1821</v>
      </c>
      <c r="W197" s="293" t="s">
        <v>3</v>
      </c>
      <c r="X197" s="293" t="s">
        <v>3</v>
      </c>
      <c r="Y197" s="310" t="s">
        <v>3</v>
      </c>
      <c r="Z197" s="293">
        <v>168.5</v>
      </c>
      <c r="AA197" s="293">
        <v>85.1</v>
      </c>
      <c r="AB197" s="293">
        <v>2.9</v>
      </c>
      <c r="AC197" s="293">
        <v>0</v>
      </c>
      <c r="AD197" s="293" t="s">
        <v>3</v>
      </c>
      <c r="AE197" s="293">
        <v>0</v>
      </c>
      <c r="AF197" s="298" t="s">
        <v>3</v>
      </c>
      <c r="AG197" s="322" t="s">
        <v>3</v>
      </c>
      <c r="AH197" s="339" t="s">
        <v>3</v>
      </c>
      <c r="AI197" s="339" t="s">
        <v>3</v>
      </c>
      <c r="AJ197" s="312" t="s">
        <v>3</v>
      </c>
      <c r="AK197" s="308" t="s">
        <v>3</v>
      </c>
      <c r="AL197" s="21" t="s">
        <v>1820</v>
      </c>
      <c r="AM197" s="115" t="s">
        <v>3</v>
      </c>
      <c r="AN197" s="115" t="s">
        <v>3</v>
      </c>
      <c r="AO197" s="115" t="s">
        <v>3</v>
      </c>
      <c r="AP197" s="117" t="s">
        <v>3</v>
      </c>
      <c r="AQ197" s="115" t="s">
        <v>3</v>
      </c>
      <c r="AR197" s="300" t="s">
        <v>3</v>
      </c>
      <c r="AS197" s="117" t="str">
        <f t="shared" si="2"/>
        <v/>
      </c>
      <c r="AT197" s="30" t="s">
        <v>203</v>
      </c>
      <c r="AU197" s="302" t="s">
        <v>3</v>
      </c>
      <c r="AV197" s="302">
        <v>38401</v>
      </c>
      <c r="AW197" s="120">
        <v>42482</v>
      </c>
      <c r="AX197" s="303">
        <v>42937</v>
      </c>
      <c r="AY197" s="302">
        <v>42353</v>
      </c>
      <c r="AZ197" s="305" t="s">
        <v>685</v>
      </c>
      <c r="BA197" s="321">
        <v>44509</v>
      </c>
      <c r="BB197" s="603" t="s">
        <v>2097</v>
      </c>
      <c r="BC197" s="394" t="s">
        <v>3</v>
      </c>
      <c r="BD197" s="402" t="s">
        <v>3</v>
      </c>
      <c r="BE197" s="177" t="s">
        <v>898</v>
      </c>
      <c r="BF197" s="404" t="s">
        <v>860</v>
      </c>
      <c r="BG197" s="396" t="s">
        <v>3</v>
      </c>
      <c r="BH197" s="394" t="s">
        <v>3</v>
      </c>
      <c r="BI197" s="402" t="s">
        <v>3</v>
      </c>
      <c r="BJ197" s="403" t="s">
        <v>3</v>
      </c>
      <c r="BK197" s="282"/>
      <c r="BM197"/>
    </row>
    <row r="198" spans="1:65" ht="148.5" customHeight="1">
      <c r="A198" s="31" t="s">
        <v>648</v>
      </c>
      <c r="B198" s="90" t="s">
        <v>23</v>
      </c>
      <c r="C198" s="230" t="s">
        <v>185</v>
      </c>
      <c r="D198" s="319" t="s">
        <v>1075</v>
      </c>
      <c r="E198" s="230" t="s">
        <v>1</v>
      </c>
      <c r="F198" s="230" t="s">
        <v>1022</v>
      </c>
      <c r="G198" s="230" t="s">
        <v>3</v>
      </c>
      <c r="H198" s="177">
        <v>2021</v>
      </c>
      <c r="I198" s="177">
        <v>2030</v>
      </c>
      <c r="J198" s="320" t="s">
        <v>1152</v>
      </c>
      <c r="K198" s="314" t="s">
        <v>1017</v>
      </c>
      <c r="L198" s="30" t="s">
        <v>360</v>
      </c>
      <c r="M198" s="30" t="s">
        <v>131</v>
      </c>
      <c r="N198" s="30" t="s">
        <v>131</v>
      </c>
      <c r="O198" s="30" t="s">
        <v>131</v>
      </c>
      <c r="P198" s="30" t="s">
        <v>131</v>
      </c>
      <c r="Q198" s="30" t="s">
        <v>131</v>
      </c>
      <c r="R198" s="315" t="s">
        <v>131</v>
      </c>
      <c r="S198" s="30" t="s">
        <v>131</v>
      </c>
      <c r="T198" s="30" t="s">
        <v>131</v>
      </c>
      <c r="U198" s="30" t="s">
        <v>131</v>
      </c>
      <c r="V198" s="30" t="s">
        <v>131</v>
      </c>
      <c r="W198" s="30" t="s">
        <v>1018</v>
      </c>
      <c r="X198" s="30" t="s">
        <v>1018</v>
      </c>
      <c r="Y198" s="298" t="s">
        <v>3</v>
      </c>
      <c r="Z198" s="30">
        <v>214.3</v>
      </c>
      <c r="AA198" s="30">
        <v>114.1</v>
      </c>
      <c r="AB198" s="30">
        <v>22.7</v>
      </c>
      <c r="AC198" s="30" t="s">
        <v>3</v>
      </c>
      <c r="AD198" s="30" t="s">
        <v>3</v>
      </c>
      <c r="AE198" s="30" t="s">
        <v>3</v>
      </c>
      <c r="AF198" s="298" t="s">
        <v>3</v>
      </c>
      <c r="AG198" s="339" t="s">
        <v>3</v>
      </c>
      <c r="AH198" s="339" t="s">
        <v>3</v>
      </c>
      <c r="AI198" s="339" t="s">
        <v>3</v>
      </c>
      <c r="AJ198" s="316" t="s">
        <v>1019</v>
      </c>
      <c r="AK198" s="314" t="s">
        <v>1020</v>
      </c>
      <c r="AL198" s="22" t="s">
        <v>1021</v>
      </c>
      <c r="AM198" s="115" t="s">
        <v>131</v>
      </c>
      <c r="AN198" s="115" t="s">
        <v>3</v>
      </c>
      <c r="AO198" s="115" t="s">
        <v>131</v>
      </c>
      <c r="AP198" s="115" t="s">
        <v>3</v>
      </c>
      <c r="AQ198" s="115" t="s">
        <v>3</v>
      </c>
      <c r="AR198" s="300" t="s">
        <v>246</v>
      </c>
      <c r="AS198" s="117">
        <f t="shared" ref="AS198:AS201" si="3">IF(COUNTIF(AM198:AR198,"&lt;&gt;*N/A*"),1,"")</f>
        <v>1</v>
      </c>
      <c r="AT198" s="30" t="s">
        <v>203</v>
      </c>
      <c r="AU198" s="302">
        <v>36132</v>
      </c>
      <c r="AV198" s="302">
        <v>37524</v>
      </c>
      <c r="AW198" s="120">
        <v>42482</v>
      </c>
      <c r="AX198" s="120">
        <v>42677</v>
      </c>
      <c r="AY198" s="302">
        <v>42276</v>
      </c>
      <c r="AZ198" s="317" t="s">
        <v>769</v>
      </c>
      <c r="BA198" s="321">
        <v>44085</v>
      </c>
      <c r="BB198" s="603" t="s">
        <v>2096</v>
      </c>
      <c r="BC198" s="394" t="s">
        <v>3</v>
      </c>
      <c r="BD198" s="402" t="s">
        <v>3</v>
      </c>
      <c r="BE198" s="177" t="s">
        <v>899</v>
      </c>
      <c r="BF198" s="404" t="s">
        <v>424</v>
      </c>
      <c r="BG198" s="396" t="s">
        <v>3</v>
      </c>
      <c r="BH198" s="394" t="s">
        <v>3</v>
      </c>
      <c r="BI198" s="440">
        <v>2021</v>
      </c>
      <c r="BJ198" s="448">
        <v>3</v>
      </c>
      <c r="BK198"/>
      <c r="BM198"/>
    </row>
    <row r="199" spans="1:65" ht="108" customHeight="1">
      <c r="A199" s="32" t="s">
        <v>649</v>
      </c>
      <c r="B199" s="203" t="s">
        <v>453</v>
      </c>
      <c r="C199" s="293" t="s">
        <v>185</v>
      </c>
      <c r="D199" s="293" t="s">
        <v>1127</v>
      </c>
      <c r="E199" s="293" t="s">
        <v>1</v>
      </c>
      <c r="F199" s="293">
        <v>2030</v>
      </c>
      <c r="G199" s="230" t="s">
        <v>3</v>
      </c>
      <c r="H199" s="174" t="s">
        <v>424</v>
      </c>
      <c r="I199" s="174" t="s">
        <v>424</v>
      </c>
      <c r="J199" s="22" t="s">
        <v>68</v>
      </c>
      <c r="K199" s="314" t="s">
        <v>153</v>
      </c>
      <c r="L199" s="30" t="s">
        <v>354</v>
      </c>
      <c r="M199" s="30" t="s">
        <v>131</v>
      </c>
      <c r="N199" s="30" t="s">
        <v>131</v>
      </c>
      <c r="O199" s="30" t="s">
        <v>3</v>
      </c>
      <c r="P199" s="30" t="s">
        <v>131</v>
      </c>
      <c r="Q199" s="30" t="s">
        <v>3</v>
      </c>
      <c r="R199" s="315" t="s">
        <v>3</v>
      </c>
      <c r="S199" s="30" t="s">
        <v>131</v>
      </c>
      <c r="T199" s="30" t="s">
        <v>131</v>
      </c>
      <c r="U199" s="30" t="s">
        <v>131</v>
      </c>
      <c r="V199" s="30" t="s">
        <v>3</v>
      </c>
      <c r="W199" s="30" t="s">
        <v>3</v>
      </c>
      <c r="X199" s="30" t="s">
        <v>3</v>
      </c>
      <c r="Y199" s="298" t="s">
        <v>3</v>
      </c>
      <c r="Z199" s="30">
        <v>14.1</v>
      </c>
      <c r="AA199" s="30">
        <v>20.5</v>
      </c>
      <c r="AB199" s="30">
        <v>5.0999999999999996</v>
      </c>
      <c r="AC199" s="30" t="s">
        <v>3</v>
      </c>
      <c r="AD199" s="30" t="s">
        <v>3</v>
      </c>
      <c r="AE199" s="30" t="s">
        <v>3</v>
      </c>
      <c r="AF199" s="298" t="s">
        <v>3</v>
      </c>
      <c r="AG199" s="311" t="s">
        <v>3</v>
      </c>
      <c r="AH199" s="311" t="s">
        <v>3</v>
      </c>
      <c r="AI199" s="311" t="s">
        <v>3</v>
      </c>
      <c r="AJ199" s="316" t="s">
        <v>3</v>
      </c>
      <c r="AK199" s="314" t="s">
        <v>3</v>
      </c>
      <c r="AL199" s="21" t="s">
        <v>3</v>
      </c>
      <c r="AM199" s="115" t="s">
        <v>3</v>
      </c>
      <c r="AN199" s="115" t="s">
        <v>3</v>
      </c>
      <c r="AO199" s="115" t="s">
        <v>3</v>
      </c>
      <c r="AP199" s="115" t="s">
        <v>3</v>
      </c>
      <c r="AQ199" s="115" t="s">
        <v>3</v>
      </c>
      <c r="AR199" s="116" t="s">
        <v>3</v>
      </c>
      <c r="AS199" s="117" t="str">
        <f t="shared" si="3"/>
        <v/>
      </c>
      <c r="AT199" s="30" t="s">
        <v>203</v>
      </c>
      <c r="AU199" s="302" t="s">
        <v>3</v>
      </c>
      <c r="AV199" s="302">
        <v>38245</v>
      </c>
      <c r="AW199" s="120">
        <v>42483</v>
      </c>
      <c r="AX199" s="120" t="s">
        <v>3</v>
      </c>
      <c r="AY199" s="326">
        <v>42331</v>
      </c>
      <c r="AZ199" s="305" t="s">
        <v>701</v>
      </c>
      <c r="BA199" s="174" t="s">
        <v>3</v>
      </c>
      <c r="BB199" s="611" t="s">
        <v>3</v>
      </c>
      <c r="BC199" s="394" t="s">
        <v>3</v>
      </c>
      <c r="BD199" s="394" t="s">
        <v>3</v>
      </c>
      <c r="BE199" s="177" t="s">
        <v>899</v>
      </c>
      <c r="BF199" s="404" t="s">
        <v>424</v>
      </c>
      <c r="BG199" s="396" t="s">
        <v>3</v>
      </c>
      <c r="BH199" s="394" t="s">
        <v>3</v>
      </c>
      <c r="BI199" s="402">
        <v>2018</v>
      </c>
      <c r="BJ199" s="403">
        <v>1</v>
      </c>
      <c r="BK199"/>
      <c r="BM199"/>
    </row>
    <row r="200" spans="1:65" ht="108" customHeight="1">
      <c r="A200" s="31" t="s">
        <v>650</v>
      </c>
      <c r="B200" s="92" t="s">
        <v>180</v>
      </c>
      <c r="C200" s="293" t="s">
        <v>1294</v>
      </c>
      <c r="D200" s="293" t="s">
        <v>1479</v>
      </c>
      <c r="E200" s="307" t="s">
        <v>1295</v>
      </c>
      <c r="F200" s="307">
        <v>2030</v>
      </c>
      <c r="G200" s="293" t="s">
        <v>3</v>
      </c>
      <c r="H200" s="176">
        <v>2015</v>
      </c>
      <c r="I200" s="176">
        <v>2030</v>
      </c>
      <c r="J200" s="24" t="s">
        <v>1477</v>
      </c>
      <c r="K200" s="308" t="s">
        <v>1478</v>
      </c>
      <c r="L200" s="293" t="s">
        <v>360</v>
      </c>
      <c r="M200" s="293" t="s">
        <v>131</v>
      </c>
      <c r="N200" s="293" t="s">
        <v>131</v>
      </c>
      <c r="O200" s="293" t="s">
        <v>131</v>
      </c>
      <c r="P200" s="293" t="s">
        <v>131</v>
      </c>
      <c r="Q200" s="293" t="s">
        <v>131</v>
      </c>
      <c r="R200" s="309" t="s">
        <v>1297</v>
      </c>
      <c r="S200" s="293" t="s">
        <v>131</v>
      </c>
      <c r="T200" s="293" t="s">
        <v>131</v>
      </c>
      <c r="U200" s="293" t="s">
        <v>131</v>
      </c>
      <c r="V200" s="293" t="s">
        <v>424</v>
      </c>
      <c r="W200" s="293" t="s">
        <v>424</v>
      </c>
      <c r="X200" s="293" t="s">
        <v>424</v>
      </c>
      <c r="Y200" s="310" t="s">
        <v>3</v>
      </c>
      <c r="Z200" s="293">
        <v>4.2</v>
      </c>
      <c r="AA200" s="293">
        <v>37.6</v>
      </c>
      <c r="AB200" s="293">
        <v>23.5</v>
      </c>
      <c r="AC200" s="293">
        <v>0</v>
      </c>
      <c r="AD200" s="293" t="s">
        <v>3</v>
      </c>
      <c r="AE200" s="293" t="s">
        <v>3</v>
      </c>
      <c r="AF200" s="298" t="s">
        <v>3</v>
      </c>
      <c r="AG200" s="231" t="s">
        <v>3</v>
      </c>
      <c r="AH200" s="231" t="s">
        <v>3</v>
      </c>
      <c r="AI200" s="231" t="s">
        <v>1480</v>
      </c>
      <c r="AJ200" s="312" t="s">
        <v>1481</v>
      </c>
      <c r="AK200" s="308" t="s">
        <v>1299</v>
      </c>
      <c r="AL200" s="22" t="s">
        <v>1482</v>
      </c>
      <c r="AM200" s="115" t="s">
        <v>1298</v>
      </c>
      <c r="AN200" s="115" t="s">
        <v>3</v>
      </c>
      <c r="AO200" s="115" t="s">
        <v>3</v>
      </c>
      <c r="AP200" s="115" t="s">
        <v>3</v>
      </c>
      <c r="AQ200" s="115" t="s">
        <v>3</v>
      </c>
      <c r="AR200" s="116" t="s">
        <v>3</v>
      </c>
      <c r="AS200" s="117" t="str">
        <f t="shared" si="3"/>
        <v/>
      </c>
      <c r="AT200" s="30" t="s">
        <v>203</v>
      </c>
      <c r="AU200" s="302">
        <v>36012</v>
      </c>
      <c r="AV200" s="302">
        <v>38905</v>
      </c>
      <c r="AW200" s="120">
        <v>42480</v>
      </c>
      <c r="AX200" s="120">
        <v>42713</v>
      </c>
      <c r="AY200" s="302">
        <v>42276</v>
      </c>
      <c r="AZ200" s="305" t="s">
        <v>785</v>
      </c>
      <c r="BA200" s="302">
        <v>44407</v>
      </c>
      <c r="BB200" s="603" t="s">
        <v>2095</v>
      </c>
      <c r="BC200" s="394" t="s">
        <v>3</v>
      </c>
      <c r="BD200" s="394" t="s">
        <v>3</v>
      </c>
      <c r="BE200" s="177" t="s">
        <v>899</v>
      </c>
      <c r="BF200" s="404" t="s">
        <v>424</v>
      </c>
      <c r="BG200" s="396" t="s">
        <v>3</v>
      </c>
      <c r="BH200" s="394" t="s">
        <v>3</v>
      </c>
      <c r="BI200" s="402">
        <v>2020</v>
      </c>
      <c r="BJ200" s="403">
        <v>1</v>
      </c>
      <c r="BK200"/>
      <c r="BM200"/>
    </row>
    <row r="201" spans="1:65" ht="115.05" customHeight="1">
      <c r="A201" s="33" t="s">
        <v>651</v>
      </c>
      <c r="B201" s="92" t="s">
        <v>180</v>
      </c>
      <c r="C201" s="362" t="s">
        <v>1638</v>
      </c>
      <c r="D201" s="429">
        <v>0.4</v>
      </c>
      <c r="E201" s="363" t="s">
        <v>1</v>
      </c>
      <c r="F201" s="363">
        <v>2030</v>
      </c>
      <c r="G201" s="362" t="s">
        <v>3</v>
      </c>
      <c r="H201" s="178">
        <v>2021</v>
      </c>
      <c r="I201" s="178">
        <v>2030</v>
      </c>
      <c r="J201" s="364" t="s">
        <v>1639</v>
      </c>
      <c r="K201" s="365" t="s">
        <v>1640</v>
      </c>
      <c r="L201" s="362" t="s">
        <v>360</v>
      </c>
      <c r="M201" s="362" t="s">
        <v>131</v>
      </c>
      <c r="N201" s="362" t="s">
        <v>1623</v>
      </c>
      <c r="O201" s="362" t="s">
        <v>131</v>
      </c>
      <c r="P201" s="362" t="s">
        <v>1623</v>
      </c>
      <c r="Q201" s="362" t="s">
        <v>471</v>
      </c>
      <c r="R201" s="366" t="s">
        <v>1623</v>
      </c>
      <c r="S201" s="367" t="s">
        <v>131</v>
      </c>
      <c r="T201" s="362" t="s">
        <v>131</v>
      </c>
      <c r="U201" s="362" t="s">
        <v>131</v>
      </c>
      <c r="V201" s="362" t="s">
        <v>3</v>
      </c>
      <c r="W201" s="362" t="s">
        <v>3</v>
      </c>
      <c r="X201" s="362" t="s">
        <v>3</v>
      </c>
      <c r="Y201" s="368" t="s">
        <v>3</v>
      </c>
      <c r="Z201" s="362">
        <v>12.8</v>
      </c>
      <c r="AA201" s="362">
        <v>13.5</v>
      </c>
      <c r="AB201" s="362">
        <v>5.0999999999999996</v>
      </c>
      <c r="AC201" s="362" t="s">
        <v>3</v>
      </c>
      <c r="AD201" s="362" t="s">
        <v>3</v>
      </c>
      <c r="AE201" s="362" t="s">
        <v>3</v>
      </c>
      <c r="AF201" s="369" t="s">
        <v>3</v>
      </c>
      <c r="AG201" s="370">
        <v>4.8339999999999996</v>
      </c>
      <c r="AH201" s="370" t="s">
        <v>1624</v>
      </c>
      <c r="AI201" s="370">
        <v>4.8339999999999996</v>
      </c>
      <c r="AJ201" s="364" t="s">
        <v>1641</v>
      </c>
      <c r="AK201" s="371" t="s">
        <v>3</v>
      </c>
      <c r="AL201" s="209" t="s">
        <v>1642</v>
      </c>
      <c r="AM201" s="118" t="s">
        <v>1627</v>
      </c>
      <c r="AN201" s="118" t="s">
        <v>1627</v>
      </c>
      <c r="AO201" s="118" t="s">
        <v>1624</v>
      </c>
      <c r="AP201" s="210" t="s">
        <v>3</v>
      </c>
      <c r="AQ201" s="118" t="s">
        <v>3</v>
      </c>
      <c r="AR201" s="119" t="s">
        <v>3</v>
      </c>
      <c r="AS201" s="117">
        <f t="shared" si="3"/>
        <v>1</v>
      </c>
      <c r="AT201" s="134" t="s">
        <v>203</v>
      </c>
      <c r="AU201" s="372" t="s">
        <v>3</v>
      </c>
      <c r="AV201" s="372">
        <v>39994</v>
      </c>
      <c r="AW201" s="122">
        <v>42482</v>
      </c>
      <c r="AX201" s="373">
        <v>42954</v>
      </c>
      <c r="AY201" s="372">
        <v>42277</v>
      </c>
      <c r="AZ201" s="374" t="s">
        <v>762</v>
      </c>
      <c r="BA201" s="470">
        <v>44463</v>
      </c>
      <c r="BB201" s="610" t="s">
        <v>2094</v>
      </c>
      <c r="BC201" s="399" t="s">
        <v>3</v>
      </c>
      <c r="BD201" s="399" t="s">
        <v>3</v>
      </c>
      <c r="BE201" s="409" t="s">
        <v>899</v>
      </c>
      <c r="BF201" s="410" t="s">
        <v>424</v>
      </c>
      <c r="BG201" s="398" t="s">
        <v>3</v>
      </c>
      <c r="BH201" s="399" t="s">
        <v>3</v>
      </c>
      <c r="BI201" s="442">
        <v>2021</v>
      </c>
      <c r="BJ201" s="449">
        <v>1</v>
      </c>
      <c r="BK201"/>
      <c r="BM201"/>
    </row>
    <row r="202" spans="1:65" ht="55.5" customHeight="1">
      <c r="A202" s="32"/>
      <c r="B202" s="34"/>
      <c r="C202" s="23"/>
      <c r="D202" s="5"/>
      <c r="E202" s="3"/>
      <c r="F202" s="3"/>
      <c r="G202" s="3"/>
      <c r="H202" s="7"/>
      <c r="I202" s="7"/>
      <c r="J202" s="6"/>
      <c r="K202" s="6"/>
      <c r="L202" s="126"/>
      <c r="M202" s="126"/>
      <c r="N202" s="126"/>
      <c r="O202" s="126"/>
      <c r="P202" s="126"/>
      <c r="Q202" s="126"/>
      <c r="R202" s="126"/>
      <c r="S202" s="126"/>
      <c r="T202" s="126"/>
      <c r="U202" s="126"/>
      <c r="V202" s="126"/>
      <c r="W202" s="126"/>
      <c r="X202" s="126"/>
      <c r="Y202" s="126"/>
      <c r="Z202" s="126"/>
      <c r="AA202" s="126"/>
      <c r="AB202" s="126"/>
      <c r="AC202" s="126"/>
      <c r="AD202" s="126"/>
      <c r="AE202" s="126"/>
      <c r="AF202" s="126"/>
      <c r="AG202" s="6"/>
      <c r="AH202" s="6"/>
      <c r="AI202" s="6"/>
      <c r="AJ202" s="6"/>
      <c r="AK202" s="6"/>
      <c r="AL202" s="18"/>
      <c r="AM202" s="39"/>
      <c r="AN202" s="39"/>
      <c r="AO202" s="39"/>
      <c r="AP202" s="39"/>
      <c r="AQ202" s="39"/>
      <c r="AR202" s="39"/>
      <c r="AS202" s="39"/>
      <c r="AT202" s="39"/>
      <c r="AU202" s="10"/>
      <c r="AV202" s="10"/>
      <c r="AW202" s="39"/>
      <c r="AX202" s="39"/>
      <c r="AY202" s="7"/>
      <c r="AZ202" s="261"/>
      <c r="BA202" s="7"/>
      <c r="BB202" s="15"/>
      <c r="BC202" s="15"/>
      <c r="BD202" s="45"/>
      <c r="BE202" s="400"/>
      <c r="BG202" s="247"/>
      <c r="BH202" s="247"/>
      <c r="BI202" s="443"/>
      <c r="BK202"/>
      <c r="BM202"/>
    </row>
    <row r="203" spans="1:65" ht="33.75" customHeight="1">
      <c r="B203" s="35"/>
      <c r="H203" s="1"/>
      <c r="I203" s="1"/>
      <c r="J203" s="8"/>
      <c r="K203" s="8"/>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c r="AG203" s="8"/>
      <c r="AH203" s="8"/>
      <c r="AI203" s="8"/>
      <c r="AJ203" s="8"/>
      <c r="AK203" s="8"/>
      <c r="AL203" s="8"/>
      <c r="AM203" s="8"/>
      <c r="AN203" s="8"/>
      <c r="AO203" s="8"/>
      <c r="AP203" s="8"/>
      <c r="AQ203" s="8"/>
      <c r="AR203" s="8"/>
      <c r="AS203" s="8"/>
      <c r="AT203" s="8"/>
      <c r="AU203" s="8"/>
      <c r="AV203" s="8"/>
      <c r="AW203" s="8"/>
      <c r="AX203" s="8"/>
      <c r="AY203" s="1"/>
      <c r="AZ203" s="262"/>
      <c r="BM203" s="11"/>
    </row>
    <row r="204" spans="1:65">
      <c r="A204" s="1"/>
      <c r="B204" s="37"/>
      <c r="C204" s="1"/>
      <c r="D204" s="1"/>
      <c r="E204" s="1"/>
      <c r="F204" s="1"/>
      <c r="G204" s="1"/>
      <c r="J204" s="1"/>
      <c r="K204" s="1"/>
      <c r="Z204" s="237"/>
      <c r="AA204" s="237"/>
      <c r="AB204" s="237"/>
      <c r="AC204" s="237"/>
      <c r="AD204" s="237"/>
      <c r="AE204" s="237"/>
      <c r="AF204" s="237"/>
      <c r="AG204" s="1"/>
      <c r="AH204" s="1"/>
      <c r="AI204" s="1"/>
      <c r="AJ204" s="1"/>
      <c r="AK204" s="1"/>
      <c r="AL204" s="1"/>
      <c r="AM204" s="1"/>
      <c r="AN204" s="1"/>
      <c r="AO204" s="1"/>
      <c r="AP204" s="1"/>
      <c r="AQ204" s="1"/>
      <c r="AR204" s="1"/>
      <c r="AS204" s="1"/>
      <c r="AT204" s="135"/>
      <c r="AU204" s="1"/>
      <c r="AV204" s="1"/>
      <c r="AW204" s="1"/>
      <c r="AX204" s="1"/>
      <c r="AY204" s="1"/>
      <c r="AZ204" s="263"/>
      <c r="BB204" s="1"/>
      <c r="BC204" s="1"/>
      <c r="BD204" s="1"/>
      <c r="BG204" s="248"/>
      <c r="BH204" s="248"/>
      <c r="BI204" s="445"/>
      <c r="BM204" s="11"/>
    </row>
    <row r="205" spans="1:65" ht="16.5" customHeight="1">
      <c r="J205" s="8"/>
      <c r="K205" s="8"/>
      <c r="L205" s="127"/>
      <c r="M205" s="127"/>
      <c r="N205" s="127"/>
      <c r="O205" s="127"/>
      <c r="P205" s="127"/>
      <c r="Q205" s="127"/>
      <c r="R205" s="127"/>
      <c r="S205" s="127"/>
      <c r="T205" s="127"/>
      <c r="U205" s="127"/>
      <c r="V205" s="127"/>
      <c r="W205" s="127"/>
      <c r="X205" s="127"/>
      <c r="Y205" s="127"/>
      <c r="Z205" s="238"/>
      <c r="AA205" s="238"/>
      <c r="AB205" s="238"/>
      <c r="AC205" s="238"/>
      <c r="AD205" s="238"/>
      <c r="AE205" s="238"/>
      <c r="AF205" s="127"/>
      <c r="AG205" s="8"/>
      <c r="AH205" s="8"/>
      <c r="AI205" s="8"/>
      <c r="AJ205" s="8"/>
      <c r="AK205" s="8"/>
      <c r="AL205" s="8"/>
      <c r="AM205" s="8"/>
      <c r="AN205" s="8"/>
      <c r="AO205" s="8"/>
      <c r="AP205" s="8"/>
      <c r="AQ205" s="8"/>
      <c r="AR205" s="8"/>
      <c r="AS205" s="8"/>
      <c r="AT205" s="8"/>
      <c r="AU205" s="8"/>
      <c r="AV205" s="8"/>
      <c r="AW205" s="8"/>
      <c r="AX205" s="8"/>
      <c r="AY205" s="8"/>
      <c r="AZ205" s="262"/>
      <c r="BM205" s="11"/>
    </row>
    <row r="206" spans="1:65" ht="15.75" customHeight="1">
      <c r="AZ206" s="262"/>
      <c r="BM206" s="11"/>
    </row>
    <row r="207" spans="1:65">
      <c r="AZ207" s="264"/>
      <c r="BM207" s="11"/>
    </row>
    <row r="208" spans="1:65">
      <c r="J208" s="13"/>
      <c r="K208" s="13"/>
      <c r="L208" s="128"/>
      <c r="M208" s="128"/>
      <c r="N208" s="128"/>
      <c r="O208" s="128"/>
      <c r="P208" s="128"/>
      <c r="Q208" s="128"/>
      <c r="R208" s="128"/>
      <c r="S208" s="128"/>
      <c r="T208" s="128"/>
      <c r="U208" s="128"/>
      <c r="V208" s="128"/>
      <c r="W208" s="128"/>
      <c r="X208" s="128"/>
      <c r="Y208" s="128"/>
      <c r="Z208" s="128"/>
      <c r="AA208" s="128"/>
      <c r="AB208" s="128"/>
      <c r="AC208" s="128"/>
      <c r="AD208" s="128"/>
      <c r="AE208" s="128"/>
      <c r="AF208" s="128"/>
      <c r="AG208" s="13"/>
      <c r="AH208" s="13"/>
      <c r="AI208" s="13"/>
      <c r="AJ208" s="13"/>
      <c r="AK208" s="13"/>
      <c r="AL208" s="13"/>
      <c r="AM208" s="13"/>
      <c r="AN208" s="13"/>
      <c r="AO208" s="13"/>
      <c r="AP208" s="13"/>
      <c r="AQ208" s="13"/>
      <c r="AR208" s="13"/>
      <c r="AS208" s="13"/>
      <c r="AT208" s="13"/>
      <c r="AU208" s="13"/>
      <c r="AV208" s="13"/>
      <c r="AW208" s="13"/>
      <c r="AX208" s="13"/>
      <c r="AY208" s="13"/>
      <c r="AZ208" s="264"/>
    </row>
  </sheetData>
  <autoFilter ref="A4:BQ201" xr:uid="{00000000-0009-0000-0000-000001000000}"/>
  <sortState ref="A5:BG201">
    <sortCondition ref="A5:A201"/>
  </sortState>
  <mergeCells count="30">
    <mergeCell ref="A1:A4"/>
    <mergeCell ref="C1:K1"/>
    <mergeCell ref="AG1:AJ1"/>
    <mergeCell ref="L1:AF1"/>
    <mergeCell ref="C2:G2"/>
    <mergeCell ref="J2:K2"/>
    <mergeCell ref="Z2:AF2"/>
    <mergeCell ref="S2:Y2"/>
    <mergeCell ref="H2:I2"/>
    <mergeCell ref="AJ2:AJ4"/>
    <mergeCell ref="AG2:AI2"/>
    <mergeCell ref="M2:R2"/>
    <mergeCell ref="B1:B4"/>
    <mergeCell ref="L2:L4"/>
    <mergeCell ref="BE2:BF2"/>
    <mergeCell ref="AW2:AX2"/>
    <mergeCell ref="AY1:BJ1"/>
    <mergeCell ref="BG2:BJ2"/>
    <mergeCell ref="BI3:BJ3"/>
    <mergeCell ref="BG3:BH3"/>
    <mergeCell ref="AL1:AR1"/>
    <mergeCell ref="AK2:AK4"/>
    <mergeCell ref="AL2:AL4"/>
    <mergeCell ref="AM2:AR2"/>
    <mergeCell ref="BC2:BD2"/>
    <mergeCell ref="AU2:AV2"/>
    <mergeCell ref="AT1:AX1"/>
    <mergeCell ref="BA2:BB2"/>
    <mergeCell ref="AY2:AZ2"/>
    <mergeCell ref="AT2:AT4"/>
  </mergeCells>
  <phoneticPr fontId="7"/>
  <conditionalFormatting sqref="B174:B201 B5:B172">
    <cfRule type="expression" dxfId="5" priority="2">
      <formula xml:space="preserve"> Asia</formula>
    </cfRule>
  </conditionalFormatting>
  <conditionalFormatting sqref="B173">
    <cfRule type="expression" dxfId="4" priority="1">
      <formula xml:space="preserve"> Asia</formula>
    </cfRule>
  </conditionalFormatting>
  <dataValidations count="1">
    <dataValidation type="list" allowBlank="1" showInputMessage="1" showErrorMessage="1" sqref="B5:B201" xr:uid="{F5051FE6-001B-4443-8E55-B7924CD74841}">
      <formula1>"Asia, Europe, Eastern Europe &amp; Central Asia, North Africa &amp; the Middle East, Sub-Saharan Africa, Latin America &amp; the Caribbean, Oceania, Northern America"</formula1>
    </dataValidation>
  </dataValidations>
  <hyperlinks>
    <hyperlink ref="AZ195" r:id="rId1" xr:uid="{00000000-0004-0000-0100-000001000000}"/>
    <hyperlink ref="AZ180" r:id="rId2" xr:uid="{00000000-0004-0000-0100-000002000000}"/>
    <hyperlink ref="AZ144" r:id="rId3" xr:uid="{00000000-0004-0000-0100-000004000000}"/>
    <hyperlink ref="AZ45" r:id="rId4" xr:uid="{00000000-0004-0000-0100-000006000000}"/>
    <hyperlink ref="AZ172" r:id="rId5" xr:uid="{00000000-0004-0000-0100-000008000000}"/>
    <hyperlink ref="AZ146" r:id="rId6" xr:uid="{00000000-0004-0000-0100-00000A000000}"/>
    <hyperlink ref="AZ135" r:id="rId7" xr:uid="{00000000-0004-0000-0100-00000C000000}"/>
    <hyperlink ref="AZ119" r:id="rId8" xr:uid="{00000000-0004-0000-0100-00000E000000}"/>
    <hyperlink ref="AZ36" r:id="rId9" xr:uid="{00000000-0004-0000-0100-000010000000}"/>
    <hyperlink ref="AZ197" r:id="rId10" xr:uid="{00000000-0004-0000-0100-000012000000}"/>
    <hyperlink ref="AZ156" r:id="rId11" xr:uid="{00000000-0004-0000-0100-000014000000}"/>
    <hyperlink ref="AZ182" r:id="rId12" xr:uid="{00000000-0004-0000-0100-000016000000}"/>
    <hyperlink ref="AZ155" r:id="rId13" xr:uid="{00000000-0004-0000-0100-000018000000}"/>
    <hyperlink ref="AZ27" r:id="rId14" xr:uid="{00000000-0004-0000-0100-00001A000000}"/>
    <hyperlink ref="AZ9" r:id="rId15" xr:uid="{00000000-0004-0000-0100-00001B000000}"/>
    <hyperlink ref="AZ145" r:id="rId16" xr:uid="{00000000-0004-0000-0100-00001C000000}"/>
    <hyperlink ref="AZ139" r:id="rId17" xr:uid="{00000000-0004-0000-0100-00001E000000}"/>
    <hyperlink ref="AZ187" r:id="rId18" xr:uid="{00000000-0004-0000-0100-000020000000}"/>
    <hyperlink ref="AZ103" r:id="rId19" xr:uid="{00000000-0004-0000-0100-000022000000}"/>
    <hyperlink ref="AZ140" r:id="rId20" xr:uid="{00000000-0004-0000-0100-000024000000}"/>
    <hyperlink ref="AZ136" r:id="rId21" xr:uid="{00000000-0004-0000-0100-000026000000}"/>
    <hyperlink ref="AZ109" r:id="rId22" xr:uid="{00000000-0004-0000-0100-000028000000}"/>
    <hyperlink ref="AZ16" r:id="rId23" xr:uid="{00000000-0004-0000-0100-00002A000000}"/>
    <hyperlink ref="AZ126" r:id="rId24" xr:uid="{00000000-0004-0000-0100-00002C000000}"/>
    <hyperlink ref="AZ199" r:id="rId25" xr:uid="{00000000-0004-0000-0100-00002E000000}"/>
    <hyperlink ref="AZ44" r:id="rId26" xr:uid="{00000000-0004-0000-0100-00002F000000}"/>
    <hyperlink ref="AZ159" r:id="rId27" xr:uid="{00000000-0004-0000-0100-000031000000}"/>
    <hyperlink ref="AZ171" r:id="rId28" xr:uid="{00000000-0004-0000-0100-000033000000}"/>
    <hyperlink ref="AZ94" r:id="rId29" xr:uid="{00000000-0004-0000-0100-000034000000}"/>
    <hyperlink ref="AZ100" r:id="rId30" xr:uid="{00000000-0004-0000-0100-000036000000}"/>
    <hyperlink ref="AZ151" r:id="rId31" xr:uid="{00000000-0004-0000-0100-000037000000}"/>
    <hyperlink ref="AZ41" r:id="rId32" xr:uid="{00000000-0004-0000-0100-000039000000}"/>
    <hyperlink ref="AZ157" r:id="rId33" xr:uid="{00000000-0004-0000-0100-00003B000000}"/>
    <hyperlink ref="AZ158" r:id="rId34" xr:uid="{00000000-0004-0000-0100-00003D000000}"/>
    <hyperlink ref="AZ15" r:id="rId35" xr:uid="{00000000-0004-0000-0100-00003F000000}"/>
    <hyperlink ref="AZ169" r:id="rId36" xr:uid="{00000000-0004-0000-0100-000041000000}"/>
    <hyperlink ref="AZ134" r:id="rId37" xr:uid="{00000000-0004-0000-0100-000043000000}"/>
    <hyperlink ref="AZ52" r:id="rId38" xr:uid="{00000000-0004-0000-0100-000045000000}"/>
    <hyperlink ref="AZ51" r:id="rId39" xr:uid="{00000000-0004-0000-0100-000047000000}"/>
    <hyperlink ref="AZ101" r:id="rId40" xr:uid="{00000000-0004-0000-0100-000049000000}"/>
    <hyperlink ref="AZ162" r:id="rId41" xr:uid="{00000000-0004-0000-0100-00004A000000}"/>
    <hyperlink ref="AZ29" r:id="rId42" xr:uid="{00000000-0004-0000-0100-00004C000000}"/>
    <hyperlink ref="AZ188" r:id="rId43" xr:uid="{00000000-0004-0000-0100-00004E000000}"/>
    <hyperlink ref="AZ47" r:id="rId44" xr:uid="{00000000-0004-0000-0100-000050000000}"/>
    <hyperlink ref="AZ175" r:id="rId45" xr:uid="{00000000-0004-0000-0100-000052000000}"/>
    <hyperlink ref="AZ190" r:id="rId46" xr:uid="{00000000-0004-0000-0100-000053000000}"/>
    <hyperlink ref="AZ181" r:id="rId47" xr:uid="{00000000-0004-0000-0100-000054000000}"/>
    <hyperlink ref="AZ183" r:id="rId48" xr:uid="{00000000-0004-0000-0100-000056000000}"/>
    <hyperlink ref="AZ92" r:id="rId49" xr:uid="{00000000-0004-0000-0100-000058000000}"/>
    <hyperlink ref="AZ143" r:id="rId50" xr:uid="{00000000-0004-0000-0100-00005A000000}"/>
    <hyperlink ref="AZ10" r:id="rId51" xr:uid="{00000000-0004-0000-0100-00005B000000}"/>
    <hyperlink ref="AZ5" r:id="rId52" xr:uid="{00000000-0004-0000-0100-00005D000000}"/>
    <hyperlink ref="AZ50" r:id="rId53" xr:uid="{00000000-0004-0000-0100-00005F000000}"/>
    <hyperlink ref="AZ23" r:id="rId54" xr:uid="{00000000-0004-0000-0100-000060000000}"/>
    <hyperlink ref="AZ24" r:id="rId55" xr:uid="{00000000-0004-0000-0100-000062000000}"/>
    <hyperlink ref="AZ118" r:id="rId56" xr:uid="{00000000-0004-0000-0100-000064000000}"/>
    <hyperlink ref="AZ11" r:id="rId57" xr:uid="{00000000-0004-0000-0100-000066000000}"/>
    <hyperlink ref="AZ131" r:id="rId58" xr:uid="{00000000-0004-0000-0100-000068000000}"/>
    <hyperlink ref="AZ98" r:id="rId59" xr:uid="{00000000-0004-0000-0100-00006A000000}"/>
    <hyperlink ref="AZ20" r:id="rId60" xr:uid="{00000000-0004-0000-0100-00006C000000}"/>
    <hyperlink ref="AZ7" r:id="rId61" xr:uid="{00000000-0004-0000-0100-00006E000000}"/>
    <hyperlink ref="AZ148" r:id="rId62" xr:uid="{00000000-0004-0000-0100-000070000000}"/>
    <hyperlink ref="AZ25" r:id="rId63" xr:uid="{00000000-0004-0000-0100-000072000000}"/>
    <hyperlink ref="AZ35" r:id="rId64" xr:uid="{00000000-0004-0000-0100-000074000000}"/>
    <hyperlink ref="AZ166" r:id="rId65" xr:uid="{00000000-0004-0000-0100-000076000000}"/>
    <hyperlink ref="AZ96" r:id="rId66" xr:uid="{00000000-0004-0000-0100-000078000000}"/>
    <hyperlink ref="AZ179" r:id="rId67" xr:uid="{00000000-0004-0000-0100-00007A000000}"/>
    <hyperlink ref="AZ111" r:id="rId68" xr:uid="{00000000-0004-0000-0100-00007C000000}"/>
    <hyperlink ref="AZ150" r:id="rId69" xr:uid="{00000000-0004-0000-0100-00007E000000}"/>
    <hyperlink ref="AZ32" r:id="rId70" xr:uid="{00000000-0004-0000-0100-00007F000000}"/>
    <hyperlink ref="AZ160" r:id="rId71" xr:uid="{00000000-0004-0000-0100-000081000000}"/>
    <hyperlink ref="AZ185" r:id="rId72" xr:uid="{00000000-0004-0000-0100-000083000000}"/>
    <hyperlink ref="AZ147" r:id="rId73" xr:uid="{00000000-0004-0000-0100-000084000000}"/>
    <hyperlink ref="AZ87" r:id="rId74" xr:uid="{00000000-0004-0000-0100-000086000000}"/>
    <hyperlink ref="AZ114" r:id="rId75" xr:uid="{00000000-0004-0000-0100-000088000000}"/>
    <hyperlink ref="AZ178" r:id="rId76" xr:uid="{00000000-0004-0000-0100-00008A000000}"/>
    <hyperlink ref="AZ113" r:id="rId77" xr:uid="{00000000-0004-0000-0100-00008C000000}"/>
    <hyperlink ref="AZ31" r:id="rId78" xr:uid="{00000000-0004-0000-0100-00008E000000}"/>
    <hyperlink ref="AZ22" r:id="rId79" xr:uid="{00000000-0004-0000-0100-000090000000}"/>
    <hyperlink ref="AZ42" r:id="rId80" xr:uid="{00000000-0004-0000-0100-000092000000}"/>
    <hyperlink ref="AZ201" r:id="rId81" xr:uid="{00000000-0004-0000-0100-000094000000}"/>
    <hyperlink ref="AZ186" r:id="rId82" xr:uid="{00000000-0004-0000-0100-000096000000}"/>
    <hyperlink ref="AZ168" r:id="rId83" xr:uid="{00000000-0004-0000-0100-000098000000}"/>
    <hyperlink ref="AZ105" r:id="rId84" xr:uid="{00000000-0004-0000-0100-00009A000000}"/>
    <hyperlink ref="AZ30" r:id="rId85" xr:uid="{00000000-0004-0000-0100-00009C000000}"/>
    <hyperlink ref="AZ90" r:id="rId86" xr:uid="{00000000-0004-0000-0100-00009D000000}"/>
    <hyperlink ref="AZ18" r:id="rId87" xr:uid="{00000000-0004-0000-0100-00009F000000}"/>
    <hyperlink ref="AZ198" r:id="rId88" xr:uid="{00000000-0004-0000-0100-0000A1000000}"/>
    <hyperlink ref="AZ123" r:id="rId89" xr:uid="{00000000-0004-0000-0100-0000A3000000}"/>
    <hyperlink ref="AZ93" r:id="rId90" xr:uid="{00000000-0004-0000-0100-0000A5000000}"/>
    <hyperlink ref="AZ43" r:id="rId91" xr:uid="{00000000-0004-0000-0100-0000A7000000}"/>
    <hyperlink ref="AZ21" r:id="rId92" xr:uid="{00000000-0004-0000-0100-0000A9000000}"/>
    <hyperlink ref="AZ112" r:id="rId93" xr:uid="{00000000-0004-0000-0100-0000AB000000}"/>
    <hyperlink ref="AZ189" r:id="rId94" xr:uid="{00000000-0004-0000-0100-0000AC000000}"/>
    <hyperlink ref="AZ95" r:id="rId95" xr:uid="{00000000-0004-0000-0100-0000AE000000}"/>
    <hyperlink ref="AZ161" r:id="rId96" xr:uid="{00000000-0004-0000-0100-0000B0000000}"/>
    <hyperlink ref="AZ91" r:id="rId97" xr:uid="{00000000-0004-0000-0100-0000B2000000}"/>
    <hyperlink ref="AZ102" r:id="rId98" xr:uid="{00000000-0004-0000-0100-0000B4000000}"/>
    <hyperlink ref="AZ48" r:id="rId99" xr:uid="{00000000-0004-0000-0100-0000B6000000}"/>
    <hyperlink ref="AZ40" r:id="rId100" xr:uid="{00000000-0004-0000-0100-0000B8000000}"/>
    <hyperlink ref="AZ14" r:id="rId101" xr:uid="{00000000-0004-0000-0100-0000BA000000}"/>
    <hyperlink ref="AZ192" r:id="rId102" xr:uid="{00000000-0004-0000-0100-0000BC000000}"/>
    <hyperlink ref="AZ55" r:id="rId103" xr:uid="{00000000-0004-0000-0100-0000BE000000}"/>
    <hyperlink ref="AZ200" r:id="rId104" xr:uid="{00000000-0004-0000-0100-0000C0000000}"/>
    <hyperlink ref="AZ133" r:id="rId105" xr:uid="{00000000-0004-0000-0100-0000C2000000}"/>
    <hyperlink ref="AZ194" r:id="rId106" xr:uid="{00000000-0004-0000-0100-0000C4000000}"/>
    <hyperlink ref="AZ110" r:id="rId107" xr:uid="{00000000-0004-0000-0100-0000C6000000}"/>
    <hyperlink ref="AZ12" r:id="rId108" xr:uid="{00000000-0004-0000-0100-0000C7000000}"/>
    <hyperlink ref="AZ121" r:id="rId109" xr:uid="{00000000-0004-0000-0100-0000C9000000}"/>
    <hyperlink ref="AZ196" r:id="rId110" xr:uid="{00000000-0004-0000-0100-0000CB000000}"/>
    <hyperlink ref="AZ149" r:id="rId111" xr:uid="{00000000-0004-0000-0100-0000CD000000}"/>
    <hyperlink ref="AZ106" r:id="rId112" xr:uid="{00000000-0004-0000-0100-0000CF000000}"/>
    <hyperlink ref="AZ120" r:id="rId113" xr:uid="{00000000-0004-0000-0100-0000D1000000}"/>
    <hyperlink ref="AZ132" r:id="rId114" xr:uid="{00000000-0004-0000-0100-0000D3000000}"/>
    <hyperlink ref="AZ124" r:id="rId115" xr:uid="{00000000-0004-0000-0100-0000D5000000}"/>
    <hyperlink ref="AZ26" r:id="rId116" xr:uid="{00000000-0004-0000-0100-0000D7000000}"/>
    <hyperlink ref="AZ34" r:id="rId117" xr:uid="{00000000-0004-0000-0100-0000D9000000}"/>
    <hyperlink ref="AZ163" r:id="rId118" xr:uid="{00000000-0004-0000-0100-0000DB000000}"/>
    <hyperlink ref="AZ108" r:id="rId119" xr:uid="{00000000-0004-0000-0100-0000DC000000}"/>
    <hyperlink ref="AZ153" r:id="rId120" xr:uid="{00000000-0004-0000-0100-0000DE000000}"/>
    <hyperlink ref="AZ170" r:id="rId121" xr:uid="{00000000-0004-0000-0100-0000E0000000}"/>
    <hyperlink ref="AZ19" r:id="rId122" xr:uid="{00000000-0004-0000-0100-0000E2000000}"/>
    <hyperlink ref="AZ88" r:id="rId123" xr:uid="{00000000-0004-0000-0100-0000E4000000}"/>
    <hyperlink ref="AZ165" r:id="rId124" xr:uid="{00000000-0004-0000-0100-0000E6000000}"/>
    <hyperlink ref="AZ17" r:id="rId125" xr:uid="{00000000-0004-0000-0100-0000E8000000}"/>
    <hyperlink ref="AZ54" r:id="rId126" xr:uid="{00000000-0004-0000-0100-0000EA000000}"/>
    <hyperlink ref="AZ128" r:id="rId127" xr:uid="{00000000-0004-0000-0100-0000EC000000}"/>
    <hyperlink ref="AZ99" r:id="rId128" xr:uid="{00000000-0004-0000-0100-0000EE000000}"/>
    <hyperlink ref="AZ117" r:id="rId129" xr:uid="{00000000-0004-0000-0100-0000F0000000}"/>
    <hyperlink ref="AZ6" r:id="rId130" xr:uid="{00000000-0004-0000-0100-0000F2000000}"/>
    <hyperlink ref="AZ89" r:id="rId131" xr:uid="{00000000-0004-0000-0100-0000F4000000}"/>
    <hyperlink ref="AZ129" r:id="rId132" xr:uid="{00000000-0004-0000-0100-0000F6000000}"/>
    <hyperlink ref="AZ53" r:id="rId133" xr:uid="{00000000-0004-0000-0100-0000F8000000}"/>
    <hyperlink ref="AZ39" r:id="rId134" xr:uid="{00000000-0004-0000-0100-0000FA000000}"/>
    <hyperlink ref="AZ184" r:id="rId135" xr:uid="{00000000-0004-0000-0100-0000FC000000}"/>
    <hyperlink ref="AZ38" r:id="rId136" xr:uid="{00000000-0004-0000-0100-0000FE000000}"/>
    <hyperlink ref="AZ49" r:id="rId137" xr:uid="{00000000-0004-0000-0100-000000010000}"/>
    <hyperlink ref="AZ46" r:id="rId138" xr:uid="{00000000-0004-0000-0100-000002010000}"/>
    <hyperlink ref="AZ13" r:id="rId139" xr:uid="{00000000-0004-0000-0100-000004010000}"/>
    <hyperlink ref="AZ141" r:id="rId140" xr:uid="{00000000-0004-0000-0100-000006010000}"/>
    <hyperlink ref="AZ127" r:id="rId141" xr:uid="{00000000-0004-0000-0100-000008010000}"/>
    <hyperlink ref="AZ107" r:id="rId142" xr:uid="{00000000-0004-0000-0100-00000A010000}"/>
    <hyperlink ref="AZ122" r:id="rId143" xr:uid="{00000000-0004-0000-0100-00000C010000}"/>
    <hyperlink ref="AZ104" r:id="rId144" xr:uid="{00000000-0004-0000-0100-00000E010000}"/>
    <hyperlink ref="AZ167" r:id="rId145" xr:uid="{00000000-0004-0000-0100-000010010000}"/>
    <hyperlink ref="AZ152" r:id="rId146" xr:uid="{00000000-0004-0000-0100-000012010000}"/>
    <hyperlink ref="AZ37" r:id="rId147" xr:uid="{00000000-0004-0000-0100-000014010000}"/>
    <hyperlink ref="AZ97" r:id="rId148" xr:uid="{00000000-0004-0000-0100-000016010000}"/>
    <hyperlink ref="AZ164" r:id="rId149" xr:uid="{00000000-0004-0000-0100-000018010000}"/>
    <hyperlink ref="AZ56" r:id="rId150" xr:uid="{00000000-0004-0000-0100-00001A010000}"/>
    <hyperlink ref="AZ130" r:id="rId151" xr:uid="{00000000-0004-0000-0100-00001C010000}"/>
    <hyperlink ref="AZ33" r:id="rId152" xr:uid="{00000000-0004-0000-0100-00001E010000}"/>
    <hyperlink ref="AZ8" r:id="rId153" xr:uid="{00000000-0004-0000-0100-00001F010000}"/>
    <hyperlink ref="AZ116" r:id="rId154" xr:uid="{00000000-0004-0000-0100-000021010000}"/>
    <hyperlink ref="AZ85" r:id="rId155" xr:uid="{00000000-0004-0000-0100-000023010000}"/>
    <hyperlink ref="AZ193" r:id="rId156" xr:uid="{00000000-0004-0000-0100-000025010000}"/>
    <hyperlink ref="AZ125" r:id="rId157" xr:uid="{00000000-0004-0000-0100-000027010000}"/>
    <hyperlink ref="AZ142" r:id="rId158" xr:uid="{00000000-0004-0000-0100-000029010000}"/>
    <hyperlink ref="AZ176" r:id="rId159" xr:uid="{00000000-0004-0000-0100-00002A010000}"/>
    <hyperlink ref="AZ28" r:id="rId160" xr:uid="{00000000-0004-0000-0100-00002C010000}"/>
    <hyperlink ref="AZ138" r:id="rId161" xr:uid="{00000000-0004-0000-0100-000030010000}"/>
    <hyperlink ref="AZ174" r:id="rId162" xr:uid="{00000000-0004-0000-0100-000090010000}"/>
    <hyperlink ref="BB24" r:id="rId163" xr:uid="{8467C3D3-DAD9-409B-8611-7AA8EB5AF75A}"/>
    <hyperlink ref="BB23" r:id="rId164" xr:uid="{2C08EC7D-EEBA-499F-80BF-BDA39A541221}"/>
    <hyperlink ref="BD22" r:id="rId165" xr:uid="{15BA5EFF-32C4-46B3-905D-8418F9C9F3C7}"/>
    <hyperlink ref="BB5" r:id="rId166" xr:uid="{E4F7E07D-878C-4068-9FB6-D0E667356A61}"/>
    <hyperlink ref="BB6" r:id="rId167" xr:uid="{24E7BFFD-D36A-41E0-8404-6ED237AD9829}"/>
    <hyperlink ref="BB7" r:id="rId168" xr:uid="{CB2FC5ED-CCE6-473C-89C1-025443E1D9B9}"/>
    <hyperlink ref="BB8" r:id="rId169" xr:uid="{B98FB32D-E782-43B0-B56C-455CA12280FF}"/>
    <hyperlink ref="BB9" r:id="rId170" xr:uid="{2235C021-0A07-4D9C-983F-064E6AA42C57}"/>
    <hyperlink ref="BB10" r:id="rId171" xr:uid="{F844C9B8-3459-4860-93FA-4BE0D09444B4}"/>
    <hyperlink ref="BD11" r:id="rId172" xr:uid="{71E41EFC-1580-4100-819A-0D8BF8263160}"/>
    <hyperlink ref="BB12" r:id="rId173" xr:uid="{EEFE70CB-90CF-4762-B298-ED67DD83470E}"/>
    <hyperlink ref="BB13" r:id="rId174" xr:uid="{E64EE187-005A-4798-9EC5-EDB3D4B68C0B}"/>
    <hyperlink ref="BB14" r:id="rId175" xr:uid="{9B2373CE-E06A-4B9B-B4B2-C62E7DB9D1B9}"/>
    <hyperlink ref="BB15" r:id="rId176" xr:uid="{CB3CB4E2-B800-4C63-B592-FFECA09313AC}"/>
    <hyperlink ref="BB16" r:id="rId177" xr:uid="{D8B71593-220F-48A5-A0E2-09F88A7D765B}"/>
    <hyperlink ref="BB17" r:id="rId178" xr:uid="{A168B176-4EA8-4882-92C3-95C198C17716}"/>
    <hyperlink ref="BB18" r:id="rId179" xr:uid="{72CD498D-04E5-4A4C-AC99-6AC868A081C2}"/>
    <hyperlink ref="BB19" r:id="rId180" xr:uid="{DF78B84F-E59E-4CA1-B599-E7EDE7F78AE3}"/>
    <hyperlink ref="BB20" r:id="rId181" xr:uid="{325FAF88-C105-4C66-ADF6-F4D5A763A7B5}"/>
    <hyperlink ref="BB21" r:id="rId182" xr:uid="{DE800120-519F-420F-A68F-186B93A2BC75}"/>
    <hyperlink ref="BB26" r:id="rId183" xr:uid="{533EEC1E-C510-47C9-8A9B-8B2200FC690C}"/>
    <hyperlink ref="BB25" r:id="rId184" xr:uid="{587B2546-F6F2-40B0-B955-D11E7397001C}"/>
    <hyperlink ref="BB27" r:id="rId185" xr:uid="{30172A45-5CC9-4A64-A505-7C5F81B79C25}"/>
    <hyperlink ref="BB28" r:id="rId186" xr:uid="{B013C06A-1D3D-4C41-A1BF-A18ECB1F6115}"/>
    <hyperlink ref="BB29" r:id="rId187" xr:uid="{A12F8FED-F0C8-4DFD-B02A-5EFBDF806675}"/>
    <hyperlink ref="BB31" r:id="rId188" xr:uid="{5B4F7328-29F7-4899-85E2-5D4FFB048E2C}"/>
    <hyperlink ref="BB32" r:id="rId189" xr:uid="{A491E501-2562-44BF-A38D-32EECC7F43A0}"/>
    <hyperlink ref="BB33" r:id="rId190" xr:uid="{ACB99ABE-7D50-4104-95FC-13424060D1F1}"/>
    <hyperlink ref="BB35" r:id="rId191" xr:uid="{6DF04DFA-7A6E-47C6-8527-707768BF56D3}"/>
    <hyperlink ref="BB34" r:id="rId192" xr:uid="{0F7950DE-AF79-413D-B072-40440AD7537C}"/>
    <hyperlink ref="BB30" r:id="rId193" xr:uid="{3E656BE7-AD86-4B4A-A733-CA38993D81E5}"/>
    <hyperlink ref="BB37" r:id="rId194" xr:uid="{8E82EA51-6113-4D05-B082-61307B2AF512}"/>
    <hyperlink ref="BB38" r:id="rId195" xr:uid="{971EB693-D37A-492E-B5E4-7EE1DE840C19}"/>
    <hyperlink ref="BB36" r:id="rId196" xr:uid="{02B36FB0-2673-4C45-B960-053BB5DED138}"/>
    <hyperlink ref="BB39" r:id="rId197" xr:uid="{5524233B-637D-4CC8-928F-2F8DEAC75DCE}"/>
    <hyperlink ref="BB46" r:id="rId198" xr:uid="{E509938C-966C-43F5-B4E1-FD2FCCD7AF57}"/>
    <hyperlink ref="BB40" r:id="rId199" xr:uid="{B2DFE365-5A8F-436A-AE0D-46111228E2CC}"/>
    <hyperlink ref="BB42" r:id="rId200" xr:uid="{09D4C57A-8F84-43F3-950C-43F7A24E1D31}"/>
    <hyperlink ref="BB43" r:id="rId201" xr:uid="{AE011DA7-7B65-4192-8B15-66053F6BDE0A}"/>
    <hyperlink ref="BB44" r:id="rId202" xr:uid="{0382EACE-FDFB-41D8-B815-C613E5E96E25}"/>
    <hyperlink ref="BB47" r:id="rId203" xr:uid="{0848B9B3-C4A7-48FB-96BB-8CEAC767B1E2}"/>
    <hyperlink ref="BB48" r:id="rId204" xr:uid="{6C973732-441B-4A0F-8FE1-00B7CE9C1D3E}"/>
    <hyperlink ref="BB49" r:id="rId205" xr:uid="{85151940-0BEA-4609-A495-463864FC3EFB}"/>
    <hyperlink ref="BB50" r:id="rId206" xr:uid="{149BF7EF-C237-43B0-9D5C-39D91C69AFD2}"/>
    <hyperlink ref="BB54" r:id="rId207" xr:uid="{C623879C-347F-4857-B815-9EF30327DE60}"/>
    <hyperlink ref="BB53" r:id="rId208" xr:uid="{7C1779BB-B16F-4E50-948F-DC475762C7A9}"/>
    <hyperlink ref="BB52" r:id="rId209" xr:uid="{8A6CA3C7-630F-492D-AAFD-513327E32CB5}"/>
    <hyperlink ref="BB51" r:id="rId210" xr:uid="{171D4EA6-9BDD-4C76-A0FF-AE9649AB2DA2}"/>
    <hyperlink ref="BB56" r:id="rId211" xr:uid="{144C0AE0-8148-4A8A-85CB-48E347DA8C0E}"/>
    <hyperlink ref="BB57" r:id="rId212" xr:uid="{B97D9B48-5273-4153-8DDC-4ACFADC24F2B}"/>
    <hyperlink ref="BB58" r:id="rId213" xr:uid="{6173CBB4-C420-4766-92F0-6FE66F6B4DD1}"/>
    <hyperlink ref="BB59" r:id="rId214" xr:uid="{EA3D7F96-DCE3-4512-AA00-E75DF48F2CFF}"/>
    <hyperlink ref="BB60" r:id="rId215" xr:uid="{E71496AD-DBF6-4927-BC35-C4FB16640945}"/>
    <hyperlink ref="BB61" r:id="rId216" xr:uid="{958D7C58-C7AB-4780-8D1A-F76C22D8B064}"/>
    <hyperlink ref="BB62" r:id="rId217" xr:uid="{EEFB26BA-DFFC-405D-8A99-53A3D081FB74}"/>
    <hyperlink ref="BB63" r:id="rId218" xr:uid="{A9E7FAB5-B677-400B-8EF2-AFA9841A1E6B}"/>
    <hyperlink ref="BB64" r:id="rId219" xr:uid="{AB0313A2-03EE-41D0-A18A-B840008CCB47}"/>
    <hyperlink ref="BB65" r:id="rId220" xr:uid="{5522BF98-0A71-461A-BF46-A70480F557F5}"/>
    <hyperlink ref="BB66" r:id="rId221" xr:uid="{EBED5873-5489-4B93-BA68-451D0BDA7D75}"/>
    <hyperlink ref="BB67" r:id="rId222" xr:uid="{D65DDF8F-F288-4AE7-B9F8-537EC5372DC9}"/>
    <hyperlink ref="BB68" r:id="rId223" xr:uid="{A2695671-56B0-4B1D-822D-9F09A1DC995A}"/>
    <hyperlink ref="BB69" r:id="rId224" xr:uid="{C21C4A49-7602-4607-ADCF-1442C5DC9376}"/>
    <hyperlink ref="BB70" r:id="rId225" xr:uid="{22EC5306-4235-4AC5-9566-BB781CC8543A}"/>
    <hyperlink ref="BB71" r:id="rId226" xr:uid="{21248742-503A-4E68-A45E-0A33ABD23661}"/>
    <hyperlink ref="BB72" r:id="rId227" xr:uid="{955C56D0-C38B-414C-8F4D-67134838B377}"/>
    <hyperlink ref="BB73" r:id="rId228" xr:uid="{1B358337-B907-4FFA-81F9-E95300CD53D2}"/>
    <hyperlink ref="BB74" r:id="rId229" xr:uid="{6C6BC070-FD53-446F-B6EA-A0BEB89FEAE5}"/>
    <hyperlink ref="BB75" r:id="rId230" xr:uid="{9EA09689-CA0B-4423-9FED-C3AEFA7DE31D}"/>
    <hyperlink ref="BB76" r:id="rId231" xr:uid="{89FF223E-8775-4DE5-A840-47FAD80B2D5B}"/>
    <hyperlink ref="BB77" r:id="rId232" xr:uid="{5BB3DCF4-99C0-4261-9E0C-7F9330D811C0}"/>
    <hyperlink ref="BB78" r:id="rId233" xr:uid="{9FF2882E-6E9D-4A55-8E6F-8E517D1A586F}"/>
    <hyperlink ref="BB79" r:id="rId234" xr:uid="{5024CF77-17BF-40F3-8D35-C3314077A450}"/>
    <hyperlink ref="BB80" r:id="rId235" xr:uid="{8F0B6AEC-F965-4397-8AE7-DAD4F35725AD}"/>
    <hyperlink ref="BB81" r:id="rId236" xr:uid="{1B0D6747-DB2B-4FD7-B39A-78D078F2D3AE}"/>
    <hyperlink ref="BB82" r:id="rId237" xr:uid="{B2FB7858-5364-4DFA-AD71-B2871D723C99}"/>
    <hyperlink ref="BB83" r:id="rId238" xr:uid="{7F03F298-2C3A-4A74-836F-8BCCD5C445F0}"/>
    <hyperlink ref="BB84" r:id="rId239" xr:uid="{EE373051-1607-487F-A020-40DC049B6701}"/>
    <hyperlink ref="BB88" r:id="rId240" xr:uid="{663DF174-C2C8-4E75-8407-77AE39E87061}"/>
    <hyperlink ref="BD87" r:id="rId241" xr:uid="{E7E7EC5E-3D1C-4D9A-9BB0-CA0CD72C1137}"/>
    <hyperlink ref="BB86" r:id="rId242" xr:uid="{2ED1265C-0F08-4ED9-8BC3-38D4ABC350DB}"/>
    <hyperlink ref="BB85" r:id="rId243" xr:uid="{FC0DA4D6-5CAB-42DC-A771-88010221E61A}"/>
    <hyperlink ref="BB89" r:id="rId244" xr:uid="{6BDF1286-713F-449E-BE2D-C4304EF02376}"/>
    <hyperlink ref="BD90" r:id="rId245" xr:uid="{3F43A80A-AAE0-4E12-82A1-96DACB5C0B3B}"/>
    <hyperlink ref="BB91" r:id="rId246" xr:uid="{6AB23517-1E7F-46D7-B294-8F050A16C3C2}"/>
    <hyperlink ref="BB92" r:id="rId247" xr:uid="{63BCE34D-1075-4A95-BEC8-C61EA87FF89A}"/>
    <hyperlink ref="BB95" r:id="rId248" xr:uid="{32AEC170-CB8B-4236-B3F7-E4FEEE4C2EEF}"/>
    <hyperlink ref="BB96" r:id="rId249" xr:uid="{D63633E0-DE55-4CA5-9024-A5DD1DE43FC7}"/>
    <hyperlink ref="BB97" r:id="rId250" xr:uid="{BA9CCA4D-FD74-40B0-AF0C-DF38D373EB7F}"/>
    <hyperlink ref="BB98" r:id="rId251" xr:uid="{26E10E0E-AC05-4E90-B7E5-8D9C4CA51388}"/>
    <hyperlink ref="BB101" r:id="rId252" xr:uid="{F1697704-B413-4FA3-B8CD-51F48F6AB034}"/>
    <hyperlink ref="BB102" r:id="rId253" xr:uid="{8F90D7F9-85F4-4E6C-8301-7C65C0B7223D}"/>
    <hyperlink ref="BB107" r:id="rId254" xr:uid="{53447B01-C71A-41FE-B55F-DC0B1E78DF99}"/>
    <hyperlink ref="BB108" r:id="rId255" xr:uid="{6118437D-3C56-4DB0-A8A9-C061F3DE247B}"/>
    <hyperlink ref="BB45" r:id="rId256" xr:uid="{706D3ED6-ADCA-428B-99AE-97DC10C037A2}"/>
    <hyperlink ref="BB105" r:id="rId257" xr:uid="{366159F1-482D-4DAA-BEF5-20DF58DF8D5C}"/>
    <hyperlink ref="BB104" r:id="rId258" xr:uid="{34A9C79E-5497-4002-805A-AEEA7745C9BE}"/>
    <hyperlink ref="BB103" r:id="rId259" xr:uid="{8A99006E-5814-4255-9A18-71F46379D51E}"/>
    <hyperlink ref="BB106" r:id="rId260" xr:uid="{8AC968ED-2BB0-41CA-B947-B50967215606}"/>
    <hyperlink ref="BB118" r:id="rId261" xr:uid="{6879A498-A8C3-4E0E-9D8D-1E843CC3B2DD}"/>
    <hyperlink ref="BB117" r:id="rId262" xr:uid="{D4D5CA1D-9898-460E-88B3-B8D5892405A7}"/>
    <hyperlink ref="BB116" r:id="rId263" xr:uid="{C9A69456-6358-48B7-BB7E-6C7E627BD6E2}"/>
    <hyperlink ref="BB113" r:id="rId264" xr:uid="{7F4C7F45-CC56-49A4-A4CD-1E6A61A5EBE1}"/>
    <hyperlink ref="BB114" r:id="rId265" xr:uid="{03938470-BC94-4B73-BBA6-B1959A94E6E9}"/>
    <hyperlink ref="BB111" r:id="rId266" xr:uid="{1190B100-CE93-4DAD-BFCD-DE80D6D5B66A}"/>
    <hyperlink ref="BB110" r:id="rId267" xr:uid="{06DB5F3B-EAA4-4863-A26E-612B378E9AE0}"/>
    <hyperlink ref="BB127" r:id="rId268" xr:uid="{49CCD57C-21CD-49C9-9784-35099ED90BF6}"/>
    <hyperlink ref="BB125" r:id="rId269" xr:uid="{4CD28578-6194-4A8A-9706-732964F37D47}"/>
    <hyperlink ref="BB124" r:id="rId270" xr:uid="{ACB62E82-2A26-4C2B-BD3F-DE528365DB33}"/>
    <hyperlink ref="BB123" r:id="rId271" xr:uid="{8C6D9A26-259C-4025-B2F4-3B79F38ECEF5}"/>
    <hyperlink ref="BD122" r:id="rId272" xr:uid="{7D64B6D0-DFE5-4B11-92B0-3BF513F60C96}"/>
    <hyperlink ref="BB139" r:id="rId273" xr:uid="{63923DC2-662D-4434-ABFC-7AB8F4DC60B3}"/>
    <hyperlink ref="BB140" r:id="rId274" xr:uid="{2C2DAD6B-9FD7-4622-9A03-26A779D4789D}"/>
    <hyperlink ref="BB142" r:id="rId275" xr:uid="{22F6EFD5-16FB-43D3-8B74-893FF2C15502}"/>
    <hyperlink ref="BD143" r:id="rId276" xr:uid="{B49C9F7C-9890-4D5A-9B9A-D78FEDB3F106}"/>
    <hyperlink ref="BB138" r:id="rId277" xr:uid="{AF081840-DDA3-4A5F-BD94-D871F234AF37}"/>
    <hyperlink ref="BB137" r:id="rId278" xr:uid="{E9C33205-6017-46EE-AAB5-15F62BA97815}"/>
    <hyperlink ref="BB136" r:id="rId279" xr:uid="{18B004D4-B132-4DD9-90B0-57E6FF6C1ECF}"/>
    <hyperlink ref="BD135" r:id="rId280" xr:uid="{236BACE2-57C8-49BB-A005-05B078ECD4A0}"/>
    <hyperlink ref="BB55" r:id="rId281" xr:uid="{1DB467F0-77E2-4697-BA07-6BA4EC27D9EC}"/>
    <hyperlink ref="BB201" r:id="rId282" xr:uid="{5843E2C6-5A52-4BA4-9454-1B0D79EEDCFF}"/>
    <hyperlink ref="BB200" r:id="rId283" xr:uid="{31DEA651-D34C-4C80-A859-20CD9A7FD62E}"/>
    <hyperlink ref="BB198" r:id="rId284" xr:uid="{1D9D3385-A9A6-467D-A734-982387BFF873}"/>
    <hyperlink ref="BB197" r:id="rId285" xr:uid="{B5B42D8D-3374-4A08-807C-6FA0F760122C}"/>
    <hyperlink ref="BB196" r:id="rId286" xr:uid="{521699D8-D478-4225-BB07-7F6E615B28AF}"/>
    <hyperlink ref="BB195" r:id="rId287" xr:uid="{E22B02C9-7D13-4061-838E-A9413A7D41A4}"/>
    <hyperlink ref="BB194" r:id="rId288" xr:uid="{19280E34-58DA-4470-9EB5-DF6B06C6DCC9}"/>
    <hyperlink ref="BB193" r:id="rId289" xr:uid="{0FEF9A94-DAA7-46B2-8FD6-9B98660A5124}"/>
    <hyperlink ref="BB191" r:id="rId290" xr:uid="{570BD10B-3E65-4762-BF27-6C1FD0B0366D}"/>
    <hyperlink ref="BD190" r:id="rId291" xr:uid="{7DF56DB5-F777-4598-ABBA-6AA721B2FE37}"/>
    <hyperlink ref="BB189" r:id="rId292" xr:uid="{37C8BFBC-B6C4-46A5-A962-88CC93B8B8D9}"/>
    <hyperlink ref="BB188" r:id="rId293" xr:uid="{0679879E-F643-4296-9628-724AB2C84B00}"/>
    <hyperlink ref="BB187" r:id="rId294" xr:uid="{80EC729C-1176-4A30-878F-CB92B60892ED}"/>
    <hyperlink ref="BB186" r:id="rId295" xr:uid="{418FDE1C-9F1B-40C5-A1AD-4859D4EB50F9}"/>
    <hyperlink ref="BB185" r:id="rId296" xr:uid="{FE0E3B6F-464F-4D27-94B0-25123524DFBC}"/>
    <hyperlink ref="BB184" r:id="rId297" xr:uid="{54A2B090-EBC8-401E-8B1E-DFE16C83D842}"/>
    <hyperlink ref="BB183" r:id="rId298" xr:uid="{3D373AC5-6B0A-4A56-8B83-458C27E38BD4}"/>
    <hyperlink ref="BD182" r:id="rId299" xr:uid="{34812FFD-246D-478E-8B33-179C6E40CD34}"/>
    <hyperlink ref="BB181" r:id="rId300" xr:uid="{E2DAF0F7-5EEB-49C7-8E75-DD41588FD6A1}"/>
    <hyperlink ref="BB180" r:id="rId301" xr:uid="{B4B3070C-54F5-4EA8-898B-CC877C9E8470}"/>
    <hyperlink ref="BB179" r:id="rId302" xr:uid="{1ABEDE19-7CB5-4D4A-B261-4420130225A2}"/>
    <hyperlink ref="BB192" r:id="rId303" xr:uid="{967360E3-D184-4B6B-89A5-C103D94A4DF1}"/>
    <hyperlink ref="BB178" r:id="rId304" xr:uid="{60AC1388-1736-4300-9701-DA78809B122A}"/>
    <hyperlink ref="BB177" r:id="rId305" xr:uid="{86BA8E68-FE19-4221-A276-7CF1E35F774A}"/>
    <hyperlink ref="BB176" r:id="rId306" xr:uid="{8079F344-CB7B-4052-8446-7833995961D3}"/>
    <hyperlink ref="BD175" r:id="rId307" xr:uid="{2F2A0967-0EBF-4481-A241-DDF249E0B0F4}"/>
    <hyperlink ref="BB174" r:id="rId308" xr:uid="{27BCDA1E-A246-42F8-9711-13DAB314F0CF}"/>
    <hyperlink ref="BB172" r:id="rId309" xr:uid="{B587D214-96AC-4F2B-9C48-A442C5DC5171}"/>
    <hyperlink ref="BD171" r:id="rId310" xr:uid="{57866582-14A9-4FED-8537-6E1C776A7F71}"/>
    <hyperlink ref="BB170" r:id="rId311" xr:uid="{10764FC2-979D-4515-B707-6DE672F6B22F}"/>
    <hyperlink ref="BB169" r:id="rId312" xr:uid="{7B164EB3-A393-4627-AEFF-6854210F0DC1}"/>
    <hyperlink ref="BB168" r:id="rId313" xr:uid="{543E2966-C34A-4D1E-9E81-3CF6B0EE1808}"/>
    <hyperlink ref="BB167" r:id="rId314" xr:uid="{A2E87920-0794-4426-9DD9-B508899C35EA}"/>
    <hyperlink ref="BB166" r:id="rId315" xr:uid="{3E59434B-AF93-4836-A891-A5C8DF53B9DA}"/>
    <hyperlink ref="BB165" r:id="rId316" xr:uid="{E5B7437D-D980-4E64-8CD5-BEF041DD386B}"/>
    <hyperlink ref="BB164" r:id="rId317" xr:uid="{1BFBCEFE-C4E9-4625-97E3-F524F03347CA}"/>
    <hyperlink ref="BB163" r:id="rId318" xr:uid="{17D9A93F-5E3A-49E1-AD74-82A7EF035F8F}"/>
    <hyperlink ref="BB162" r:id="rId319" xr:uid="{30B779BE-9839-4984-B920-A90133414B5C}"/>
    <hyperlink ref="BB161" r:id="rId320" xr:uid="{3C593FA0-3704-432B-BF2E-9AA967C63F89}"/>
    <hyperlink ref="BB160" r:id="rId321" xr:uid="{51D24F2A-0BF0-46EA-AF6D-5A80347CAAAB}"/>
    <hyperlink ref="BD159" r:id="rId322" xr:uid="{1D0791C6-8616-4F87-AAAC-06334DA3ACFB}"/>
    <hyperlink ref="BB158" r:id="rId323" xr:uid="{B6C2A721-17B9-4BF8-9A62-C8478C43EC38}"/>
    <hyperlink ref="BB157" r:id="rId324" xr:uid="{E0A88B02-005C-43B2-A252-F6A00AC9F377}"/>
    <hyperlink ref="BB156" r:id="rId325" xr:uid="{69CE7921-58AF-4AFF-BA18-66911B1DF84E}"/>
    <hyperlink ref="BB155" r:id="rId326" xr:uid="{910DD99A-05B2-4789-B135-39CCD4768579}"/>
    <hyperlink ref="BB154" r:id="rId327" xr:uid="{6ACCD578-8D42-40DB-970D-5EAE9C8356D5}"/>
    <hyperlink ref="BB151" r:id="rId328" xr:uid="{1301AE7F-B7ED-4476-9AA5-D9125FABD405}"/>
    <hyperlink ref="BB150" r:id="rId329" xr:uid="{243479C5-7895-4ADB-A65C-975A4DDE0F2D}"/>
    <hyperlink ref="BB149" r:id="rId330" xr:uid="{5C3D2F64-6FAB-4C9D-8929-AAAED0F63AE3}"/>
    <hyperlink ref="BB148" r:id="rId331" xr:uid="{3174082E-30A7-4B03-B39C-A0994012606B}"/>
    <hyperlink ref="BD147" r:id="rId332" xr:uid="{0D045E2A-166F-4131-BA11-98C577DA2573}"/>
    <hyperlink ref="BB146" r:id="rId333" xr:uid="{EAE03FAB-8D67-4934-9256-FD8C8C5B76A1}"/>
    <hyperlink ref="BB145" r:id="rId334" xr:uid="{E1243393-FB90-4747-9744-F188E6160415}"/>
    <hyperlink ref="BB144" r:id="rId335" xr:uid="{7A3E74E5-9FAC-4C11-85F4-5B40A791FFCA}"/>
    <hyperlink ref="BB134" r:id="rId336" xr:uid="{0A8FA119-0E16-47DB-9556-3998502DF146}"/>
    <hyperlink ref="BB133" r:id="rId337" xr:uid="{57BCBF6D-C3F3-4844-BA5B-D628C3796E21}"/>
    <hyperlink ref="BB132" r:id="rId338" xr:uid="{EB5BF0F3-71EC-4925-A01A-3A522588C108}"/>
    <hyperlink ref="BB131" r:id="rId339" xr:uid="{240F989C-EF76-47B3-85F7-D83C20582581}"/>
    <hyperlink ref="BB130" r:id="rId340" xr:uid="{B7A07F5A-B2A7-4B23-A845-AAF4E517E3EF}"/>
    <hyperlink ref="BB129" r:id="rId341" xr:uid="{4E060D80-4781-4DF6-A9CF-3B2BD68B5861}"/>
    <hyperlink ref="BB128" r:id="rId342" xr:uid="{99D6DC38-AF84-4F61-A183-2B1BA81CDBD1}"/>
    <hyperlink ref="BB153" r:id="rId343" xr:uid="{6C005041-5BEB-4879-B70C-36B7785D686E}"/>
    <hyperlink ref="BB121" r:id="rId344" xr:uid="{1200A997-862F-4F5E-8784-2FF1A1D5B895}"/>
    <hyperlink ref="BB120" r:id="rId345" xr:uid="{FFECE71A-8EF9-47DC-973C-FE0E3772E918}"/>
    <hyperlink ref="BB119" r:id="rId346" xr:uid="{6F4CC655-65A4-40B0-B1F7-8F61429BE55F}"/>
    <hyperlink ref="BB141" r:id="rId347" xr:uid="{18909B5E-5888-4C48-AF24-C3EE093CAD33}"/>
    <hyperlink ref="BB112" r:id="rId348" xr:uid="{D1DF14F6-3939-4472-AF6A-CA746CC22A35}"/>
    <hyperlink ref="BB99" r:id="rId349" xr:uid="{AA31A531-094D-418C-818B-78A3306F17A8}"/>
    <hyperlink ref="BB173" r:id="rId350" xr:uid="{E3C0460C-AF33-42B7-B56A-7E33DB55292A}"/>
    <hyperlink ref="BB126" r:id="rId351" xr:uid="{DB3E98A4-0E60-4D8E-AE1B-90E084852A0F}"/>
  </hyperlinks>
  <pageMargins left="0.7" right="0.7" top="0.75" bottom="0.75" header="0.3" footer="0.3"/>
  <pageSetup paperSize="9" orientation="portrait" r:id="rId352"/>
  <ignoredErrors>
    <ignoredError sqref="I135 H9:I9" numberStoredAsText="1"/>
  </ignoredErrors>
  <drawing r:id="rId353"/>
  <legacyDrawing r:id="rId35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5B1A9"/>
  </sheetPr>
  <dimension ref="A1:AL154"/>
  <sheetViews>
    <sheetView zoomScaleNormal="100" workbookViewId="0">
      <pane xSplit="1" ySplit="3" topLeftCell="B4" activePane="bottomRight" state="frozen"/>
      <selection activeCell="L33" sqref="L33:R33"/>
      <selection pane="topRight" activeCell="L33" sqref="L33:R33"/>
      <selection pane="bottomLeft" activeCell="L33" sqref="L33:R33"/>
      <selection pane="bottomRight" sqref="A1:A3"/>
    </sheetView>
  </sheetViews>
  <sheetFormatPr defaultRowHeight="14.4"/>
  <cols>
    <col min="1" max="1" width="14.21875" style="36" customWidth="1"/>
    <col min="2" max="2" width="9.77734375" style="36" customWidth="1"/>
    <col min="3" max="3" width="13.21875" style="51" customWidth="1"/>
    <col min="4" max="4" width="11.77734375" style="51" customWidth="1"/>
    <col min="5" max="5" width="11.77734375" style="38" customWidth="1"/>
    <col min="6" max="6" width="12" customWidth="1"/>
    <col min="7" max="9" width="11.77734375" customWidth="1"/>
    <col min="10" max="10" width="59.21875" customWidth="1"/>
    <col min="11" max="11" width="11.77734375" customWidth="1"/>
    <col min="12" max="12" width="11.77734375" style="38" customWidth="1"/>
    <col min="13" max="13" width="12.109375" customWidth="1"/>
    <col min="14" max="16" width="11.77734375" customWidth="1"/>
    <col min="17" max="17" width="59.21875" customWidth="1"/>
    <col min="18" max="18" width="11.77734375" style="553" customWidth="1"/>
    <col min="19" max="19" width="11.77734375" customWidth="1"/>
    <col min="20" max="20" width="12" customWidth="1"/>
    <col min="21" max="23" width="11.77734375" customWidth="1"/>
    <col min="24" max="24" width="59.109375" customWidth="1"/>
    <col min="25" max="30" width="13.6640625" customWidth="1"/>
    <col min="31" max="31" width="46.77734375" customWidth="1"/>
    <col min="32" max="37" width="13.6640625" style="580" customWidth="1"/>
    <col min="38" max="38" width="46.77734375" style="580" customWidth="1"/>
  </cols>
  <sheetData>
    <row r="1" spans="1:38" ht="17.25" customHeight="1">
      <c r="A1" s="708" t="s">
        <v>243</v>
      </c>
      <c r="B1" s="708" t="s">
        <v>82</v>
      </c>
      <c r="C1" s="724" t="s">
        <v>294</v>
      </c>
      <c r="D1" s="722" t="s">
        <v>275</v>
      </c>
      <c r="E1" s="722"/>
      <c r="F1" s="722"/>
      <c r="G1" s="722"/>
      <c r="H1" s="722"/>
      <c r="I1" s="722"/>
      <c r="J1" s="723"/>
      <c r="K1" s="729" t="s">
        <v>450</v>
      </c>
      <c r="L1" s="722"/>
      <c r="M1" s="722"/>
      <c r="N1" s="722"/>
      <c r="O1" s="722"/>
      <c r="P1" s="722"/>
      <c r="Q1" s="723"/>
      <c r="R1" s="713" t="s">
        <v>1000</v>
      </c>
      <c r="S1" s="714"/>
      <c r="T1" s="714"/>
      <c r="U1" s="714"/>
      <c r="V1" s="714"/>
      <c r="W1" s="714"/>
      <c r="X1" s="715"/>
      <c r="Y1" s="713" t="s">
        <v>1000</v>
      </c>
      <c r="Z1" s="714"/>
      <c r="AA1" s="714"/>
      <c r="AB1" s="714"/>
      <c r="AC1" s="714"/>
      <c r="AD1" s="714"/>
      <c r="AE1" s="715"/>
      <c r="AF1" s="713" t="s">
        <v>1000</v>
      </c>
      <c r="AG1" s="714"/>
      <c r="AH1" s="714"/>
      <c r="AI1" s="714"/>
      <c r="AJ1" s="714"/>
      <c r="AK1" s="714"/>
      <c r="AL1" s="715"/>
    </row>
    <row r="2" spans="1:38" s="125" customFormat="1" ht="13.5" customHeight="1">
      <c r="A2" s="708"/>
      <c r="B2" s="708"/>
      <c r="C2" s="725"/>
      <c r="D2" s="727" t="s">
        <v>380</v>
      </c>
      <c r="E2" s="689" t="s">
        <v>86</v>
      </c>
      <c r="F2" s="690"/>
      <c r="G2" s="690"/>
      <c r="H2" s="690"/>
      <c r="I2" s="691"/>
      <c r="J2" s="718" t="s">
        <v>381</v>
      </c>
      <c r="K2" s="716" t="s">
        <v>380</v>
      </c>
      <c r="L2" s="690" t="s">
        <v>86</v>
      </c>
      <c r="M2" s="690"/>
      <c r="N2" s="690"/>
      <c r="O2" s="690"/>
      <c r="P2" s="690"/>
      <c r="Q2" s="718" t="s">
        <v>930</v>
      </c>
      <c r="R2" s="720" t="s">
        <v>380</v>
      </c>
      <c r="S2" s="690" t="s">
        <v>86</v>
      </c>
      <c r="T2" s="690"/>
      <c r="U2" s="690"/>
      <c r="V2" s="690"/>
      <c r="W2" s="690"/>
      <c r="X2" s="718" t="s">
        <v>381</v>
      </c>
      <c r="Y2" s="716" t="s">
        <v>380</v>
      </c>
      <c r="Z2" s="690" t="s">
        <v>86</v>
      </c>
      <c r="AA2" s="690"/>
      <c r="AB2" s="690"/>
      <c r="AC2" s="690"/>
      <c r="AD2" s="690"/>
      <c r="AE2" s="718" t="s">
        <v>381</v>
      </c>
      <c r="AF2" s="716" t="s">
        <v>380</v>
      </c>
      <c r="AG2" s="690" t="s">
        <v>86</v>
      </c>
      <c r="AH2" s="690"/>
      <c r="AI2" s="690"/>
      <c r="AJ2" s="690"/>
      <c r="AK2" s="690"/>
      <c r="AL2" s="718" t="s">
        <v>381</v>
      </c>
    </row>
    <row r="3" spans="1:38" ht="33" customHeight="1" thickBot="1">
      <c r="A3" s="709"/>
      <c r="B3" s="709"/>
      <c r="C3" s="726"/>
      <c r="D3" s="728"/>
      <c r="E3" s="133" t="s">
        <v>206</v>
      </c>
      <c r="F3" s="132" t="s">
        <v>101</v>
      </c>
      <c r="G3" s="132" t="s">
        <v>315</v>
      </c>
      <c r="H3" s="132" t="s">
        <v>0</v>
      </c>
      <c r="I3" s="132" t="s">
        <v>224</v>
      </c>
      <c r="J3" s="719"/>
      <c r="K3" s="717"/>
      <c r="L3" s="131" t="s">
        <v>206</v>
      </c>
      <c r="M3" s="132" t="s">
        <v>101</v>
      </c>
      <c r="N3" s="132" t="s">
        <v>315</v>
      </c>
      <c r="O3" s="132" t="s">
        <v>0</v>
      </c>
      <c r="P3" s="132" t="s">
        <v>224</v>
      </c>
      <c r="Q3" s="719"/>
      <c r="R3" s="721"/>
      <c r="S3" s="131" t="s">
        <v>206</v>
      </c>
      <c r="T3" s="132" t="s">
        <v>101</v>
      </c>
      <c r="U3" s="132" t="s">
        <v>315</v>
      </c>
      <c r="V3" s="132" t="s">
        <v>0</v>
      </c>
      <c r="W3" s="132" t="s">
        <v>224</v>
      </c>
      <c r="X3" s="719"/>
      <c r="Y3" s="717"/>
      <c r="Z3" s="131" t="s">
        <v>206</v>
      </c>
      <c r="AA3" s="132" t="s">
        <v>101</v>
      </c>
      <c r="AB3" s="132" t="s">
        <v>315</v>
      </c>
      <c r="AC3" s="132" t="s">
        <v>0</v>
      </c>
      <c r="AD3" s="132" t="s">
        <v>224</v>
      </c>
      <c r="AE3" s="719"/>
      <c r="AF3" s="717"/>
      <c r="AG3" s="131" t="s">
        <v>206</v>
      </c>
      <c r="AH3" s="132" t="s">
        <v>101</v>
      </c>
      <c r="AI3" s="132" t="s">
        <v>315</v>
      </c>
      <c r="AJ3" s="132" t="s">
        <v>0</v>
      </c>
      <c r="AK3" s="132" t="s">
        <v>224</v>
      </c>
      <c r="AL3" s="719"/>
    </row>
    <row r="4" spans="1:38" s="532" customFormat="1" ht="48">
      <c r="A4" s="32" t="s">
        <v>490</v>
      </c>
      <c r="B4" s="93" t="s">
        <v>438</v>
      </c>
      <c r="C4" s="50" t="s">
        <v>1076</v>
      </c>
      <c r="D4" s="554" t="s">
        <v>1320</v>
      </c>
      <c r="E4" s="555" t="s">
        <v>1320</v>
      </c>
      <c r="F4" s="555" t="s">
        <v>1320</v>
      </c>
      <c r="G4" s="555" t="s">
        <v>1320</v>
      </c>
      <c r="H4" s="555" t="s">
        <v>1320</v>
      </c>
      <c r="I4" s="555" t="s">
        <v>1320</v>
      </c>
      <c r="J4" s="556" t="s">
        <v>1320</v>
      </c>
      <c r="K4" s="303">
        <v>42634</v>
      </c>
      <c r="L4" s="293" t="s">
        <v>185</v>
      </c>
      <c r="M4" s="306">
        <v>0.115</v>
      </c>
      <c r="N4" s="293" t="s">
        <v>1</v>
      </c>
      <c r="O4" s="293">
        <v>2030</v>
      </c>
      <c r="P4" s="230" t="s">
        <v>3</v>
      </c>
      <c r="Q4" s="24" t="s">
        <v>1739</v>
      </c>
      <c r="R4" s="550">
        <v>44481</v>
      </c>
      <c r="S4" s="293" t="s">
        <v>1717</v>
      </c>
      <c r="T4" s="534">
        <v>0.20899999999999999</v>
      </c>
      <c r="U4" s="293" t="s">
        <v>1</v>
      </c>
      <c r="V4" s="293">
        <v>2030</v>
      </c>
      <c r="W4" s="230" t="s">
        <v>3</v>
      </c>
      <c r="X4" s="473" t="s">
        <v>1740</v>
      </c>
      <c r="Y4" s="554" t="s">
        <v>1320</v>
      </c>
      <c r="Z4" s="555" t="s">
        <v>1320</v>
      </c>
      <c r="AA4" s="555" t="s">
        <v>1320</v>
      </c>
      <c r="AB4" s="555" t="s">
        <v>1320</v>
      </c>
      <c r="AC4" s="555" t="s">
        <v>1320</v>
      </c>
      <c r="AD4" s="555" t="s">
        <v>1320</v>
      </c>
      <c r="AE4" s="556" t="s">
        <v>1320</v>
      </c>
      <c r="AF4" s="554" t="s">
        <v>1320</v>
      </c>
      <c r="AG4" s="555" t="s">
        <v>1320</v>
      </c>
      <c r="AH4" s="555" t="s">
        <v>1320</v>
      </c>
      <c r="AI4" s="555" t="s">
        <v>1320</v>
      </c>
      <c r="AJ4" s="555" t="s">
        <v>1320</v>
      </c>
      <c r="AK4" s="555" t="s">
        <v>1320</v>
      </c>
      <c r="AL4" s="556" t="s">
        <v>1320</v>
      </c>
    </row>
    <row r="5" spans="1:38" s="423" customFormat="1" ht="60">
      <c r="A5" s="32" t="s">
        <v>493</v>
      </c>
      <c r="B5" s="557" t="s">
        <v>76</v>
      </c>
      <c r="C5" s="50" t="s">
        <v>1076</v>
      </c>
      <c r="D5" s="554" t="s">
        <v>1320</v>
      </c>
      <c r="E5" s="555" t="s">
        <v>1320</v>
      </c>
      <c r="F5" s="555" t="s">
        <v>1320</v>
      </c>
      <c r="G5" s="555" t="s">
        <v>1320</v>
      </c>
      <c r="H5" s="555" t="s">
        <v>1320</v>
      </c>
      <c r="I5" s="555" t="s">
        <v>1320</v>
      </c>
      <c r="J5" s="556" t="s">
        <v>1320</v>
      </c>
      <c r="K5" s="479">
        <v>42818</v>
      </c>
      <c r="L5" s="293" t="s">
        <v>185</v>
      </c>
      <c r="M5" s="318">
        <v>0.37</v>
      </c>
      <c r="N5" s="293" t="s">
        <v>1</v>
      </c>
      <c r="O5" s="293">
        <v>2030</v>
      </c>
      <c r="P5" s="230" t="s">
        <v>3</v>
      </c>
      <c r="Q5" s="24" t="s">
        <v>146</v>
      </c>
      <c r="R5" s="551">
        <v>43971</v>
      </c>
      <c r="S5" s="293" t="s">
        <v>185</v>
      </c>
      <c r="T5" s="55" t="s">
        <v>1063</v>
      </c>
      <c r="U5" s="293" t="s">
        <v>1</v>
      </c>
      <c r="V5" s="54" t="s">
        <v>988</v>
      </c>
      <c r="W5" s="293" t="s">
        <v>3</v>
      </c>
      <c r="X5" s="430" t="s">
        <v>1107</v>
      </c>
      <c r="Y5" s="554" t="s">
        <v>1320</v>
      </c>
      <c r="Z5" s="555" t="s">
        <v>1320</v>
      </c>
      <c r="AA5" s="555" t="s">
        <v>1320</v>
      </c>
      <c r="AB5" s="555" t="s">
        <v>1320</v>
      </c>
      <c r="AC5" s="555" t="s">
        <v>1320</v>
      </c>
      <c r="AD5" s="555" t="s">
        <v>1320</v>
      </c>
      <c r="AE5" s="556" t="s">
        <v>1320</v>
      </c>
      <c r="AF5" s="554" t="s">
        <v>1320</v>
      </c>
      <c r="AG5" s="555" t="s">
        <v>1320</v>
      </c>
      <c r="AH5" s="555" t="s">
        <v>1320</v>
      </c>
      <c r="AI5" s="555" t="s">
        <v>1320</v>
      </c>
      <c r="AJ5" s="555" t="s">
        <v>1320</v>
      </c>
      <c r="AK5" s="555" t="s">
        <v>1320</v>
      </c>
      <c r="AL5" s="556" t="s">
        <v>1320</v>
      </c>
    </row>
    <row r="6" spans="1:38" s="505" customFormat="1" ht="94.05" customHeight="1">
      <c r="A6" s="425" t="s">
        <v>494</v>
      </c>
      <c r="B6" s="92" t="s">
        <v>180</v>
      </c>
      <c r="C6" s="50" t="s">
        <v>1076</v>
      </c>
      <c r="D6" s="554" t="s">
        <v>1320</v>
      </c>
      <c r="E6" s="555" t="s">
        <v>1320</v>
      </c>
      <c r="F6" s="555" t="s">
        <v>1320</v>
      </c>
      <c r="G6" s="555" t="s">
        <v>1320</v>
      </c>
      <c r="H6" s="555" t="s">
        <v>1320</v>
      </c>
      <c r="I6" s="555" t="s">
        <v>1320</v>
      </c>
      <c r="J6" s="556" t="s">
        <v>1320</v>
      </c>
      <c r="K6" s="303">
        <v>44151</v>
      </c>
      <c r="L6" s="230" t="s">
        <v>185</v>
      </c>
      <c r="M6" s="319" t="s">
        <v>1004</v>
      </c>
      <c r="N6" s="230" t="s">
        <v>1</v>
      </c>
      <c r="O6" s="230">
        <v>2030</v>
      </c>
      <c r="P6" s="230" t="s">
        <v>3</v>
      </c>
      <c r="Q6" s="460" t="s">
        <v>169</v>
      </c>
      <c r="R6" s="489">
        <v>44347</v>
      </c>
      <c r="S6" s="230" t="s">
        <v>185</v>
      </c>
      <c r="T6" s="474" t="s">
        <v>1413</v>
      </c>
      <c r="U6" s="230" t="s">
        <v>1</v>
      </c>
      <c r="V6" s="456">
        <v>2025</v>
      </c>
      <c r="W6" s="230" t="s">
        <v>3</v>
      </c>
      <c r="X6" s="495" t="s">
        <v>1415</v>
      </c>
      <c r="Y6" s="554" t="s">
        <v>1320</v>
      </c>
      <c r="Z6" s="555" t="s">
        <v>1320</v>
      </c>
      <c r="AA6" s="555" t="s">
        <v>1320</v>
      </c>
      <c r="AB6" s="555" t="s">
        <v>1320</v>
      </c>
      <c r="AC6" s="555" t="s">
        <v>1320</v>
      </c>
      <c r="AD6" s="555" t="s">
        <v>1320</v>
      </c>
      <c r="AE6" s="556" t="s">
        <v>1320</v>
      </c>
      <c r="AF6" s="554" t="s">
        <v>1320</v>
      </c>
      <c r="AG6" s="555" t="s">
        <v>1320</v>
      </c>
      <c r="AH6" s="555" t="s">
        <v>1320</v>
      </c>
      <c r="AI6" s="555" t="s">
        <v>1320</v>
      </c>
      <c r="AJ6" s="555" t="s">
        <v>1320</v>
      </c>
      <c r="AK6" s="555" t="s">
        <v>1320</v>
      </c>
      <c r="AL6" s="556" t="s">
        <v>1320</v>
      </c>
    </row>
    <row r="7" spans="1:38" s="523" customFormat="1" ht="94.05" customHeight="1">
      <c r="A7" s="32" t="s">
        <v>495</v>
      </c>
      <c r="B7" s="95" t="s">
        <v>439</v>
      </c>
      <c r="C7" s="50" t="s">
        <v>1076</v>
      </c>
      <c r="D7" s="554" t="s">
        <v>1320</v>
      </c>
      <c r="E7" s="555" t="s">
        <v>1320</v>
      </c>
      <c r="F7" s="555" t="s">
        <v>1320</v>
      </c>
      <c r="G7" s="555" t="s">
        <v>1320</v>
      </c>
      <c r="H7" s="555" t="s">
        <v>1320</v>
      </c>
      <c r="I7" s="555" t="s">
        <v>1320</v>
      </c>
      <c r="J7" s="556" t="s">
        <v>1320</v>
      </c>
      <c r="K7" s="303">
        <v>42634</v>
      </c>
      <c r="L7" s="293" t="s">
        <v>189</v>
      </c>
      <c r="M7" s="293" t="s">
        <v>1005</v>
      </c>
      <c r="N7" s="293" t="s">
        <v>424</v>
      </c>
      <c r="O7" s="293">
        <v>2030</v>
      </c>
      <c r="P7" s="230" t="s">
        <v>3</v>
      </c>
      <c r="Q7" s="391" t="s">
        <v>333</v>
      </c>
      <c r="R7" s="489">
        <v>44445</v>
      </c>
      <c r="S7" s="293" t="s">
        <v>189</v>
      </c>
      <c r="T7" s="54" t="s">
        <v>1603</v>
      </c>
      <c r="U7" s="293" t="s">
        <v>424</v>
      </c>
      <c r="V7" s="293">
        <v>2030</v>
      </c>
      <c r="W7" s="230" t="s">
        <v>3</v>
      </c>
      <c r="X7" s="473" t="s">
        <v>1604</v>
      </c>
      <c r="Y7" s="554" t="s">
        <v>1320</v>
      </c>
      <c r="Z7" s="555" t="s">
        <v>1320</v>
      </c>
      <c r="AA7" s="555" t="s">
        <v>1320</v>
      </c>
      <c r="AB7" s="555" t="s">
        <v>1320</v>
      </c>
      <c r="AC7" s="555" t="s">
        <v>1320</v>
      </c>
      <c r="AD7" s="555" t="s">
        <v>1320</v>
      </c>
      <c r="AE7" s="556" t="s">
        <v>1320</v>
      </c>
      <c r="AF7" s="554" t="s">
        <v>1320</v>
      </c>
      <c r="AG7" s="555" t="s">
        <v>1320</v>
      </c>
      <c r="AH7" s="555" t="s">
        <v>1320</v>
      </c>
      <c r="AI7" s="555" t="s">
        <v>1320</v>
      </c>
      <c r="AJ7" s="555" t="s">
        <v>1320</v>
      </c>
      <c r="AK7" s="555" t="s">
        <v>1320</v>
      </c>
      <c r="AL7" s="556" t="s">
        <v>1320</v>
      </c>
    </row>
    <row r="8" spans="1:38" ht="192">
      <c r="A8" s="32" t="s">
        <v>665</v>
      </c>
      <c r="B8" s="95" t="s">
        <v>181</v>
      </c>
      <c r="C8" s="124" t="s">
        <v>1285</v>
      </c>
      <c r="D8" s="558">
        <v>42278</v>
      </c>
      <c r="E8" s="23" t="s">
        <v>185</v>
      </c>
      <c r="F8" s="23" t="s">
        <v>1112</v>
      </c>
      <c r="G8" s="23" t="s">
        <v>1</v>
      </c>
      <c r="H8" s="23">
        <v>2030</v>
      </c>
      <c r="I8" s="20" t="s">
        <v>3</v>
      </c>
      <c r="J8" s="48" t="s">
        <v>38</v>
      </c>
      <c r="K8" s="303">
        <v>42691</v>
      </c>
      <c r="L8" s="23" t="s">
        <v>185</v>
      </c>
      <c r="M8" s="54" t="s">
        <v>1118</v>
      </c>
      <c r="N8" s="23" t="s">
        <v>1</v>
      </c>
      <c r="O8" s="23">
        <v>2030</v>
      </c>
      <c r="P8" s="23" t="s">
        <v>3</v>
      </c>
      <c r="Q8" s="56" t="s">
        <v>293</v>
      </c>
      <c r="R8" s="559">
        <v>44195</v>
      </c>
      <c r="S8" s="548" t="s">
        <v>873</v>
      </c>
      <c r="T8" s="548" t="s">
        <v>1873</v>
      </c>
      <c r="U8" s="548" t="s">
        <v>424</v>
      </c>
      <c r="V8" s="128">
        <v>2030</v>
      </c>
      <c r="W8" s="128" t="s">
        <v>1874</v>
      </c>
      <c r="X8" s="547" t="s">
        <v>1872</v>
      </c>
      <c r="Y8" s="479">
        <v>44502</v>
      </c>
      <c r="Z8" s="293" t="s">
        <v>1286</v>
      </c>
      <c r="AA8" s="54" t="s">
        <v>1805</v>
      </c>
      <c r="AB8" s="293" t="s">
        <v>424</v>
      </c>
      <c r="AC8" s="293">
        <v>2030</v>
      </c>
      <c r="AD8" s="230" t="s">
        <v>3</v>
      </c>
      <c r="AE8" s="56" t="s">
        <v>1804</v>
      </c>
      <c r="AF8" s="554" t="s">
        <v>1320</v>
      </c>
      <c r="AG8" s="555" t="s">
        <v>1320</v>
      </c>
      <c r="AH8" s="555" t="s">
        <v>1320</v>
      </c>
      <c r="AI8" s="555" t="s">
        <v>1320</v>
      </c>
      <c r="AJ8" s="555" t="s">
        <v>1320</v>
      </c>
      <c r="AK8" s="555" t="s">
        <v>1320</v>
      </c>
      <c r="AL8" s="556" t="s">
        <v>1320</v>
      </c>
    </row>
    <row r="9" spans="1:38" s="501" customFormat="1" ht="94.5" customHeight="1">
      <c r="A9" s="425" t="s">
        <v>502</v>
      </c>
      <c r="B9" s="93" t="s">
        <v>183</v>
      </c>
      <c r="C9" s="124" t="s">
        <v>1076</v>
      </c>
      <c r="D9" s="554" t="s">
        <v>1320</v>
      </c>
      <c r="E9" s="555" t="s">
        <v>1320</v>
      </c>
      <c r="F9" s="555" t="s">
        <v>1320</v>
      </c>
      <c r="G9" s="555" t="s">
        <v>1320</v>
      </c>
      <c r="H9" s="555" t="s">
        <v>1320</v>
      </c>
      <c r="I9" s="555" t="s">
        <v>1320</v>
      </c>
      <c r="J9" s="556" t="s">
        <v>1320</v>
      </c>
      <c r="K9" s="120">
        <v>42817</v>
      </c>
      <c r="L9" s="230" t="s">
        <v>164</v>
      </c>
      <c r="M9" s="323" t="s">
        <v>10</v>
      </c>
      <c r="N9" s="230" t="s">
        <v>3</v>
      </c>
      <c r="O9" s="230">
        <v>2030</v>
      </c>
      <c r="P9" s="230" t="s">
        <v>3</v>
      </c>
      <c r="Q9" s="503" t="s">
        <v>197</v>
      </c>
      <c r="R9" s="489">
        <v>44321</v>
      </c>
      <c r="S9" s="54" t="s">
        <v>873</v>
      </c>
      <c r="T9" s="474">
        <v>0.4</v>
      </c>
      <c r="U9" s="456">
        <v>1990</v>
      </c>
      <c r="V9" s="230">
        <v>2030</v>
      </c>
      <c r="W9" s="230" t="s">
        <v>3</v>
      </c>
      <c r="X9" s="504" t="s">
        <v>1395</v>
      </c>
      <c r="Y9" s="554" t="s">
        <v>1320</v>
      </c>
      <c r="Z9" s="555" t="s">
        <v>1320</v>
      </c>
      <c r="AA9" s="555" t="s">
        <v>1320</v>
      </c>
      <c r="AB9" s="555" t="s">
        <v>1320</v>
      </c>
      <c r="AC9" s="555" t="s">
        <v>1320</v>
      </c>
      <c r="AD9" s="555" t="s">
        <v>1320</v>
      </c>
      <c r="AE9" s="556" t="s">
        <v>1320</v>
      </c>
      <c r="AF9" s="554" t="s">
        <v>1320</v>
      </c>
      <c r="AG9" s="555" t="s">
        <v>1320</v>
      </c>
      <c r="AH9" s="555" t="s">
        <v>1320</v>
      </c>
      <c r="AI9" s="555" t="s">
        <v>1320</v>
      </c>
      <c r="AJ9" s="555" t="s">
        <v>1320</v>
      </c>
      <c r="AK9" s="555" t="s">
        <v>1320</v>
      </c>
      <c r="AL9" s="556" t="s">
        <v>1320</v>
      </c>
    </row>
    <row r="10" spans="1:38" s="464" customFormat="1" ht="58.95" customHeight="1">
      <c r="A10" s="32" t="s">
        <v>497</v>
      </c>
      <c r="B10" s="560" t="s">
        <v>25</v>
      </c>
      <c r="C10" s="124" t="s">
        <v>1076</v>
      </c>
      <c r="D10" s="554" t="s">
        <v>1320</v>
      </c>
      <c r="E10" s="555" t="s">
        <v>1320</v>
      </c>
      <c r="F10" s="555" t="s">
        <v>1320</v>
      </c>
      <c r="G10" s="555" t="s">
        <v>1320</v>
      </c>
      <c r="H10" s="555" t="s">
        <v>1320</v>
      </c>
      <c r="I10" s="555" t="s">
        <v>1320</v>
      </c>
      <c r="J10" s="556" t="s">
        <v>1320</v>
      </c>
      <c r="K10" s="479">
        <v>42683</v>
      </c>
      <c r="L10" s="293" t="s">
        <v>186</v>
      </c>
      <c r="M10" s="293" t="s">
        <v>1064</v>
      </c>
      <c r="N10" s="293">
        <v>2005</v>
      </c>
      <c r="O10" s="293">
        <v>2030</v>
      </c>
      <c r="P10" s="293" t="s">
        <v>131</v>
      </c>
      <c r="Q10" s="391" t="s">
        <v>225</v>
      </c>
      <c r="R10" s="551">
        <v>44729</v>
      </c>
      <c r="S10" s="293" t="s">
        <v>873</v>
      </c>
      <c r="T10" s="473" t="s">
        <v>1921</v>
      </c>
      <c r="U10" s="307">
        <v>2005</v>
      </c>
      <c r="V10" s="473" t="s">
        <v>1796</v>
      </c>
      <c r="W10" s="230" t="s">
        <v>131</v>
      </c>
      <c r="X10" s="473" t="s">
        <v>1922</v>
      </c>
      <c r="Y10" s="554" t="s">
        <v>1320</v>
      </c>
      <c r="Z10" s="555" t="s">
        <v>1320</v>
      </c>
      <c r="AA10" s="555" t="s">
        <v>1320</v>
      </c>
      <c r="AB10" s="555" t="s">
        <v>1320</v>
      </c>
      <c r="AC10" s="555" t="s">
        <v>1320</v>
      </c>
      <c r="AD10" s="555" t="s">
        <v>1320</v>
      </c>
      <c r="AE10" s="556" t="s">
        <v>1320</v>
      </c>
      <c r="AF10" s="554" t="s">
        <v>1320</v>
      </c>
      <c r="AG10" s="555" t="s">
        <v>1320</v>
      </c>
      <c r="AH10" s="555" t="s">
        <v>1320</v>
      </c>
      <c r="AI10" s="555" t="s">
        <v>1320</v>
      </c>
      <c r="AJ10" s="555" t="s">
        <v>1320</v>
      </c>
      <c r="AK10" s="555" t="s">
        <v>1320</v>
      </c>
      <c r="AL10" s="556" t="s">
        <v>1320</v>
      </c>
    </row>
    <row r="11" spans="1:38" s="532" customFormat="1" ht="58.95" customHeight="1">
      <c r="A11" s="31" t="s">
        <v>500</v>
      </c>
      <c r="B11" s="203" t="s">
        <v>182</v>
      </c>
      <c r="C11" s="124" t="s">
        <v>1076</v>
      </c>
      <c r="D11" s="554" t="s">
        <v>1320</v>
      </c>
      <c r="E11" s="555" t="s">
        <v>1320</v>
      </c>
      <c r="F11" s="555" t="s">
        <v>1320</v>
      </c>
      <c r="G11" s="555" t="s">
        <v>1320</v>
      </c>
      <c r="H11" s="555" t="s">
        <v>1320</v>
      </c>
      <c r="I11" s="555" t="s">
        <v>1320</v>
      </c>
      <c r="J11" s="556" t="s">
        <v>1320</v>
      </c>
      <c r="K11" s="328">
        <v>42734</v>
      </c>
      <c r="L11" s="230" t="s">
        <v>189</v>
      </c>
      <c r="M11" s="230" t="s">
        <v>3</v>
      </c>
      <c r="N11" s="230" t="s">
        <v>3</v>
      </c>
      <c r="O11" s="230">
        <v>2030</v>
      </c>
      <c r="P11" s="230" t="s">
        <v>3</v>
      </c>
      <c r="Q11" s="391" t="s">
        <v>970</v>
      </c>
      <c r="R11" s="489">
        <v>44483</v>
      </c>
      <c r="S11" s="230" t="s">
        <v>1728</v>
      </c>
      <c r="T11" s="230" t="s">
        <v>3</v>
      </c>
      <c r="U11" s="230" t="s">
        <v>3</v>
      </c>
      <c r="V11" s="230">
        <v>2030</v>
      </c>
      <c r="W11" s="230" t="s">
        <v>3</v>
      </c>
      <c r="X11" s="475" t="s">
        <v>1747</v>
      </c>
      <c r="Y11" s="554" t="s">
        <v>1320</v>
      </c>
      <c r="Z11" s="555" t="s">
        <v>1320</v>
      </c>
      <c r="AA11" s="555" t="s">
        <v>1320</v>
      </c>
      <c r="AB11" s="555" t="s">
        <v>1320</v>
      </c>
      <c r="AC11" s="555" t="s">
        <v>1320</v>
      </c>
      <c r="AD11" s="555" t="s">
        <v>1320</v>
      </c>
      <c r="AE11" s="556" t="s">
        <v>1320</v>
      </c>
      <c r="AF11" s="554" t="s">
        <v>1320</v>
      </c>
      <c r="AG11" s="555" t="s">
        <v>1320</v>
      </c>
      <c r="AH11" s="555" t="s">
        <v>1320</v>
      </c>
      <c r="AI11" s="555" t="s">
        <v>1320</v>
      </c>
      <c r="AJ11" s="555" t="s">
        <v>1320</v>
      </c>
      <c r="AK11" s="555" t="s">
        <v>1320</v>
      </c>
      <c r="AL11" s="556" t="s">
        <v>1320</v>
      </c>
    </row>
    <row r="12" spans="1:38" s="478" customFormat="1" ht="105" customHeight="1">
      <c r="A12" s="31" t="s">
        <v>501</v>
      </c>
      <c r="B12" s="561" t="s">
        <v>23</v>
      </c>
      <c r="C12" s="124" t="s">
        <v>1076</v>
      </c>
      <c r="D12" s="554" t="s">
        <v>1320</v>
      </c>
      <c r="E12" s="555" t="s">
        <v>1320</v>
      </c>
      <c r="F12" s="555" t="s">
        <v>1320</v>
      </c>
      <c r="G12" s="555" t="s">
        <v>1320</v>
      </c>
      <c r="H12" s="555" t="s">
        <v>1320</v>
      </c>
      <c r="I12" s="555" t="s">
        <v>1320</v>
      </c>
      <c r="J12" s="556" t="s">
        <v>1320</v>
      </c>
      <c r="K12" s="562">
        <v>42634</v>
      </c>
      <c r="L12" s="293" t="s">
        <v>185</v>
      </c>
      <c r="M12" s="293" t="s">
        <v>1006</v>
      </c>
      <c r="N12" s="293" t="s">
        <v>1</v>
      </c>
      <c r="O12" s="293">
        <v>2030</v>
      </c>
      <c r="P12" s="293" t="s">
        <v>3</v>
      </c>
      <c r="Q12" s="460" t="s">
        <v>347</v>
      </c>
      <c r="R12" s="489">
        <v>44434</v>
      </c>
      <c r="S12" s="230" t="s">
        <v>717</v>
      </c>
      <c r="T12" s="456" t="s">
        <v>1587</v>
      </c>
      <c r="U12" s="230" t="s">
        <v>1</v>
      </c>
      <c r="V12" s="230">
        <v>2030</v>
      </c>
      <c r="W12" s="230" t="s">
        <v>3</v>
      </c>
      <c r="X12" s="495" t="s">
        <v>1588</v>
      </c>
      <c r="Y12" s="554" t="s">
        <v>1320</v>
      </c>
      <c r="Z12" s="555" t="s">
        <v>1320</v>
      </c>
      <c r="AA12" s="555" t="s">
        <v>1320</v>
      </c>
      <c r="AB12" s="555" t="s">
        <v>1320</v>
      </c>
      <c r="AC12" s="555" t="s">
        <v>1320</v>
      </c>
      <c r="AD12" s="555" t="s">
        <v>1320</v>
      </c>
      <c r="AE12" s="556" t="s">
        <v>1320</v>
      </c>
      <c r="AF12" s="554" t="s">
        <v>1320</v>
      </c>
      <c r="AG12" s="555" t="s">
        <v>1320</v>
      </c>
      <c r="AH12" s="555" t="s">
        <v>1320</v>
      </c>
      <c r="AI12" s="555" t="s">
        <v>1320</v>
      </c>
      <c r="AJ12" s="555" t="s">
        <v>1320</v>
      </c>
      <c r="AK12" s="555" t="s">
        <v>1320</v>
      </c>
      <c r="AL12" s="556" t="s">
        <v>1320</v>
      </c>
    </row>
    <row r="13" spans="1:38" s="516" customFormat="1" ht="84" customHeight="1">
      <c r="A13" s="32" t="s">
        <v>503</v>
      </c>
      <c r="B13" s="95" t="s">
        <v>181</v>
      </c>
      <c r="C13" s="124" t="s">
        <v>1076</v>
      </c>
      <c r="D13" s="554" t="s">
        <v>1320</v>
      </c>
      <c r="E13" s="555" t="s">
        <v>1320</v>
      </c>
      <c r="F13" s="555" t="s">
        <v>1320</v>
      </c>
      <c r="G13" s="555" t="s">
        <v>1320</v>
      </c>
      <c r="H13" s="555" t="s">
        <v>1320</v>
      </c>
      <c r="I13" s="555" t="s">
        <v>1320</v>
      </c>
      <c r="J13" s="556" t="s">
        <v>1320</v>
      </c>
      <c r="K13" s="303">
        <v>42482</v>
      </c>
      <c r="L13" s="293" t="s">
        <v>185</v>
      </c>
      <c r="M13" s="293" t="s">
        <v>1065</v>
      </c>
      <c r="N13" s="293">
        <v>2008</v>
      </c>
      <c r="O13" s="293" t="s">
        <v>6</v>
      </c>
      <c r="P13" s="230" t="s">
        <v>3</v>
      </c>
      <c r="Q13" s="391" t="s">
        <v>39</v>
      </c>
      <c r="R13" s="489">
        <v>44407</v>
      </c>
      <c r="S13" s="54" t="s">
        <v>873</v>
      </c>
      <c r="T13" s="54" t="s">
        <v>1528</v>
      </c>
      <c r="U13" s="293">
        <v>2008</v>
      </c>
      <c r="V13" s="293" t="s">
        <v>6</v>
      </c>
      <c r="W13" s="230" t="s">
        <v>3</v>
      </c>
      <c r="X13" s="473" t="s">
        <v>1529</v>
      </c>
      <c r="Y13" s="554" t="s">
        <v>1320</v>
      </c>
      <c r="Z13" s="555" t="s">
        <v>1320</v>
      </c>
      <c r="AA13" s="555" t="s">
        <v>1320</v>
      </c>
      <c r="AB13" s="555" t="s">
        <v>1320</v>
      </c>
      <c r="AC13" s="555" t="s">
        <v>1320</v>
      </c>
      <c r="AD13" s="555" t="s">
        <v>1320</v>
      </c>
      <c r="AE13" s="556" t="s">
        <v>1320</v>
      </c>
      <c r="AF13" s="554" t="s">
        <v>1320</v>
      </c>
      <c r="AG13" s="555" t="s">
        <v>1320</v>
      </c>
      <c r="AH13" s="555" t="s">
        <v>1320</v>
      </c>
      <c r="AI13" s="555" t="s">
        <v>1320</v>
      </c>
      <c r="AJ13" s="555" t="s">
        <v>1320</v>
      </c>
      <c r="AK13" s="555" t="s">
        <v>1320</v>
      </c>
      <c r="AL13" s="556" t="s">
        <v>1320</v>
      </c>
    </row>
    <row r="14" spans="1:38" s="526" customFormat="1" ht="84" customHeight="1">
      <c r="A14" s="32" t="s">
        <v>504</v>
      </c>
      <c r="B14" s="93" t="s">
        <v>183</v>
      </c>
      <c r="C14" s="124" t="s">
        <v>1076</v>
      </c>
      <c r="D14" s="554" t="s">
        <v>1320</v>
      </c>
      <c r="E14" s="555" t="s">
        <v>1320</v>
      </c>
      <c r="F14" s="555" t="s">
        <v>1320</v>
      </c>
      <c r="G14" s="555" t="s">
        <v>1320</v>
      </c>
      <c r="H14" s="555" t="s">
        <v>1320</v>
      </c>
      <c r="I14" s="555" t="s">
        <v>1320</v>
      </c>
      <c r="J14" s="556" t="s">
        <v>1320</v>
      </c>
      <c r="K14" s="303">
        <v>42634</v>
      </c>
      <c r="L14" s="293" t="s">
        <v>186</v>
      </c>
      <c r="M14" s="318">
        <v>0.28000000000000003</v>
      </c>
      <c r="N14" s="293">
        <v>1990</v>
      </c>
      <c r="O14" s="293">
        <v>2030</v>
      </c>
      <c r="P14" s="230" t="s">
        <v>3</v>
      </c>
      <c r="Q14" s="391" t="s">
        <v>184</v>
      </c>
      <c r="R14" s="489">
        <v>44480</v>
      </c>
      <c r="S14" s="293" t="s">
        <v>186</v>
      </c>
      <c r="T14" s="55" t="s">
        <v>1688</v>
      </c>
      <c r="U14" s="293">
        <v>1990</v>
      </c>
      <c r="V14" s="293">
        <v>2030</v>
      </c>
      <c r="W14" s="230" t="s">
        <v>3</v>
      </c>
      <c r="X14" s="473" t="s">
        <v>1687</v>
      </c>
      <c r="Y14" s="554" t="s">
        <v>1320</v>
      </c>
      <c r="Z14" s="555" t="s">
        <v>1320</v>
      </c>
      <c r="AA14" s="555" t="s">
        <v>1320</v>
      </c>
      <c r="AB14" s="555" t="s">
        <v>1320</v>
      </c>
      <c r="AC14" s="555" t="s">
        <v>1320</v>
      </c>
      <c r="AD14" s="555" t="s">
        <v>1320</v>
      </c>
      <c r="AE14" s="556" t="s">
        <v>1320</v>
      </c>
      <c r="AF14" s="554" t="s">
        <v>1320</v>
      </c>
      <c r="AG14" s="555" t="s">
        <v>1320</v>
      </c>
      <c r="AH14" s="555" t="s">
        <v>1320</v>
      </c>
      <c r="AI14" s="555" t="s">
        <v>1320</v>
      </c>
      <c r="AJ14" s="555" t="s">
        <v>1320</v>
      </c>
      <c r="AK14" s="555" t="s">
        <v>1320</v>
      </c>
      <c r="AL14" s="556" t="s">
        <v>1320</v>
      </c>
    </row>
    <row r="15" spans="1:38" ht="120">
      <c r="A15" s="32" t="s">
        <v>664</v>
      </c>
      <c r="B15" s="95" t="s">
        <v>181</v>
      </c>
      <c r="C15" s="124" t="s">
        <v>1602</v>
      </c>
      <c r="D15" s="558">
        <v>42278</v>
      </c>
      <c r="E15" s="23" t="s">
        <v>185</v>
      </c>
      <c r="F15" s="25">
        <v>0.62</v>
      </c>
      <c r="G15" s="23" t="s">
        <v>1</v>
      </c>
      <c r="H15" s="23">
        <v>2030</v>
      </c>
      <c r="I15" s="20" t="s">
        <v>3</v>
      </c>
      <c r="J15" s="48" t="s">
        <v>80</v>
      </c>
      <c r="K15" s="303">
        <v>42480</v>
      </c>
      <c r="L15" s="54" t="s">
        <v>189</v>
      </c>
      <c r="M15" s="55" t="s">
        <v>292</v>
      </c>
      <c r="N15" s="23" t="s">
        <v>1</v>
      </c>
      <c r="O15" s="23">
        <v>2030</v>
      </c>
      <c r="P15" s="23" t="s">
        <v>3</v>
      </c>
      <c r="Q15" s="56" t="s">
        <v>291</v>
      </c>
      <c r="R15" s="489">
        <v>44440</v>
      </c>
      <c r="S15" s="54" t="s">
        <v>1595</v>
      </c>
      <c r="T15" s="55" t="s">
        <v>1596</v>
      </c>
      <c r="U15" s="293" t="s">
        <v>424</v>
      </c>
      <c r="V15" s="293">
        <v>2030</v>
      </c>
      <c r="W15" s="230" t="s">
        <v>3</v>
      </c>
      <c r="X15" s="473" t="s">
        <v>1597</v>
      </c>
      <c r="Y15" s="554" t="s">
        <v>1320</v>
      </c>
      <c r="Z15" s="555" t="s">
        <v>1320</v>
      </c>
      <c r="AA15" s="555" t="s">
        <v>1320</v>
      </c>
      <c r="AB15" s="555" t="s">
        <v>1320</v>
      </c>
      <c r="AC15" s="555" t="s">
        <v>1320</v>
      </c>
      <c r="AD15" s="555" t="s">
        <v>1320</v>
      </c>
      <c r="AE15" s="556" t="s">
        <v>1320</v>
      </c>
      <c r="AF15" s="554" t="s">
        <v>1320</v>
      </c>
      <c r="AG15" s="555" t="s">
        <v>1320</v>
      </c>
      <c r="AH15" s="555" t="s">
        <v>1320</v>
      </c>
      <c r="AI15" s="555" t="s">
        <v>1320</v>
      </c>
      <c r="AJ15" s="555" t="s">
        <v>1320</v>
      </c>
      <c r="AK15" s="555" t="s">
        <v>1320</v>
      </c>
      <c r="AL15" s="556" t="s">
        <v>1320</v>
      </c>
    </row>
    <row r="16" spans="1:38" ht="72">
      <c r="A16" s="31" t="s">
        <v>663</v>
      </c>
      <c r="B16" s="92" t="s">
        <v>180</v>
      </c>
      <c r="C16" s="124" t="s">
        <v>1602</v>
      </c>
      <c r="D16" s="121">
        <v>42277</v>
      </c>
      <c r="E16" s="20" t="s">
        <v>186</v>
      </c>
      <c r="F16" s="20" t="s">
        <v>1113</v>
      </c>
      <c r="G16" s="20">
        <v>2000</v>
      </c>
      <c r="H16" s="20">
        <v>2030</v>
      </c>
      <c r="I16" s="20" t="s">
        <v>3</v>
      </c>
      <c r="J16" s="47" t="s">
        <v>223</v>
      </c>
      <c r="K16" s="303">
        <v>43019</v>
      </c>
      <c r="L16" s="23" t="s">
        <v>186</v>
      </c>
      <c r="M16" s="52" t="s">
        <v>1119</v>
      </c>
      <c r="N16" s="54">
        <v>2012</v>
      </c>
      <c r="O16" s="23">
        <v>2030</v>
      </c>
      <c r="P16" s="23" t="s">
        <v>3</v>
      </c>
      <c r="Q16" s="53" t="s">
        <v>316</v>
      </c>
      <c r="R16" s="563">
        <v>44481</v>
      </c>
      <c r="S16" s="456" t="s">
        <v>1691</v>
      </c>
      <c r="T16" s="515">
        <v>0.20150000000000001</v>
      </c>
      <c r="U16" s="456" t="s">
        <v>1692</v>
      </c>
      <c r="V16" s="230">
        <v>2030</v>
      </c>
      <c r="W16" s="230" t="s">
        <v>3</v>
      </c>
      <c r="X16" s="495" t="s">
        <v>1690</v>
      </c>
      <c r="Y16" s="554" t="s">
        <v>1320</v>
      </c>
      <c r="Z16" s="555" t="s">
        <v>1320</v>
      </c>
      <c r="AA16" s="555" t="s">
        <v>1320</v>
      </c>
      <c r="AB16" s="555" t="s">
        <v>1320</v>
      </c>
      <c r="AC16" s="555" t="s">
        <v>1320</v>
      </c>
      <c r="AD16" s="555" t="s">
        <v>1320</v>
      </c>
      <c r="AE16" s="556" t="s">
        <v>1320</v>
      </c>
      <c r="AF16" s="554" t="s">
        <v>1320</v>
      </c>
      <c r="AG16" s="555" t="s">
        <v>1320</v>
      </c>
      <c r="AH16" s="555" t="s">
        <v>1320</v>
      </c>
      <c r="AI16" s="555" t="s">
        <v>1320</v>
      </c>
      <c r="AJ16" s="555" t="s">
        <v>1320</v>
      </c>
      <c r="AK16" s="555" t="s">
        <v>1320</v>
      </c>
      <c r="AL16" s="556" t="s">
        <v>1320</v>
      </c>
    </row>
    <row r="17" spans="1:38" s="506" customFormat="1" ht="103.95" customHeight="1">
      <c r="A17" s="425" t="s">
        <v>507</v>
      </c>
      <c r="B17" s="561" t="s">
        <v>23</v>
      </c>
      <c r="C17" s="124" t="s">
        <v>860</v>
      </c>
      <c r="D17" s="554" t="s">
        <v>1320</v>
      </c>
      <c r="E17" s="555" t="s">
        <v>1320</v>
      </c>
      <c r="F17" s="555" t="s">
        <v>1320</v>
      </c>
      <c r="G17" s="555" t="s">
        <v>1320</v>
      </c>
      <c r="H17" s="555" t="s">
        <v>1320</v>
      </c>
      <c r="I17" s="555" t="s">
        <v>1320</v>
      </c>
      <c r="J17" s="556" t="s">
        <v>1320</v>
      </c>
      <c r="K17" s="120">
        <v>42997</v>
      </c>
      <c r="L17" s="230" t="s">
        <v>460</v>
      </c>
      <c r="M17" s="230" t="s">
        <v>2</v>
      </c>
      <c r="N17" s="230" t="s">
        <v>3</v>
      </c>
      <c r="O17" s="230" t="s">
        <v>3</v>
      </c>
      <c r="P17" s="230" t="s">
        <v>3</v>
      </c>
      <c r="Q17" s="329" t="s">
        <v>59</v>
      </c>
      <c r="R17" s="563">
        <v>44371</v>
      </c>
      <c r="S17" s="230" t="s">
        <v>460</v>
      </c>
      <c r="T17" s="230" t="s">
        <v>2</v>
      </c>
      <c r="U17" s="230" t="s">
        <v>3</v>
      </c>
      <c r="V17" s="230" t="s">
        <v>3</v>
      </c>
      <c r="W17" s="230" t="s">
        <v>3</v>
      </c>
      <c r="X17" s="507" t="s">
        <v>1428</v>
      </c>
      <c r="Y17" s="554" t="s">
        <v>1320</v>
      </c>
      <c r="Z17" s="555" t="s">
        <v>1320</v>
      </c>
      <c r="AA17" s="555" t="s">
        <v>1320</v>
      </c>
      <c r="AB17" s="555" t="s">
        <v>1320</v>
      </c>
      <c r="AC17" s="555" t="s">
        <v>1320</v>
      </c>
      <c r="AD17" s="555" t="s">
        <v>1320</v>
      </c>
      <c r="AE17" s="556" t="s">
        <v>1320</v>
      </c>
      <c r="AF17" s="554" t="s">
        <v>1320</v>
      </c>
      <c r="AG17" s="555" t="s">
        <v>1320</v>
      </c>
      <c r="AH17" s="555" t="s">
        <v>1320</v>
      </c>
      <c r="AI17" s="555" t="s">
        <v>1320</v>
      </c>
      <c r="AJ17" s="555" t="s">
        <v>1320</v>
      </c>
      <c r="AK17" s="555" t="s">
        <v>1320</v>
      </c>
      <c r="AL17" s="556" t="s">
        <v>1320</v>
      </c>
    </row>
    <row r="18" spans="1:38" s="580" customFormat="1" ht="103.95" customHeight="1">
      <c r="A18" s="32" t="s">
        <v>508</v>
      </c>
      <c r="B18" s="204" t="s">
        <v>181</v>
      </c>
      <c r="C18" s="124" t="s">
        <v>1892</v>
      </c>
      <c r="D18" s="554" t="s">
        <v>1320</v>
      </c>
      <c r="E18" s="555" t="s">
        <v>1320</v>
      </c>
      <c r="F18" s="555" t="s">
        <v>1320</v>
      </c>
      <c r="G18" s="555" t="s">
        <v>1320</v>
      </c>
      <c r="H18" s="555" t="s">
        <v>1320</v>
      </c>
      <c r="I18" s="555" t="s">
        <v>1320</v>
      </c>
      <c r="J18" s="556" t="s">
        <v>1320</v>
      </c>
      <c r="K18" s="302">
        <v>42648</v>
      </c>
      <c r="L18" s="293" t="s">
        <v>189</v>
      </c>
      <c r="M18" s="293" t="s">
        <v>3</v>
      </c>
      <c r="N18" s="307" t="s">
        <v>3</v>
      </c>
      <c r="O18" s="307">
        <v>2030</v>
      </c>
      <c r="P18" s="230" t="s">
        <v>3</v>
      </c>
      <c r="Q18" s="24" t="s">
        <v>290</v>
      </c>
      <c r="R18" s="563">
        <v>44666</v>
      </c>
      <c r="S18" s="293" t="s">
        <v>189</v>
      </c>
      <c r="T18" s="293" t="s">
        <v>3</v>
      </c>
      <c r="U18" s="307" t="s">
        <v>3</v>
      </c>
      <c r="V18" s="307">
        <v>2030</v>
      </c>
      <c r="W18" s="230" t="s">
        <v>3</v>
      </c>
      <c r="X18" s="24" t="s">
        <v>1888</v>
      </c>
      <c r="Y18" s="554" t="s">
        <v>1320</v>
      </c>
      <c r="Z18" s="555" t="s">
        <v>1320</v>
      </c>
      <c r="AA18" s="555" t="s">
        <v>1320</v>
      </c>
      <c r="AB18" s="555" t="s">
        <v>1320</v>
      </c>
      <c r="AC18" s="555" t="s">
        <v>1320</v>
      </c>
      <c r="AD18" s="555" t="s">
        <v>1320</v>
      </c>
      <c r="AE18" s="556" t="s">
        <v>1320</v>
      </c>
      <c r="AF18" s="554" t="s">
        <v>1320</v>
      </c>
      <c r="AG18" s="555" t="s">
        <v>1320</v>
      </c>
      <c r="AH18" s="555" t="s">
        <v>1320</v>
      </c>
      <c r="AI18" s="555" t="s">
        <v>1320</v>
      </c>
      <c r="AJ18" s="555" t="s">
        <v>1320</v>
      </c>
      <c r="AK18" s="555" t="s">
        <v>1320</v>
      </c>
      <c r="AL18" s="556" t="s">
        <v>1320</v>
      </c>
    </row>
    <row r="19" spans="1:38" s="217" customFormat="1" ht="142.94999999999999" customHeight="1">
      <c r="A19" s="32" t="s">
        <v>509</v>
      </c>
      <c r="B19" s="381" t="s">
        <v>183</v>
      </c>
      <c r="C19" s="124" t="s">
        <v>1076</v>
      </c>
      <c r="D19" s="554" t="s">
        <v>1320</v>
      </c>
      <c r="E19" s="555" t="s">
        <v>1320</v>
      </c>
      <c r="F19" s="555" t="s">
        <v>1320</v>
      </c>
      <c r="G19" s="555" t="s">
        <v>1320</v>
      </c>
      <c r="H19" s="555" t="s">
        <v>1320</v>
      </c>
      <c r="I19" s="555" t="s">
        <v>1320</v>
      </c>
      <c r="J19" s="556" t="s">
        <v>1320</v>
      </c>
      <c r="K19" s="120">
        <v>42810</v>
      </c>
      <c r="L19" s="293" t="s">
        <v>873</v>
      </c>
      <c r="M19" s="293" t="s">
        <v>1010</v>
      </c>
      <c r="N19" s="293">
        <v>1990</v>
      </c>
      <c r="O19" s="293">
        <v>2030</v>
      </c>
      <c r="P19" s="230" t="s">
        <v>3</v>
      </c>
      <c r="Q19" s="24" t="s">
        <v>1085</v>
      </c>
      <c r="R19" s="551">
        <v>44306</v>
      </c>
      <c r="S19" s="293" t="s">
        <v>873</v>
      </c>
      <c r="T19" s="54" t="s">
        <v>1378</v>
      </c>
      <c r="U19" s="54">
        <v>2014</v>
      </c>
      <c r="V19" s="54" t="s">
        <v>1377</v>
      </c>
      <c r="W19" s="230" t="s">
        <v>3</v>
      </c>
      <c r="X19" s="473" t="s">
        <v>1379</v>
      </c>
      <c r="Y19" s="554" t="s">
        <v>1320</v>
      </c>
      <c r="Z19" s="555" t="s">
        <v>1320</v>
      </c>
      <c r="AA19" s="555" t="s">
        <v>1320</v>
      </c>
      <c r="AB19" s="555" t="s">
        <v>1320</v>
      </c>
      <c r="AC19" s="555" t="s">
        <v>1320</v>
      </c>
      <c r="AD19" s="555" t="s">
        <v>1320</v>
      </c>
      <c r="AE19" s="556" t="s">
        <v>1320</v>
      </c>
      <c r="AF19" s="554" t="s">
        <v>1320</v>
      </c>
      <c r="AG19" s="555" t="s">
        <v>1320</v>
      </c>
      <c r="AH19" s="555" t="s">
        <v>1320</v>
      </c>
      <c r="AI19" s="555" t="s">
        <v>1320</v>
      </c>
      <c r="AJ19" s="555" t="s">
        <v>1320</v>
      </c>
      <c r="AK19" s="555" t="s">
        <v>1320</v>
      </c>
      <c r="AL19" s="556" t="s">
        <v>1320</v>
      </c>
    </row>
    <row r="20" spans="1:38" s="455" customFormat="1" ht="55.95" customHeight="1">
      <c r="A20" s="32" t="s">
        <v>511</v>
      </c>
      <c r="B20" s="204" t="s">
        <v>181</v>
      </c>
      <c r="C20" s="124" t="s">
        <v>1076</v>
      </c>
      <c r="D20" s="554" t="s">
        <v>1320</v>
      </c>
      <c r="E20" s="555" t="s">
        <v>1320</v>
      </c>
      <c r="F20" s="555" t="s">
        <v>1320</v>
      </c>
      <c r="G20" s="555" t="s">
        <v>1320</v>
      </c>
      <c r="H20" s="555" t="s">
        <v>1320</v>
      </c>
      <c r="I20" s="555" t="s">
        <v>1320</v>
      </c>
      <c r="J20" s="556" t="s">
        <v>1320</v>
      </c>
      <c r="K20" s="303">
        <v>42634</v>
      </c>
      <c r="L20" s="293" t="s">
        <v>186</v>
      </c>
      <c r="M20" s="293" t="s">
        <v>13</v>
      </c>
      <c r="N20" s="293">
        <v>2005</v>
      </c>
      <c r="O20" s="293">
        <v>2025</v>
      </c>
      <c r="P20" s="230" t="s">
        <v>3</v>
      </c>
      <c r="Q20" s="391" t="s">
        <v>1086</v>
      </c>
      <c r="R20" s="578">
        <v>44174</v>
      </c>
      <c r="S20" s="128" t="s">
        <v>873</v>
      </c>
      <c r="T20" s="54" t="s">
        <v>1876</v>
      </c>
      <c r="U20" s="9">
        <v>2005</v>
      </c>
      <c r="V20" s="549" t="s">
        <v>1877</v>
      </c>
      <c r="W20" s="230" t="s">
        <v>3</v>
      </c>
      <c r="X20" s="14" t="s">
        <v>1875</v>
      </c>
      <c r="Y20" s="564">
        <v>44500</v>
      </c>
      <c r="Z20" s="293" t="s">
        <v>186</v>
      </c>
      <c r="AA20" s="293" t="s">
        <v>1191</v>
      </c>
      <c r="AB20" s="293">
        <v>2005</v>
      </c>
      <c r="AC20" s="293" t="s">
        <v>1192</v>
      </c>
      <c r="AD20" s="230" t="s">
        <v>3</v>
      </c>
      <c r="AE20" s="391" t="s">
        <v>1190</v>
      </c>
      <c r="AF20" s="564">
        <v>44658</v>
      </c>
      <c r="AG20" s="293" t="s">
        <v>186</v>
      </c>
      <c r="AH20" s="54" t="s">
        <v>1893</v>
      </c>
      <c r="AI20" s="307">
        <v>2005</v>
      </c>
      <c r="AJ20" s="307" t="s">
        <v>449</v>
      </c>
      <c r="AK20" s="230" t="s">
        <v>3</v>
      </c>
      <c r="AL20" s="391" t="s">
        <v>1894</v>
      </c>
    </row>
    <row r="21" spans="1:38" s="478" customFormat="1" ht="129" customHeight="1">
      <c r="A21" s="31" t="s">
        <v>512</v>
      </c>
      <c r="B21" s="565" t="s">
        <v>23</v>
      </c>
      <c r="C21" s="124" t="s">
        <v>1359</v>
      </c>
      <c r="D21" s="303">
        <v>42339</v>
      </c>
      <c r="E21" s="230" t="s">
        <v>189</v>
      </c>
      <c r="F21" s="230" t="s">
        <v>74</v>
      </c>
      <c r="G21" s="230" t="s">
        <v>1</v>
      </c>
      <c r="H21" s="230">
        <v>2035</v>
      </c>
      <c r="I21" s="230" t="s">
        <v>3</v>
      </c>
      <c r="J21" s="320" t="s">
        <v>1087</v>
      </c>
      <c r="K21" s="479">
        <v>44196</v>
      </c>
      <c r="L21" s="54" t="s">
        <v>1294</v>
      </c>
      <c r="M21" s="55">
        <v>0.2</v>
      </c>
      <c r="N21" s="54" t="s">
        <v>1</v>
      </c>
      <c r="O21" s="54">
        <v>2030</v>
      </c>
      <c r="P21" s="293" t="s">
        <v>3</v>
      </c>
      <c r="Q21" s="430" t="s">
        <v>1302</v>
      </c>
      <c r="R21" s="566" t="s">
        <v>1320</v>
      </c>
      <c r="S21" s="555" t="s">
        <v>1320</v>
      </c>
      <c r="T21" s="555" t="s">
        <v>1320</v>
      </c>
      <c r="U21" s="555" t="s">
        <v>1320</v>
      </c>
      <c r="V21" s="555" t="s">
        <v>1320</v>
      </c>
      <c r="W21" s="555" t="s">
        <v>1320</v>
      </c>
      <c r="X21" s="556" t="s">
        <v>1320</v>
      </c>
      <c r="Y21" s="554" t="s">
        <v>1320</v>
      </c>
      <c r="Z21" s="555" t="s">
        <v>1320</v>
      </c>
      <c r="AA21" s="555" t="s">
        <v>1320</v>
      </c>
      <c r="AB21" s="555" t="s">
        <v>1320</v>
      </c>
      <c r="AC21" s="555" t="s">
        <v>1320</v>
      </c>
      <c r="AD21" s="555" t="s">
        <v>1320</v>
      </c>
      <c r="AE21" s="556" t="s">
        <v>1320</v>
      </c>
      <c r="AF21" s="554" t="s">
        <v>1320</v>
      </c>
      <c r="AG21" s="555" t="s">
        <v>1320</v>
      </c>
      <c r="AH21" s="555" t="s">
        <v>1320</v>
      </c>
      <c r="AI21" s="555" t="s">
        <v>1320</v>
      </c>
      <c r="AJ21" s="555" t="s">
        <v>1320</v>
      </c>
      <c r="AK21" s="555" t="s">
        <v>1320</v>
      </c>
      <c r="AL21" s="556" t="s">
        <v>1320</v>
      </c>
    </row>
    <row r="22" spans="1:38" s="525" customFormat="1" ht="129" customHeight="1">
      <c r="A22" s="425" t="s">
        <v>513</v>
      </c>
      <c r="B22" s="205" t="s">
        <v>180</v>
      </c>
      <c r="C22" s="124" t="s">
        <v>1076</v>
      </c>
      <c r="D22" s="554" t="s">
        <v>1320</v>
      </c>
      <c r="E22" s="555" t="s">
        <v>1320</v>
      </c>
      <c r="F22" s="555" t="s">
        <v>1320</v>
      </c>
      <c r="G22" s="555" t="s">
        <v>1320</v>
      </c>
      <c r="H22" s="555" t="s">
        <v>1320</v>
      </c>
      <c r="I22" s="555" t="s">
        <v>1320</v>
      </c>
      <c r="J22" s="556" t="s">
        <v>1320</v>
      </c>
      <c r="K22" s="303">
        <v>42685</v>
      </c>
      <c r="L22" s="230" t="s">
        <v>186</v>
      </c>
      <c r="M22" s="230" t="s">
        <v>1011</v>
      </c>
      <c r="N22" s="230">
        <v>2007</v>
      </c>
      <c r="O22" s="230">
        <v>2030</v>
      </c>
      <c r="P22" s="230" t="s">
        <v>3</v>
      </c>
      <c r="Q22" s="531" t="s">
        <v>1088</v>
      </c>
      <c r="R22" s="489">
        <v>44478</v>
      </c>
      <c r="S22" s="456" t="s">
        <v>717</v>
      </c>
      <c r="T22" s="456" t="s">
        <v>1658</v>
      </c>
      <c r="U22" s="456" t="s">
        <v>727</v>
      </c>
      <c r="V22" s="230">
        <v>2030</v>
      </c>
      <c r="W22" s="230" t="s">
        <v>3</v>
      </c>
      <c r="X22" s="507" t="s">
        <v>1659</v>
      </c>
      <c r="Y22" s="554" t="s">
        <v>1320</v>
      </c>
      <c r="Z22" s="555" t="s">
        <v>1320</v>
      </c>
      <c r="AA22" s="555" t="s">
        <v>1320</v>
      </c>
      <c r="AB22" s="555" t="s">
        <v>1320</v>
      </c>
      <c r="AC22" s="555" t="s">
        <v>1320</v>
      </c>
      <c r="AD22" s="555" t="s">
        <v>1320</v>
      </c>
      <c r="AE22" s="556" t="s">
        <v>1320</v>
      </c>
      <c r="AF22" s="554" t="s">
        <v>1320</v>
      </c>
      <c r="AG22" s="555" t="s">
        <v>1320</v>
      </c>
      <c r="AH22" s="555" t="s">
        <v>1320</v>
      </c>
      <c r="AI22" s="555" t="s">
        <v>1320</v>
      </c>
      <c r="AJ22" s="555" t="s">
        <v>1320</v>
      </c>
      <c r="AK22" s="555" t="s">
        <v>1320</v>
      </c>
      <c r="AL22" s="556" t="s">
        <v>1320</v>
      </c>
    </row>
    <row r="23" spans="1:38" s="525" customFormat="1" ht="129" customHeight="1">
      <c r="A23" s="31" t="s">
        <v>514</v>
      </c>
      <c r="B23" s="205" t="s">
        <v>180</v>
      </c>
      <c r="C23" s="124" t="s">
        <v>1076</v>
      </c>
      <c r="D23" s="554" t="s">
        <v>1320</v>
      </c>
      <c r="E23" s="555" t="s">
        <v>1320</v>
      </c>
      <c r="F23" s="555" t="s">
        <v>1320</v>
      </c>
      <c r="G23" s="555" t="s">
        <v>1320</v>
      </c>
      <c r="H23" s="555" t="s">
        <v>1320</v>
      </c>
      <c r="I23" s="555" t="s">
        <v>1320</v>
      </c>
      <c r="J23" s="556" t="s">
        <v>1320</v>
      </c>
      <c r="K23" s="303">
        <v>43117</v>
      </c>
      <c r="L23" s="230" t="s">
        <v>717</v>
      </c>
      <c r="M23" s="230" t="s">
        <v>1013</v>
      </c>
      <c r="N23" s="230" t="s">
        <v>727</v>
      </c>
      <c r="O23" s="230">
        <v>2030</v>
      </c>
      <c r="P23" s="230" t="s">
        <v>3</v>
      </c>
      <c r="Q23" s="460" t="s">
        <v>1643</v>
      </c>
      <c r="R23" s="489">
        <v>44474</v>
      </c>
      <c r="S23" s="230" t="s">
        <v>717</v>
      </c>
      <c r="T23" s="456" t="s">
        <v>1645</v>
      </c>
      <c r="U23" s="230" t="s">
        <v>727</v>
      </c>
      <c r="V23" s="456" t="s">
        <v>1644</v>
      </c>
      <c r="W23" s="230" t="s">
        <v>3</v>
      </c>
      <c r="X23" s="495" t="s">
        <v>1647</v>
      </c>
      <c r="Y23" s="554" t="s">
        <v>1320</v>
      </c>
      <c r="Z23" s="555" t="s">
        <v>1320</v>
      </c>
      <c r="AA23" s="555" t="s">
        <v>1320</v>
      </c>
      <c r="AB23" s="555" t="s">
        <v>1320</v>
      </c>
      <c r="AC23" s="555" t="s">
        <v>1320</v>
      </c>
      <c r="AD23" s="555" t="s">
        <v>1320</v>
      </c>
      <c r="AE23" s="556" t="s">
        <v>1320</v>
      </c>
      <c r="AF23" s="554" t="s">
        <v>1320</v>
      </c>
      <c r="AG23" s="555" t="s">
        <v>1320</v>
      </c>
      <c r="AH23" s="555" t="s">
        <v>1320</v>
      </c>
      <c r="AI23" s="555" t="s">
        <v>1320</v>
      </c>
      <c r="AJ23" s="555" t="s">
        <v>1320</v>
      </c>
      <c r="AK23" s="555" t="s">
        <v>1320</v>
      </c>
      <c r="AL23" s="556" t="s">
        <v>1320</v>
      </c>
    </row>
    <row r="24" spans="1:38" s="494" customFormat="1" ht="129" customHeight="1">
      <c r="A24" s="425" t="s">
        <v>1015</v>
      </c>
      <c r="B24" s="205" t="s">
        <v>180</v>
      </c>
      <c r="C24" s="124" t="s">
        <v>1076</v>
      </c>
      <c r="D24" s="554" t="s">
        <v>1320</v>
      </c>
      <c r="E24" s="555" t="s">
        <v>1320</v>
      </c>
      <c r="F24" s="555" t="s">
        <v>1320</v>
      </c>
      <c r="G24" s="555" t="s">
        <v>1320</v>
      </c>
      <c r="H24" s="555" t="s">
        <v>1320</v>
      </c>
      <c r="I24" s="555" t="s">
        <v>1320</v>
      </c>
      <c r="J24" s="556" t="s">
        <v>1320</v>
      </c>
      <c r="K24" s="479">
        <v>42999</v>
      </c>
      <c r="L24" s="230" t="s">
        <v>189</v>
      </c>
      <c r="M24" s="230" t="s">
        <v>1061</v>
      </c>
      <c r="N24" s="230" t="s">
        <v>3</v>
      </c>
      <c r="O24" s="230">
        <v>2025</v>
      </c>
      <c r="P24" s="230" t="s">
        <v>3</v>
      </c>
      <c r="Q24" s="460" t="s">
        <v>1338</v>
      </c>
      <c r="R24" s="567">
        <v>44288</v>
      </c>
      <c r="S24" s="456" t="s">
        <v>1340</v>
      </c>
      <c r="T24" s="456" t="s">
        <v>1341</v>
      </c>
      <c r="U24" s="230" t="s">
        <v>3</v>
      </c>
      <c r="V24" s="456">
        <v>2030</v>
      </c>
      <c r="W24" s="230" t="s">
        <v>3</v>
      </c>
      <c r="X24" s="495" t="s">
        <v>1342</v>
      </c>
      <c r="Y24" s="554" t="s">
        <v>1320</v>
      </c>
      <c r="Z24" s="555" t="s">
        <v>1320</v>
      </c>
      <c r="AA24" s="555" t="s">
        <v>1320</v>
      </c>
      <c r="AB24" s="555" t="s">
        <v>1320</v>
      </c>
      <c r="AC24" s="555" t="s">
        <v>1320</v>
      </c>
      <c r="AD24" s="555" t="s">
        <v>1320</v>
      </c>
      <c r="AE24" s="556" t="s">
        <v>1320</v>
      </c>
      <c r="AF24" s="554" t="s">
        <v>1320</v>
      </c>
      <c r="AG24" s="555" t="s">
        <v>1320</v>
      </c>
      <c r="AH24" s="555" t="s">
        <v>1320</v>
      </c>
      <c r="AI24" s="555" t="s">
        <v>1320</v>
      </c>
      <c r="AJ24" s="555" t="s">
        <v>1320</v>
      </c>
      <c r="AK24" s="555" t="s">
        <v>1320</v>
      </c>
      <c r="AL24" s="556" t="s">
        <v>1320</v>
      </c>
    </row>
    <row r="25" spans="1:38" s="478" customFormat="1" ht="129" customHeight="1">
      <c r="A25" s="425" t="s">
        <v>515</v>
      </c>
      <c r="B25" s="565" t="s">
        <v>23</v>
      </c>
      <c r="C25" s="124" t="s">
        <v>1076</v>
      </c>
      <c r="D25" s="554" t="s">
        <v>1320</v>
      </c>
      <c r="E25" s="555" t="s">
        <v>1320</v>
      </c>
      <c r="F25" s="555" t="s">
        <v>1320</v>
      </c>
      <c r="G25" s="555" t="s">
        <v>1320</v>
      </c>
      <c r="H25" s="555" t="s">
        <v>1320</v>
      </c>
      <c r="I25" s="555" t="s">
        <v>1320</v>
      </c>
      <c r="J25" s="556" t="s">
        <v>1320</v>
      </c>
      <c r="K25" s="480">
        <v>42772</v>
      </c>
      <c r="L25" s="293" t="s">
        <v>1294</v>
      </c>
      <c r="M25" s="318" t="s">
        <v>1014</v>
      </c>
      <c r="N25" s="293" t="s">
        <v>1295</v>
      </c>
      <c r="O25" s="293">
        <v>2030</v>
      </c>
      <c r="P25" s="293" t="s">
        <v>3</v>
      </c>
      <c r="Q25" s="460" t="s">
        <v>346</v>
      </c>
      <c r="R25" s="552">
        <v>44196</v>
      </c>
      <c r="S25" s="230" t="s">
        <v>1294</v>
      </c>
      <c r="T25" s="472">
        <v>41.7</v>
      </c>
      <c r="U25" s="230" t="s">
        <v>1295</v>
      </c>
      <c r="V25" s="230">
        <v>2030</v>
      </c>
      <c r="W25" s="230" t="s">
        <v>3</v>
      </c>
      <c r="X25" s="430" t="s">
        <v>1309</v>
      </c>
      <c r="Y25" s="554" t="s">
        <v>1320</v>
      </c>
      <c r="Z25" s="555" t="s">
        <v>1320</v>
      </c>
      <c r="AA25" s="555" t="s">
        <v>1320</v>
      </c>
      <c r="AB25" s="555" t="s">
        <v>1320</v>
      </c>
      <c r="AC25" s="555" t="s">
        <v>1320</v>
      </c>
      <c r="AD25" s="555" t="s">
        <v>1320</v>
      </c>
      <c r="AE25" s="556" t="s">
        <v>1320</v>
      </c>
      <c r="AF25" s="554" t="s">
        <v>1320</v>
      </c>
      <c r="AG25" s="555" t="s">
        <v>1320</v>
      </c>
      <c r="AH25" s="555" t="s">
        <v>1320</v>
      </c>
      <c r="AI25" s="555" t="s">
        <v>1320</v>
      </c>
      <c r="AJ25" s="555" t="s">
        <v>1320</v>
      </c>
      <c r="AK25" s="555" t="s">
        <v>1320</v>
      </c>
      <c r="AL25" s="556" t="s">
        <v>1320</v>
      </c>
    </row>
    <row r="26" spans="1:38" s="526" customFormat="1" ht="129" customHeight="1">
      <c r="A26" s="427" t="s">
        <v>516</v>
      </c>
      <c r="B26" s="205" t="s">
        <v>180</v>
      </c>
      <c r="C26" s="124" t="s">
        <v>1076</v>
      </c>
      <c r="D26" s="554" t="s">
        <v>1320</v>
      </c>
      <c r="E26" s="555" t="s">
        <v>1320</v>
      </c>
      <c r="F26" s="555" t="s">
        <v>1320</v>
      </c>
      <c r="G26" s="555" t="s">
        <v>1320</v>
      </c>
      <c r="H26" s="555" t="s">
        <v>1320</v>
      </c>
      <c r="I26" s="555" t="s">
        <v>1320</v>
      </c>
      <c r="J26" s="556" t="s">
        <v>1320</v>
      </c>
      <c r="K26" s="303">
        <v>42580</v>
      </c>
      <c r="L26" s="230" t="s">
        <v>717</v>
      </c>
      <c r="M26" s="319">
        <v>0.32</v>
      </c>
      <c r="N26" s="230" t="s">
        <v>727</v>
      </c>
      <c r="O26" s="230">
        <v>2035</v>
      </c>
      <c r="P26" s="230" t="s">
        <v>3</v>
      </c>
      <c r="Q26" s="460" t="s">
        <v>1679</v>
      </c>
      <c r="R26" s="552">
        <v>44480</v>
      </c>
      <c r="S26" s="456" t="s">
        <v>873</v>
      </c>
      <c r="T26" s="474" t="s">
        <v>1681</v>
      </c>
      <c r="U26" s="456">
        <v>2010</v>
      </c>
      <c r="V26" s="456">
        <v>2030</v>
      </c>
      <c r="W26" s="230" t="s">
        <v>3</v>
      </c>
      <c r="X26" s="495" t="s">
        <v>1680</v>
      </c>
      <c r="Y26" s="554" t="s">
        <v>1320</v>
      </c>
      <c r="Z26" s="555" t="s">
        <v>1320</v>
      </c>
      <c r="AA26" s="555" t="s">
        <v>1320</v>
      </c>
      <c r="AB26" s="555" t="s">
        <v>1320</v>
      </c>
      <c r="AC26" s="555" t="s">
        <v>1320</v>
      </c>
      <c r="AD26" s="555" t="s">
        <v>1320</v>
      </c>
      <c r="AE26" s="556" t="s">
        <v>1320</v>
      </c>
      <c r="AF26" s="554" t="s">
        <v>1320</v>
      </c>
      <c r="AG26" s="555" t="s">
        <v>1320</v>
      </c>
      <c r="AH26" s="555" t="s">
        <v>1320</v>
      </c>
      <c r="AI26" s="555" t="s">
        <v>1320</v>
      </c>
      <c r="AJ26" s="555" t="s">
        <v>1320</v>
      </c>
      <c r="AK26" s="555" t="s">
        <v>1320</v>
      </c>
      <c r="AL26" s="556" t="s">
        <v>1320</v>
      </c>
    </row>
    <row r="27" spans="1:38" ht="84.75" customHeight="1">
      <c r="A27" s="32" t="s">
        <v>667</v>
      </c>
      <c r="B27" s="208" t="s">
        <v>24</v>
      </c>
      <c r="C27" s="50" t="s">
        <v>1076</v>
      </c>
      <c r="D27" s="554" t="s">
        <v>1320</v>
      </c>
      <c r="E27" s="555" t="s">
        <v>1320</v>
      </c>
      <c r="F27" s="555" t="s">
        <v>1320</v>
      </c>
      <c r="G27" s="555" t="s">
        <v>1320</v>
      </c>
      <c r="H27" s="555" t="s">
        <v>1320</v>
      </c>
      <c r="I27" s="555" t="s">
        <v>1320</v>
      </c>
      <c r="J27" s="556" t="s">
        <v>1320</v>
      </c>
      <c r="K27" s="174">
        <v>42866</v>
      </c>
      <c r="L27" s="23" t="s">
        <v>186</v>
      </c>
      <c r="M27" s="25">
        <v>0.3</v>
      </c>
      <c r="N27" s="23">
        <v>2005</v>
      </c>
      <c r="O27" s="23">
        <v>2030</v>
      </c>
      <c r="P27" s="23" t="s">
        <v>3</v>
      </c>
      <c r="Q27" s="48" t="s">
        <v>44</v>
      </c>
      <c r="R27" s="489">
        <v>44389</v>
      </c>
      <c r="S27" s="293" t="s">
        <v>186</v>
      </c>
      <c r="T27" s="55" t="s">
        <v>1432</v>
      </c>
      <c r="U27" s="293">
        <v>2005</v>
      </c>
      <c r="V27" s="293">
        <v>2030</v>
      </c>
      <c r="W27" s="230" t="s">
        <v>3</v>
      </c>
      <c r="X27" s="473" t="s">
        <v>1433</v>
      </c>
      <c r="Y27" s="554" t="s">
        <v>1320</v>
      </c>
      <c r="Z27" s="555" t="s">
        <v>1320</v>
      </c>
      <c r="AA27" s="555" t="s">
        <v>1320</v>
      </c>
      <c r="AB27" s="555" t="s">
        <v>1320</v>
      </c>
      <c r="AC27" s="555" t="s">
        <v>1320</v>
      </c>
      <c r="AD27" s="555" t="s">
        <v>1320</v>
      </c>
      <c r="AE27" s="556" t="s">
        <v>1320</v>
      </c>
      <c r="AF27" s="554" t="s">
        <v>1320</v>
      </c>
      <c r="AG27" s="555" t="s">
        <v>1320</v>
      </c>
      <c r="AH27" s="555" t="s">
        <v>1320</v>
      </c>
      <c r="AI27" s="555" t="s">
        <v>1320</v>
      </c>
      <c r="AJ27" s="555" t="s">
        <v>1320</v>
      </c>
      <c r="AK27" s="555" t="s">
        <v>1320</v>
      </c>
      <c r="AL27" s="556" t="s">
        <v>1320</v>
      </c>
    </row>
    <row r="28" spans="1:38" s="545" customFormat="1" ht="84.75" customHeight="1">
      <c r="A28" s="425" t="s">
        <v>518</v>
      </c>
      <c r="B28" s="205" t="s">
        <v>180</v>
      </c>
      <c r="C28" s="50" t="s">
        <v>1076</v>
      </c>
      <c r="D28" s="554" t="s">
        <v>1320</v>
      </c>
      <c r="E28" s="555" t="s">
        <v>1320</v>
      </c>
      <c r="F28" s="555" t="s">
        <v>1320</v>
      </c>
      <c r="G28" s="555" t="s">
        <v>1320</v>
      </c>
      <c r="H28" s="555" t="s">
        <v>1320</v>
      </c>
      <c r="I28" s="555" t="s">
        <v>1320</v>
      </c>
      <c r="J28" s="556" t="s">
        <v>1320</v>
      </c>
      <c r="K28" s="303">
        <v>42654</v>
      </c>
      <c r="L28" s="230" t="s">
        <v>186</v>
      </c>
      <c r="M28" s="319" t="s">
        <v>1062</v>
      </c>
      <c r="N28" s="230">
        <v>2010</v>
      </c>
      <c r="O28" s="230" t="s">
        <v>988</v>
      </c>
      <c r="P28" s="230" t="s">
        <v>3</v>
      </c>
      <c r="Q28" s="48" t="s">
        <v>1859</v>
      </c>
      <c r="R28" s="489">
        <v>44585</v>
      </c>
      <c r="S28" s="456" t="s">
        <v>717</v>
      </c>
      <c r="T28" s="474" t="s">
        <v>1861</v>
      </c>
      <c r="U28" s="456" t="s">
        <v>1862</v>
      </c>
      <c r="V28" s="456">
        <v>2030</v>
      </c>
      <c r="W28" s="230" t="s">
        <v>3</v>
      </c>
      <c r="X28" s="495" t="s">
        <v>1860</v>
      </c>
      <c r="Y28" s="554" t="s">
        <v>1320</v>
      </c>
      <c r="Z28" s="555" t="s">
        <v>1320</v>
      </c>
      <c r="AA28" s="555" t="s">
        <v>1320</v>
      </c>
      <c r="AB28" s="555" t="s">
        <v>1320</v>
      </c>
      <c r="AC28" s="555" t="s">
        <v>1320</v>
      </c>
      <c r="AD28" s="555" t="s">
        <v>1320</v>
      </c>
      <c r="AE28" s="556" t="s">
        <v>1320</v>
      </c>
      <c r="AF28" s="554" t="s">
        <v>1320</v>
      </c>
      <c r="AG28" s="555" t="s">
        <v>1320</v>
      </c>
      <c r="AH28" s="555" t="s">
        <v>1320</v>
      </c>
      <c r="AI28" s="555" t="s">
        <v>1320</v>
      </c>
      <c r="AJ28" s="555" t="s">
        <v>1320</v>
      </c>
      <c r="AK28" s="555" t="s">
        <v>1320</v>
      </c>
      <c r="AL28" s="556" t="s">
        <v>1320</v>
      </c>
    </row>
    <row r="29" spans="1:38" s="532" customFormat="1" ht="84.75" customHeight="1">
      <c r="A29" s="31" t="s">
        <v>519</v>
      </c>
      <c r="B29" s="205" t="s">
        <v>180</v>
      </c>
      <c r="C29" s="50" t="s">
        <v>1076</v>
      </c>
      <c r="D29" s="554" t="s">
        <v>1320</v>
      </c>
      <c r="E29" s="555" t="s">
        <v>1320</v>
      </c>
      <c r="F29" s="555" t="s">
        <v>1320</v>
      </c>
      <c r="G29" s="555" t="s">
        <v>1320</v>
      </c>
      <c r="H29" s="555" t="s">
        <v>1320</v>
      </c>
      <c r="I29" s="555" t="s">
        <v>1320</v>
      </c>
      <c r="J29" s="556" t="s">
        <v>1320</v>
      </c>
      <c r="K29" s="303">
        <v>42747</v>
      </c>
      <c r="L29" s="230" t="s">
        <v>186</v>
      </c>
      <c r="M29" s="230" t="s">
        <v>1025</v>
      </c>
      <c r="N29" s="230">
        <v>2010</v>
      </c>
      <c r="O29" s="230">
        <v>2030</v>
      </c>
      <c r="P29" s="230" t="s">
        <v>3</v>
      </c>
      <c r="Q29" s="460" t="s">
        <v>1752</v>
      </c>
      <c r="R29" s="489">
        <v>44488</v>
      </c>
      <c r="S29" s="230" t="s">
        <v>1753</v>
      </c>
      <c r="T29" s="456" t="s">
        <v>1755</v>
      </c>
      <c r="U29" s="456">
        <v>2018</v>
      </c>
      <c r="V29" s="230">
        <v>2030</v>
      </c>
      <c r="W29" s="230" t="s">
        <v>3</v>
      </c>
      <c r="X29" s="495" t="s">
        <v>1754</v>
      </c>
      <c r="Y29" s="554" t="s">
        <v>1320</v>
      </c>
      <c r="Z29" s="555" t="s">
        <v>1320</v>
      </c>
      <c r="AA29" s="555" t="s">
        <v>1320</v>
      </c>
      <c r="AB29" s="555" t="s">
        <v>1320</v>
      </c>
      <c r="AC29" s="555" t="s">
        <v>1320</v>
      </c>
      <c r="AD29" s="555" t="s">
        <v>1320</v>
      </c>
      <c r="AE29" s="556" t="s">
        <v>1320</v>
      </c>
      <c r="AF29" s="554" t="s">
        <v>1320</v>
      </c>
      <c r="AG29" s="555" t="s">
        <v>1320</v>
      </c>
      <c r="AH29" s="555" t="s">
        <v>1320</v>
      </c>
      <c r="AI29" s="555" t="s">
        <v>1320</v>
      </c>
      <c r="AJ29" s="555" t="s">
        <v>1320</v>
      </c>
      <c r="AK29" s="555" t="s">
        <v>1320</v>
      </c>
      <c r="AL29" s="556" t="s">
        <v>1320</v>
      </c>
    </row>
    <row r="30" spans="1:38" s="419" customFormat="1" ht="112.05" customHeight="1">
      <c r="A30" s="32" t="s">
        <v>954</v>
      </c>
      <c r="B30" s="95" t="s">
        <v>181</v>
      </c>
      <c r="C30" s="50" t="s">
        <v>1076</v>
      </c>
      <c r="D30" s="554" t="s">
        <v>1320</v>
      </c>
      <c r="E30" s="555" t="s">
        <v>1320</v>
      </c>
      <c r="F30" s="555" t="s">
        <v>1320</v>
      </c>
      <c r="G30" s="555" t="s">
        <v>1320</v>
      </c>
      <c r="H30" s="555" t="s">
        <v>1320</v>
      </c>
      <c r="I30" s="555" t="s">
        <v>1320</v>
      </c>
      <c r="J30" s="556" t="s">
        <v>1320</v>
      </c>
      <c r="K30" s="303">
        <v>42776</v>
      </c>
      <c r="L30" s="293" t="s">
        <v>187</v>
      </c>
      <c r="M30" s="293" t="s">
        <v>1077</v>
      </c>
      <c r="N30" s="293">
        <v>2007</v>
      </c>
      <c r="O30" s="293">
        <v>2030</v>
      </c>
      <c r="P30" s="230" t="s">
        <v>3</v>
      </c>
      <c r="Q30" s="24" t="s">
        <v>41</v>
      </c>
      <c r="R30" s="564">
        <v>43930</v>
      </c>
      <c r="S30" s="54" t="s">
        <v>956</v>
      </c>
      <c r="T30" s="433" t="s">
        <v>1081</v>
      </c>
      <c r="U30" s="293" t="s">
        <v>957</v>
      </c>
      <c r="V30" s="293">
        <v>2030</v>
      </c>
      <c r="W30" s="293" t="s">
        <v>958</v>
      </c>
      <c r="X30" s="435" t="s">
        <v>955</v>
      </c>
      <c r="Y30" s="554" t="s">
        <v>1320</v>
      </c>
      <c r="Z30" s="555" t="s">
        <v>1320</v>
      </c>
      <c r="AA30" s="555" t="s">
        <v>1320</v>
      </c>
      <c r="AB30" s="555" t="s">
        <v>1320</v>
      </c>
      <c r="AC30" s="555" t="s">
        <v>1320</v>
      </c>
      <c r="AD30" s="555" t="s">
        <v>1320</v>
      </c>
      <c r="AE30" s="556" t="s">
        <v>1320</v>
      </c>
      <c r="AF30" s="554" t="s">
        <v>1320</v>
      </c>
      <c r="AG30" s="555" t="s">
        <v>1320</v>
      </c>
      <c r="AH30" s="555" t="s">
        <v>1320</v>
      </c>
      <c r="AI30" s="555" t="s">
        <v>1320</v>
      </c>
      <c r="AJ30" s="555" t="s">
        <v>1320</v>
      </c>
      <c r="AK30" s="555" t="s">
        <v>1320</v>
      </c>
      <c r="AL30" s="556" t="s">
        <v>1320</v>
      </c>
    </row>
    <row r="31" spans="1:38" s="539" customFormat="1" ht="112.05" customHeight="1">
      <c r="A31" s="31" t="s">
        <v>521</v>
      </c>
      <c r="B31" s="565" t="s">
        <v>23</v>
      </c>
      <c r="C31" s="50" t="s">
        <v>1076</v>
      </c>
      <c r="D31" s="554" t="s">
        <v>1320</v>
      </c>
      <c r="E31" s="555" t="s">
        <v>1320</v>
      </c>
      <c r="F31" s="555" t="s">
        <v>1320</v>
      </c>
      <c r="G31" s="555" t="s">
        <v>1320</v>
      </c>
      <c r="H31" s="555" t="s">
        <v>1320</v>
      </c>
      <c r="I31" s="555" t="s">
        <v>1320</v>
      </c>
      <c r="J31" s="556" t="s">
        <v>1320</v>
      </c>
      <c r="K31" s="303">
        <v>42616</v>
      </c>
      <c r="L31" s="230" t="s">
        <v>446</v>
      </c>
      <c r="M31" s="230" t="s">
        <v>1066</v>
      </c>
      <c r="N31" s="230">
        <v>2005</v>
      </c>
      <c r="O31" s="230">
        <v>2030</v>
      </c>
      <c r="P31" s="230" t="s">
        <v>3</v>
      </c>
      <c r="Q31" s="460" t="s">
        <v>58</v>
      </c>
      <c r="R31" s="568">
        <v>44497</v>
      </c>
      <c r="S31" s="230" t="s">
        <v>446</v>
      </c>
      <c r="T31" s="474">
        <v>0.65</v>
      </c>
      <c r="U31" s="230">
        <v>2005</v>
      </c>
      <c r="V31" s="230">
        <v>2030</v>
      </c>
      <c r="W31" s="230" t="s">
        <v>3</v>
      </c>
      <c r="X31" s="542" t="s">
        <v>1797</v>
      </c>
      <c r="Y31" s="554" t="s">
        <v>1320</v>
      </c>
      <c r="Z31" s="555" t="s">
        <v>1320</v>
      </c>
      <c r="AA31" s="555" t="s">
        <v>1320</v>
      </c>
      <c r="AB31" s="555" t="s">
        <v>1320</v>
      </c>
      <c r="AC31" s="555" t="s">
        <v>1320</v>
      </c>
      <c r="AD31" s="555" t="s">
        <v>1320</v>
      </c>
      <c r="AE31" s="556" t="s">
        <v>1320</v>
      </c>
      <c r="AF31" s="554" t="s">
        <v>1320</v>
      </c>
      <c r="AG31" s="555" t="s">
        <v>1320</v>
      </c>
      <c r="AH31" s="555" t="s">
        <v>1320</v>
      </c>
      <c r="AI31" s="555" t="s">
        <v>1320</v>
      </c>
      <c r="AJ31" s="555" t="s">
        <v>1320</v>
      </c>
      <c r="AK31" s="555" t="s">
        <v>1320</v>
      </c>
      <c r="AL31" s="556" t="s">
        <v>1320</v>
      </c>
    </row>
    <row r="32" spans="1:38" s="539" customFormat="1" ht="112.05" customHeight="1">
      <c r="A32" s="31" t="s">
        <v>523</v>
      </c>
      <c r="B32" s="205" t="s">
        <v>180</v>
      </c>
      <c r="C32" s="50" t="s">
        <v>1076</v>
      </c>
      <c r="D32" s="554" t="s">
        <v>1320</v>
      </c>
      <c r="E32" s="555" t="s">
        <v>1320</v>
      </c>
      <c r="F32" s="555" t="s">
        <v>1320</v>
      </c>
      <c r="G32" s="555" t="s">
        <v>1320</v>
      </c>
      <c r="H32" s="555" t="s">
        <v>1320</v>
      </c>
      <c r="I32" s="555" t="s">
        <v>1320</v>
      </c>
      <c r="J32" s="556" t="s">
        <v>1320</v>
      </c>
      <c r="K32" s="328">
        <v>42697</v>
      </c>
      <c r="L32" s="230" t="s">
        <v>186</v>
      </c>
      <c r="M32" s="319">
        <v>0.84</v>
      </c>
      <c r="N32" s="230">
        <v>2030</v>
      </c>
      <c r="O32" s="230">
        <v>2030</v>
      </c>
      <c r="P32" s="230" t="s">
        <v>3</v>
      </c>
      <c r="Q32" s="460" t="s">
        <v>1093</v>
      </c>
      <c r="R32" s="568">
        <v>44505</v>
      </c>
      <c r="S32" s="230" t="s">
        <v>1795</v>
      </c>
      <c r="T32" s="474">
        <v>0.23</v>
      </c>
      <c r="U32" s="456" t="s">
        <v>1813</v>
      </c>
      <c r="V32" s="230">
        <v>2030</v>
      </c>
      <c r="W32" s="230" t="s">
        <v>3</v>
      </c>
      <c r="X32" s="495" t="s">
        <v>1814</v>
      </c>
      <c r="Y32" s="554" t="s">
        <v>1320</v>
      </c>
      <c r="Z32" s="555" t="s">
        <v>1320</v>
      </c>
      <c r="AA32" s="555" t="s">
        <v>1320</v>
      </c>
      <c r="AB32" s="555" t="s">
        <v>1320</v>
      </c>
      <c r="AC32" s="555" t="s">
        <v>1320</v>
      </c>
      <c r="AD32" s="555" t="s">
        <v>1320</v>
      </c>
      <c r="AE32" s="556" t="s">
        <v>1320</v>
      </c>
      <c r="AF32" s="554" t="s">
        <v>1320</v>
      </c>
      <c r="AG32" s="555" t="s">
        <v>1320</v>
      </c>
      <c r="AH32" s="555" t="s">
        <v>1320</v>
      </c>
      <c r="AI32" s="555" t="s">
        <v>1320</v>
      </c>
      <c r="AJ32" s="555" t="s">
        <v>1320</v>
      </c>
      <c r="AK32" s="555" t="s">
        <v>1320</v>
      </c>
      <c r="AL32" s="556" t="s">
        <v>1320</v>
      </c>
    </row>
    <row r="33" spans="1:38" s="517" customFormat="1" ht="112.05" customHeight="1">
      <c r="A33" s="31" t="s">
        <v>2173</v>
      </c>
      <c r="B33" s="92" t="s">
        <v>180</v>
      </c>
      <c r="C33" s="50" t="s">
        <v>1076</v>
      </c>
      <c r="D33" s="554" t="s">
        <v>1320</v>
      </c>
      <c r="E33" s="555" t="s">
        <v>1320</v>
      </c>
      <c r="F33" s="555" t="s">
        <v>1320</v>
      </c>
      <c r="G33" s="555" t="s">
        <v>1320</v>
      </c>
      <c r="H33" s="555" t="s">
        <v>1320</v>
      </c>
      <c r="I33" s="555" t="s">
        <v>1320</v>
      </c>
      <c r="J33" s="556" t="s">
        <v>1320</v>
      </c>
      <c r="K33" s="120">
        <v>42846</v>
      </c>
      <c r="L33" s="230" t="s">
        <v>186</v>
      </c>
      <c r="M33" s="230" t="s">
        <v>5</v>
      </c>
      <c r="N33" s="230">
        <v>2000</v>
      </c>
      <c r="O33" s="230" t="s">
        <v>219</v>
      </c>
      <c r="P33" s="230" t="s">
        <v>3</v>
      </c>
      <c r="Q33" s="460" t="s">
        <v>144</v>
      </c>
      <c r="R33" s="568">
        <v>44410</v>
      </c>
      <c r="S33" s="230" t="s">
        <v>186</v>
      </c>
      <c r="T33" s="456" t="s">
        <v>1559</v>
      </c>
      <c r="U33" s="456">
        <v>2017</v>
      </c>
      <c r="V33" s="456" t="s">
        <v>1074</v>
      </c>
      <c r="W33" s="230" t="s">
        <v>3</v>
      </c>
      <c r="X33" s="495" t="s">
        <v>1565</v>
      </c>
      <c r="Y33" s="554" t="s">
        <v>1320</v>
      </c>
      <c r="Z33" s="555" t="s">
        <v>1320</v>
      </c>
      <c r="AA33" s="555" t="s">
        <v>1320</v>
      </c>
      <c r="AB33" s="555" t="s">
        <v>1320</v>
      </c>
      <c r="AC33" s="555" t="s">
        <v>1320</v>
      </c>
      <c r="AD33" s="555" t="s">
        <v>1320</v>
      </c>
      <c r="AE33" s="556" t="s">
        <v>1320</v>
      </c>
      <c r="AF33" s="554" t="s">
        <v>1320</v>
      </c>
      <c r="AG33" s="555" t="s">
        <v>1320</v>
      </c>
      <c r="AH33" s="555" t="s">
        <v>1320</v>
      </c>
      <c r="AI33" s="555" t="s">
        <v>1320</v>
      </c>
      <c r="AJ33" s="555" t="s">
        <v>1320</v>
      </c>
      <c r="AK33" s="555" t="s">
        <v>1320</v>
      </c>
      <c r="AL33" s="556" t="s">
        <v>1320</v>
      </c>
    </row>
    <row r="34" spans="1:38" s="471" customFormat="1" ht="112.05" customHeight="1">
      <c r="A34" s="32" t="s">
        <v>522</v>
      </c>
      <c r="B34" s="204" t="s">
        <v>181</v>
      </c>
      <c r="C34" s="50" t="s">
        <v>1076</v>
      </c>
      <c r="D34" s="554" t="s">
        <v>1320</v>
      </c>
      <c r="E34" s="555" t="s">
        <v>1320</v>
      </c>
      <c r="F34" s="555" t="s">
        <v>1320</v>
      </c>
      <c r="G34" s="555" t="s">
        <v>1320</v>
      </c>
      <c r="H34" s="555" t="s">
        <v>1320</v>
      </c>
      <c r="I34" s="555" t="s">
        <v>1320</v>
      </c>
      <c r="J34" s="556" t="s">
        <v>1320</v>
      </c>
      <c r="K34" s="479">
        <v>43293</v>
      </c>
      <c r="L34" s="293" t="s">
        <v>185</v>
      </c>
      <c r="M34" s="293" t="s">
        <v>1026</v>
      </c>
      <c r="N34" s="293" t="s">
        <v>1</v>
      </c>
      <c r="O34" s="293">
        <v>2030</v>
      </c>
      <c r="P34" s="293" t="s">
        <v>3</v>
      </c>
      <c r="Q34" s="391" t="s">
        <v>40</v>
      </c>
      <c r="R34" s="489">
        <v>44195</v>
      </c>
      <c r="S34" s="54" t="s">
        <v>1286</v>
      </c>
      <c r="T34" s="54" t="s">
        <v>1288</v>
      </c>
      <c r="U34" s="293" t="s">
        <v>1269</v>
      </c>
      <c r="V34" s="293">
        <v>2030</v>
      </c>
      <c r="W34" s="230" t="s">
        <v>3</v>
      </c>
      <c r="X34" s="56" t="s">
        <v>1292</v>
      </c>
      <c r="Y34" s="554" t="s">
        <v>1320</v>
      </c>
      <c r="Z34" s="555" t="s">
        <v>1320</v>
      </c>
      <c r="AA34" s="555" t="s">
        <v>1320</v>
      </c>
      <c r="AB34" s="555" t="s">
        <v>1320</v>
      </c>
      <c r="AC34" s="555" t="s">
        <v>1320</v>
      </c>
      <c r="AD34" s="555" t="s">
        <v>1320</v>
      </c>
      <c r="AE34" s="556" t="s">
        <v>1320</v>
      </c>
      <c r="AF34" s="554" t="s">
        <v>1320</v>
      </c>
      <c r="AG34" s="555" t="s">
        <v>1320</v>
      </c>
      <c r="AH34" s="555" t="s">
        <v>1320</v>
      </c>
      <c r="AI34" s="555" t="s">
        <v>1320</v>
      </c>
      <c r="AJ34" s="555" t="s">
        <v>1320</v>
      </c>
      <c r="AK34" s="555" t="s">
        <v>1320</v>
      </c>
      <c r="AL34" s="556" t="s">
        <v>1320</v>
      </c>
    </row>
    <row r="35" spans="1:38" s="455" customFormat="1" ht="112.05" customHeight="1">
      <c r="A35" s="32" t="s">
        <v>525</v>
      </c>
      <c r="B35" s="95" t="s">
        <v>181</v>
      </c>
      <c r="C35" s="50" t="s">
        <v>1076</v>
      </c>
      <c r="D35" s="554" t="s">
        <v>1320</v>
      </c>
      <c r="E35" s="555" t="s">
        <v>1320</v>
      </c>
      <c r="F35" s="555" t="s">
        <v>1320</v>
      </c>
      <c r="G35" s="555" t="s">
        <v>1320</v>
      </c>
      <c r="H35" s="555" t="s">
        <v>1320</v>
      </c>
      <c r="I35" s="555" t="s">
        <v>1320</v>
      </c>
      <c r="J35" s="556" t="s">
        <v>1320</v>
      </c>
      <c r="K35" s="303">
        <v>42656</v>
      </c>
      <c r="L35" s="293" t="s">
        <v>185</v>
      </c>
      <c r="M35" s="318">
        <v>0.44</v>
      </c>
      <c r="N35" s="293" t="s">
        <v>1</v>
      </c>
      <c r="O35" s="293">
        <v>2030</v>
      </c>
      <c r="P35" s="230" t="s">
        <v>3</v>
      </c>
      <c r="Q35" s="24" t="s">
        <v>199</v>
      </c>
      <c r="R35" s="564">
        <v>44176</v>
      </c>
      <c r="S35" s="54" t="s">
        <v>1195</v>
      </c>
      <c r="T35" s="55" t="s">
        <v>1199</v>
      </c>
      <c r="U35" s="293" t="s">
        <v>1170</v>
      </c>
      <c r="V35" s="293">
        <v>2030</v>
      </c>
      <c r="W35" s="230" t="s">
        <v>3</v>
      </c>
      <c r="X35" s="56" t="s">
        <v>1200</v>
      </c>
      <c r="Y35" s="554" t="s">
        <v>1320</v>
      </c>
      <c r="Z35" s="555" t="s">
        <v>1320</v>
      </c>
      <c r="AA35" s="555" t="s">
        <v>1320</v>
      </c>
      <c r="AB35" s="555" t="s">
        <v>1320</v>
      </c>
      <c r="AC35" s="555" t="s">
        <v>1320</v>
      </c>
      <c r="AD35" s="555" t="s">
        <v>1320</v>
      </c>
      <c r="AE35" s="556" t="s">
        <v>1320</v>
      </c>
      <c r="AF35" s="554" t="s">
        <v>1320</v>
      </c>
      <c r="AG35" s="555" t="s">
        <v>1320</v>
      </c>
      <c r="AH35" s="555" t="s">
        <v>1320</v>
      </c>
      <c r="AI35" s="555" t="s">
        <v>1320</v>
      </c>
      <c r="AJ35" s="555" t="s">
        <v>1320</v>
      </c>
      <c r="AK35" s="555" t="s">
        <v>1320</v>
      </c>
      <c r="AL35" s="556" t="s">
        <v>1320</v>
      </c>
    </row>
    <row r="36" spans="1:38" s="582" customFormat="1" ht="112.05" customHeight="1">
      <c r="A36" s="31" t="s">
        <v>526</v>
      </c>
      <c r="B36" s="92" t="s">
        <v>180</v>
      </c>
      <c r="C36" s="50" t="s">
        <v>1076</v>
      </c>
      <c r="D36" s="554" t="s">
        <v>1320</v>
      </c>
      <c r="E36" s="555" t="s">
        <v>1320</v>
      </c>
      <c r="F36" s="555" t="s">
        <v>1320</v>
      </c>
      <c r="G36" s="555" t="s">
        <v>1320</v>
      </c>
      <c r="H36" s="555" t="s">
        <v>1320</v>
      </c>
      <c r="I36" s="555" t="s">
        <v>1320</v>
      </c>
      <c r="J36" s="556" t="s">
        <v>1320</v>
      </c>
      <c r="K36" s="302">
        <v>42668</v>
      </c>
      <c r="L36" s="230" t="s">
        <v>1903</v>
      </c>
      <c r="M36" s="319">
        <v>0.28000000000000003</v>
      </c>
      <c r="N36" s="337" t="s">
        <v>1902</v>
      </c>
      <c r="O36" s="337">
        <v>2030</v>
      </c>
      <c r="P36" s="230" t="s">
        <v>3</v>
      </c>
      <c r="Q36" s="391" t="s">
        <v>1901</v>
      </c>
      <c r="R36" s="568">
        <v>44690</v>
      </c>
      <c r="S36" s="230" t="s">
        <v>1903</v>
      </c>
      <c r="T36" s="474" t="s">
        <v>1904</v>
      </c>
      <c r="U36" s="337" t="s">
        <v>1902</v>
      </c>
      <c r="V36" s="337">
        <v>2030</v>
      </c>
      <c r="W36" s="230" t="s">
        <v>3</v>
      </c>
      <c r="X36" s="475" t="s">
        <v>1905</v>
      </c>
      <c r="Y36" s="554" t="s">
        <v>1320</v>
      </c>
      <c r="Z36" s="555" t="s">
        <v>1320</v>
      </c>
      <c r="AA36" s="555" t="s">
        <v>1320</v>
      </c>
      <c r="AB36" s="555" t="s">
        <v>1320</v>
      </c>
      <c r="AC36" s="555" t="s">
        <v>1320</v>
      </c>
      <c r="AD36" s="555" t="s">
        <v>1320</v>
      </c>
      <c r="AE36" s="556" t="s">
        <v>1320</v>
      </c>
      <c r="AF36" s="554" t="s">
        <v>1320</v>
      </c>
      <c r="AG36" s="555" t="s">
        <v>1320</v>
      </c>
      <c r="AH36" s="555" t="s">
        <v>1320</v>
      </c>
      <c r="AI36" s="555" t="s">
        <v>1320</v>
      </c>
      <c r="AJ36" s="555" t="s">
        <v>1320</v>
      </c>
      <c r="AK36" s="555" t="s">
        <v>1320</v>
      </c>
      <c r="AL36" s="556" t="s">
        <v>1320</v>
      </c>
    </row>
    <row r="37" spans="1:38" s="455" customFormat="1" ht="112.05" customHeight="1">
      <c r="A37" s="32" t="s">
        <v>527</v>
      </c>
      <c r="B37" s="95" t="s">
        <v>181</v>
      </c>
      <c r="C37" s="50" t="s">
        <v>1076</v>
      </c>
      <c r="D37" s="554" t="s">
        <v>1320</v>
      </c>
      <c r="E37" s="555" t="s">
        <v>1320</v>
      </c>
      <c r="F37" s="555" t="s">
        <v>1320</v>
      </c>
      <c r="G37" s="555" t="s">
        <v>1320</v>
      </c>
      <c r="H37" s="555" t="s">
        <v>1320</v>
      </c>
      <c r="I37" s="555" t="s">
        <v>1320</v>
      </c>
      <c r="J37" s="556" t="s">
        <v>1320</v>
      </c>
      <c r="K37" s="303">
        <v>42734</v>
      </c>
      <c r="L37" s="293" t="s">
        <v>189</v>
      </c>
      <c r="M37" s="293" t="s">
        <v>67</v>
      </c>
      <c r="N37" s="293" t="s">
        <v>3</v>
      </c>
      <c r="O37" s="293">
        <v>2030</v>
      </c>
      <c r="P37" s="230" t="s">
        <v>3</v>
      </c>
      <c r="Q37" s="391" t="s">
        <v>252</v>
      </c>
      <c r="R37" s="489">
        <v>44091</v>
      </c>
      <c r="S37" s="293" t="s">
        <v>189</v>
      </c>
      <c r="T37" s="293" t="s">
        <v>67</v>
      </c>
      <c r="U37" s="293" t="s">
        <v>3</v>
      </c>
      <c r="V37" s="293">
        <v>2030</v>
      </c>
      <c r="W37" s="230" t="s">
        <v>3</v>
      </c>
      <c r="X37" s="56" t="s">
        <v>1166</v>
      </c>
      <c r="Y37" s="554" t="s">
        <v>1320</v>
      </c>
      <c r="Z37" s="555" t="s">
        <v>1320</v>
      </c>
      <c r="AA37" s="555" t="s">
        <v>1320</v>
      </c>
      <c r="AB37" s="555" t="s">
        <v>1320</v>
      </c>
      <c r="AC37" s="555" t="s">
        <v>1320</v>
      </c>
      <c r="AD37" s="555" t="s">
        <v>1320</v>
      </c>
      <c r="AE37" s="556" t="s">
        <v>1320</v>
      </c>
      <c r="AF37" s="554" t="s">
        <v>1320</v>
      </c>
      <c r="AG37" s="555" t="s">
        <v>1320</v>
      </c>
      <c r="AH37" s="555" t="s">
        <v>1320</v>
      </c>
      <c r="AI37" s="555" t="s">
        <v>1320</v>
      </c>
      <c r="AJ37" s="555" t="s">
        <v>1320</v>
      </c>
      <c r="AK37" s="555" t="s">
        <v>1320</v>
      </c>
      <c r="AL37" s="556" t="s">
        <v>1320</v>
      </c>
    </row>
    <row r="38" spans="1:38" s="453" customFormat="1" ht="109.05" customHeight="1">
      <c r="A38" s="31" t="s">
        <v>2171</v>
      </c>
      <c r="B38" s="561" t="s">
        <v>23</v>
      </c>
      <c r="C38" s="50" t="s">
        <v>1076</v>
      </c>
      <c r="D38" s="554" t="s">
        <v>1320</v>
      </c>
      <c r="E38" s="555" t="s">
        <v>1320</v>
      </c>
      <c r="F38" s="555" t="s">
        <v>1320</v>
      </c>
      <c r="G38" s="555" t="s">
        <v>1320</v>
      </c>
      <c r="H38" s="555" t="s">
        <v>1320</v>
      </c>
      <c r="I38" s="555" t="s">
        <v>1320</v>
      </c>
      <c r="J38" s="556" t="s">
        <v>1320</v>
      </c>
      <c r="K38" s="328">
        <v>42646</v>
      </c>
      <c r="L38" s="230" t="s">
        <v>185</v>
      </c>
      <c r="M38" s="230" t="s">
        <v>1034</v>
      </c>
      <c r="N38" s="230" t="s">
        <v>1</v>
      </c>
      <c r="O38" s="230">
        <v>2030</v>
      </c>
      <c r="P38" s="230" t="s">
        <v>3</v>
      </c>
      <c r="Q38" s="460" t="s">
        <v>1141</v>
      </c>
      <c r="R38" s="489">
        <v>43727</v>
      </c>
      <c r="S38" s="230" t="s">
        <v>185</v>
      </c>
      <c r="T38" s="456" t="s">
        <v>1164</v>
      </c>
      <c r="U38" s="230" t="s">
        <v>1</v>
      </c>
      <c r="V38" s="230">
        <v>2030</v>
      </c>
      <c r="W38" s="230" t="s">
        <v>3</v>
      </c>
      <c r="X38" s="430" t="s">
        <v>1165</v>
      </c>
      <c r="Y38" s="554" t="s">
        <v>1320</v>
      </c>
      <c r="Z38" s="555" t="s">
        <v>1320</v>
      </c>
      <c r="AA38" s="555" t="s">
        <v>1320</v>
      </c>
      <c r="AB38" s="555" t="s">
        <v>1320</v>
      </c>
      <c r="AC38" s="555" t="s">
        <v>1320</v>
      </c>
      <c r="AD38" s="555" t="s">
        <v>1320</v>
      </c>
      <c r="AE38" s="556" t="s">
        <v>1320</v>
      </c>
      <c r="AF38" s="554" t="s">
        <v>1320</v>
      </c>
      <c r="AG38" s="555" t="s">
        <v>1320</v>
      </c>
      <c r="AH38" s="555" t="s">
        <v>1320</v>
      </c>
      <c r="AI38" s="555" t="s">
        <v>1320</v>
      </c>
      <c r="AJ38" s="555" t="s">
        <v>1320</v>
      </c>
      <c r="AK38" s="555" t="s">
        <v>1320</v>
      </c>
      <c r="AL38" s="556" t="s">
        <v>1320</v>
      </c>
    </row>
    <row r="39" spans="1:38" s="544" customFormat="1" ht="112.05" customHeight="1">
      <c r="A39" s="31" t="s">
        <v>2178</v>
      </c>
      <c r="B39" s="92" t="s">
        <v>180</v>
      </c>
      <c r="C39" s="50" t="s">
        <v>1076</v>
      </c>
      <c r="D39" s="554" t="s">
        <v>1320</v>
      </c>
      <c r="E39" s="555" t="s">
        <v>1320</v>
      </c>
      <c r="F39" s="555" t="s">
        <v>1320</v>
      </c>
      <c r="G39" s="555" t="s">
        <v>1320</v>
      </c>
      <c r="H39" s="555" t="s">
        <v>1320</v>
      </c>
      <c r="I39" s="555" t="s">
        <v>1320</v>
      </c>
      <c r="J39" s="556" t="s">
        <v>1320</v>
      </c>
      <c r="K39" s="120">
        <v>43082</v>
      </c>
      <c r="L39" s="230" t="s">
        <v>186</v>
      </c>
      <c r="M39" s="319">
        <v>0.17</v>
      </c>
      <c r="N39" s="230">
        <v>2000</v>
      </c>
      <c r="O39" s="230">
        <v>2030</v>
      </c>
      <c r="P39" s="230" t="s">
        <v>3</v>
      </c>
      <c r="Q39" s="320" t="s">
        <v>1848</v>
      </c>
      <c r="R39" s="489">
        <v>44558</v>
      </c>
      <c r="S39" s="230" t="s">
        <v>186</v>
      </c>
      <c r="T39" s="474" t="s">
        <v>1847</v>
      </c>
      <c r="U39" s="456" t="s">
        <v>1840</v>
      </c>
      <c r="V39" s="230">
        <v>2030</v>
      </c>
      <c r="W39" s="230" t="s">
        <v>3</v>
      </c>
      <c r="X39" s="495" t="s">
        <v>1846</v>
      </c>
      <c r="Y39" s="554" t="s">
        <v>1320</v>
      </c>
      <c r="Z39" s="555" t="s">
        <v>1320</v>
      </c>
      <c r="AA39" s="555" t="s">
        <v>1320</v>
      </c>
      <c r="AB39" s="555" t="s">
        <v>1320</v>
      </c>
      <c r="AC39" s="555" t="s">
        <v>1320</v>
      </c>
      <c r="AD39" s="555" t="s">
        <v>1320</v>
      </c>
      <c r="AE39" s="556" t="s">
        <v>1320</v>
      </c>
      <c r="AF39" s="554" t="s">
        <v>1320</v>
      </c>
      <c r="AG39" s="555" t="s">
        <v>1320</v>
      </c>
      <c r="AH39" s="555" t="s">
        <v>1320</v>
      </c>
      <c r="AI39" s="555" t="s">
        <v>1320</v>
      </c>
      <c r="AJ39" s="555" t="s">
        <v>1320</v>
      </c>
      <c r="AK39" s="555" t="s">
        <v>1320</v>
      </c>
      <c r="AL39" s="556" t="s">
        <v>1320</v>
      </c>
    </row>
    <row r="40" spans="1:38" s="584" customFormat="1" ht="112.05" customHeight="1">
      <c r="A40" s="32" t="s">
        <v>529</v>
      </c>
      <c r="B40" s="95" t="s">
        <v>181</v>
      </c>
      <c r="C40" s="50" t="s">
        <v>1932</v>
      </c>
      <c r="D40" s="554" t="s">
        <v>1320</v>
      </c>
      <c r="E40" s="555" t="s">
        <v>1320</v>
      </c>
      <c r="F40" s="555" t="s">
        <v>1320</v>
      </c>
      <c r="G40" s="555" t="s">
        <v>1320</v>
      </c>
      <c r="H40" s="555" t="s">
        <v>1320</v>
      </c>
      <c r="I40" s="555" t="s">
        <v>1320</v>
      </c>
      <c r="J40" s="556" t="s">
        <v>1320</v>
      </c>
      <c r="K40" s="302">
        <v>42634</v>
      </c>
      <c r="L40" s="293" t="s">
        <v>186</v>
      </c>
      <c r="M40" s="293" t="s">
        <v>1067</v>
      </c>
      <c r="N40" s="307">
        <v>2014</v>
      </c>
      <c r="O40" s="293" t="s">
        <v>289</v>
      </c>
      <c r="P40" s="230" t="s">
        <v>3</v>
      </c>
      <c r="Q40" s="391" t="s">
        <v>288</v>
      </c>
      <c r="R40" s="552">
        <v>44194</v>
      </c>
      <c r="S40" s="293" t="s">
        <v>1925</v>
      </c>
      <c r="T40" s="293" t="s">
        <v>1926</v>
      </c>
      <c r="U40" s="307">
        <v>2014</v>
      </c>
      <c r="V40" s="293" t="s">
        <v>1927</v>
      </c>
      <c r="W40" s="230" t="s">
        <v>3</v>
      </c>
      <c r="X40" s="473" t="s">
        <v>1928</v>
      </c>
      <c r="Y40" s="554" t="s">
        <v>1320</v>
      </c>
      <c r="Z40" s="555" t="s">
        <v>1320</v>
      </c>
      <c r="AA40" s="555" t="s">
        <v>1320</v>
      </c>
      <c r="AB40" s="555" t="s">
        <v>1320</v>
      </c>
      <c r="AC40" s="555" t="s">
        <v>1320</v>
      </c>
      <c r="AD40" s="555" t="s">
        <v>1320</v>
      </c>
      <c r="AE40" s="556" t="s">
        <v>1320</v>
      </c>
      <c r="AF40" s="554" t="s">
        <v>1320</v>
      </c>
      <c r="AG40" s="555" t="s">
        <v>1320</v>
      </c>
      <c r="AH40" s="555" t="s">
        <v>1320</v>
      </c>
      <c r="AI40" s="555" t="s">
        <v>1320</v>
      </c>
      <c r="AJ40" s="555" t="s">
        <v>1320</v>
      </c>
      <c r="AK40" s="555" t="s">
        <v>1320</v>
      </c>
      <c r="AL40" s="556" t="s">
        <v>1320</v>
      </c>
    </row>
    <row r="41" spans="1:38" s="471" customFormat="1" ht="112.05" customHeight="1">
      <c r="A41" s="32" t="s">
        <v>530</v>
      </c>
      <c r="B41" s="95" t="s">
        <v>181</v>
      </c>
      <c r="C41" s="50" t="s">
        <v>1076</v>
      </c>
      <c r="D41" s="554" t="s">
        <v>1320</v>
      </c>
      <c r="E41" s="555" t="s">
        <v>1320</v>
      </c>
      <c r="F41" s="555" t="s">
        <v>1320</v>
      </c>
      <c r="G41" s="555" t="s">
        <v>1320</v>
      </c>
      <c r="H41" s="555" t="s">
        <v>1320</v>
      </c>
      <c r="I41" s="555" t="s">
        <v>1320</v>
      </c>
      <c r="J41" s="556" t="s">
        <v>1320</v>
      </c>
      <c r="K41" s="480">
        <v>42999</v>
      </c>
      <c r="L41" s="293" t="s">
        <v>186</v>
      </c>
      <c r="M41" s="318">
        <v>0.25</v>
      </c>
      <c r="N41" s="293">
        <v>2010</v>
      </c>
      <c r="O41" s="293">
        <v>2030</v>
      </c>
      <c r="P41" s="293" t="s">
        <v>3</v>
      </c>
      <c r="Q41" s="391" t="s">
        <v>287</v>
      </c>
      <c r="R41" s="552">
        <v>44194</v>
      </c>
      <c r="S41" s="54" t="s">
        <v>1270</v>
      </c>
      <c r="T41" s="55" t="s">
        <v>1274</v>
      </c>
      <c r="U41" s="54" t="s">
        <v>1269</v>
      </c>
      <c r="V41" s="293">
        <v>2030</v>
      </c>
      <c r="W41" s="230" t="s">
        <v>3</v>
      </c>
      <c r="X41" s="56" t="s">
        <v>1273</v>
      </c>
      <c r="Y41" s="554" t="s">
        <v>1320</v>
      </c>
      <c r="Z41" s="555" t="s">
        <v>1320</v>
      </c>
      <c r="AA41" s="555" t="s">
        <v>1320</v>
      </c>
      <c r="AB41" s="555" t="s">
        <v>1320</v>
      </c>
      <c r="AC41" s="555" t="s">
        <v>1320</v>
      </c>
      <c r="AD41" s="555" t="s">
        <v>1320</v>
      </c>
      <c r="AE41" s="556" t="s">
        <v>1320</v>
      </c>
      <c r="AF41" s="554" t="s">
        <v>1320</v>
      </c>
      <c r="AG41" s="555" t="s">
        <v>1320</v>
      </c>
      <c r="AH41" s="555" t="s">
        <v>1320</v>
      </c>
      <c r="AI41" s="555" t="s">
        <v>1320</v>
      </c>
      <c r="AJ41" s="555" t="s">
        <v>1320</v>
      </c>
      <c r="AK41" s="555" t="s">
        <v>1320</v>
      </c>
      <c r="AL41" s="556" t="s">
        <v>1320</v>
      </c>
    </row>
    <row r="42" spans="1:38" s="387" customFormat="1" ht="243.6" customHeight="1">
      <c r="A42" s="32" t="s">
        <v>533</v>
      </c>
      <c r="B42" s="95" t="s">
        <v>181</v>
      </c>
      <c r="C42" s="50" t="s">
        <v>1321</v>
      </c>
      <c r="D42" s="558">
        <v>42278</v>
      </c>
      <c r="E42" s="23" t="s">
        <v>185</v>
      </c>
      <c r="F42" s="25" t="s">
        <v>1114</v>
      </c>
      <c r="G42" s="23" t="s">
        <v>1</v>
      </c>
      <c r="H42" s="23">
        <v>2030</v>
      </c>
      <c r="I42" s="20" t="s">
        <v>3</v>
      </c>
      <c r="J42" s="48" t="s">
        <v>971</v>
      </c>
      <c r="K42" s="174">
        <v>43553</v>
      </c>
      <c r="L42" s="54" t="s">
        <v>873</v>
      </c>
      <c r="M42" s="54" t="s">
        <v>1120</v>
      </c>
      <c r="N42" s="54" t="s">
        <v>1121</v>
      </c>
      <c r="O42" s="54">
        <v>2025</v>
      </c>
      <c r="P42" s="23" t="s">
        <v>3</v>
      </c>
      <c r="Q42" s="56" t="s">
        <v>1122</v>
      </c>
      <c r="R42" s="566" t="s">
        <v>1320</v>
      </c>
      <c r="S42" s="555" t="s">
        <v>1320</v>
      </c>
      <c r="T42" s="555" t="s">
        <v>1320</v>
      </c>
      <c r="U42" s="555" t="s">
        <v>1320</v>
      </c>
      <c r="V42" s="555" t="s">
        <v>1320</v>
      </c>
      <c r="W42" s="555" t="s">
        <v>1320</v>
      </c>
      <c r="X42" s="556" t="s">
        <v>1320</v>
      </c>
      <c r="Y42" s="554" t="s">
        <v>1320</v>
      </c>
      <c r="Z42" s="555" t="s">
        <v>1320</v>
      </c>
      <c r="AA42" s="555" t="s">
        <v>1320</v>
      </c>
      <c r="AB42" s="555" t="s">
        <v>1320</v>
      </c>
      <c r="AC42" s="555" t="s">
        <v>1320</v>
      </c>
      <c r="AD42" s="555" t="s">
        <v>1320</v>
      </c>
      <c r="AE42" s="556" t="s">
        <v>1320</v>
      </c>
      <c r="AF42" s="554" t="s">
        <v>1320</v>
      </c>
      <c r="AG42" s="555" t="s">
        <v>1320</v>
      </c>
      <c r="AH42" s="555" t="s">
        <v>1320</v>
      </c>
      <c r="AI42" s="555" t="s">
        <v>1320</v>
      </c>
      <c r="AJ42" s="555" t="s">
        <v>1320</v>
      </c>
      <c r="AK42" s="555" t="s">
        <v>1320</v>
      </c>
      <c r="AL42" s="556" t="s">
        <v>1320</v>
      </c>
    </row>
    <row r="43" spans="1:38" s="588" customFormat="1" ht="120">
      <c r="A43" s="31" t="s">
        <v>531</v>
      </c>
      <c r="B43" s="91" t="s">
        <v>182</v>
      </c>
      <c r="C43" s="50" t="s">
        <v>1362</v>
      </c>
      <c r="D43" s="554" t="s">
        <v>1320</v>
      </c>
      <c r="E43" s="555" t="s">
        <v>1320</v>
      </c>
      <c r="F43" s="555" t="s">
        <v>1320</v>
      </c>
      <c r="G43" s="555" t="s">
        <v>1320</v>
      </c>
      <c r="H43" s="555" t="s">
        <v>1320</v>
      </c>
      <c r="I43" s="555" t="s">
        <v>1320</v>
      </c>
      <c r="J43" s="556" t="s">
        <v>1320</v>
      </c>
      <c r="K43" s="590">
        <v>42915</v>
      </c>
      <c r="L43" s="230" t="s">
        <v>189</v>
      </c>
      <c r="M43" s="230" t="s">
        <v>3</v>
      </c>
      <c r="N43" s="230" t="s">
        <v>3</v>
      </c>
      <c r="O43" s="230">
        <v>2030</v>
      </c>
      <c r="P43" s="230" t="s">
        <v>3</v>
      </c>
      <c r="Q43" s="320" t="s">
        <v>1089</v>
      </c>
      <c r="R43" s="563">
        <v>44749</v>
      </c>
      <c r="S43" s="456" t="s">
        <v>1946</v>
      </c>
      <c r="T43" s="456" t="s">
        <v>1955</v>
      </c>
      <c r="U43" s="456" t="s">
        <v>1945</v>
      </c>
      <c r="V43" s="230">
        <v>2030</v>
      </c>
      <c r="W43" s="230" t="s">
        <v>3</v>
      </c>
      <c r="X43" s="495" t="s">
        <v>1948</v>
      </c>
      <c r="Y43" s="554" t="s">
        <v>1320</v>
      </c>
      <c r="Z43" s="555" t="s">
        <v>1320</v>
      </c>
      <c r="AA43" s="555" t="s">
        <v>1320</v>
      </c>
      <c r="AB43" s="555" t="s">
        <v>1320</v>
      </c>
      <c r="AC43" s="555" t="s">
        <v>1320</v>
      </c>
      <c r="AD43" s="555" t="s">
        <v>1320</v>
      </c>
      <c r="AE43" s="556" t="s">
        <v>1320</v>
      </c>
      <c r="AF43" s="554" t="s">
        <v>1320</v>
      </c>
      <c r="AG43" s="555" t="s">
        <v>1320</v>
      </c>
      <c r="AH43" s="555" t="s">
        <v>1320</v>
      </c>
      <c r="AI43" s="555" t="s">
        <v>1320</v>
      </c>
      <c r="AJ43" s="555" t="s">
        <v>1320</v>
      </c>
      <c r="AK43" s="555" t="s">
        <v>1320</v>
      </c>
      <c r="AL43" s="556" t="s">
        <v>1320</v>
      </c>
    </row>
    <row r="44" spans="1:38" ht="72">
      <c r="A44" s="32" t="s">
        <v>532</v>
      </c>
      <c r="B44" s="95" t="s">
        <v>181</v>
      </c>
      <c r="C44" s="50" t="s">
        <v>1362</v>
      </c>
      <c r="D44" s="558">
        <v>42325</v>
      </c>
      <c r="E44" s="23" t="s">
        <v>189</v>
      </c>
      <c r="F44" s="23" t="s">
        <v>3</v>
      </c>
      <c r="G44" s="23" t="s">
        <v>3</v>
      </c>
      <c r="H44" s="23" t="s">
        <v>200</v>
      </c>
      <c r="I44" s="20" t="s">
        <v>3</v>
      </c>
      <c r="J44" s="48" t="s">
        <v>255</v>
      </c>
      <c r="K44" s="174">
        <v>43038</v>
      </c>
      <c r="L44" s="54" t="s">
        <v>717</v>
      </c>
      <c r="M44" s="54" t="s">
        <v>1028</v>
      </c>
      <c r="N44" s="54" t="s">
        <v>727</v>
      </c>
      <c r="O44" s="54">
        <v>2025</v>
      </c>
      <c r="P44" s="23" t="s">
        <v>3</v>
      </c>
      <c r="Q44" s="48" t="s">
        <v>716</v>
      </c>
      <c r="R44" s="563">
        <v>44565</v>
      </c>
      <c r="S44" s="293" t="s">
        <v>717</v>
      </c>
      <c r="T44" s="54" t="s">
        <v>1854</v>
      </c>
      <c r="U44" s="293" t="s">
        <v>727</v>
      </c>
      <c r="V44" s="54" t="s">
        <v>1853</v>
      </c>
      <c r="W44" s="230" t="s">
        <v>3</v>
      </c>
      <c r="X44" s="473" t="s">
        <v>1855</v>
      </c>
      <c r="Y44" s="554" t="s">
        <v>1320</v>
      </c>
      <c r="Z44" s="555" t="s">
        <v>1320</v>
      </c>
      <c r="AA44" s="555" t="s">
        <v>1320</v>
      </c>
      <c r="AB44" s="555" t="s">
        <v>1320</v>
      </c>
      <c r="AC44" s="555" t="s">
        <v>1320</v>
      </c>
      <c r="AD44" s="555" t="s">
        <v>1320</v>
      </c>
      <c r="AE44" s="556" t="s">
        <v>1320</v>
      </c>
      <c r="AF44" s="554" t="s">
        <v>1320</v>
      </c>
      <c r="AG44" s="555" t="s">
        <v>1320</v>
      </c>
      <c r="AH44" s="555" t="s">
        <v>1320</v>
      </c>
      <c r="AI44" s="555" t="s">
        <v>1320</v>
      </c>
      <c r="AJ44" s="555" t="s">
        <v>1320</v>
      </c>
      <c r="AK44" s="555" t="s">
        <v>1320</v>
      </c>
      <c r="AL44" s="556" t="s">
        <v>1320</v>
      </c>
    </row>
    <row r="45" spans="1:38" ht="84">
      <c r="A45" s="31" t="s">
        <v>662</v>
      </c>
      <c r="B45" s="92" t="s">
        <v>180</v>
      </c>
      <c r="C45" s="50" t="s">
        <v>1321</v>
      </c>
      <c r="D45" s="121">
        <v>42271</v>
      </c>
      <c r="E45" s="20" t="s">
        <v>185</v>
      </c>
      <c r="F45" s="20" t="s">
        <v>1115</v>
      </c>
      <c r="G45" s="20" t="s">
        <v>1</v>
      </c>
      <c r="H45" s="20">
        <v>2030</v>
      </c>
      <c r="I45" s="20" t="s">
        <v>3</v>
      </c>
      <c r="J45" s="48" t="s">
        <v>213</v>
      </c>
      <c r="K45" s="174">
        <v>43270</v>
      </c>
      <c r="L45" s="20" t="s">
        <v>185</v>
      </c>
      <c r="M45" s="54" t="s">
        <v>1129</v>
      </c>
      <c r="N45" s="54">
        <v>2010</v>
      </c>
      <c r="O45" s="20" t="s">
        <v>1150</v>
      </c>
      <c r="P45" s="20" t="s">
        <v>3</v>
      </c>
      <c r="Q45" s="56" t="s">
        <v>473</v>
      </c>
      <c r="R45" s="566" t="s">
        <v>1320</v>
      </c>
      <c r="S45" s="555" t="s">
        <v>1320</v>
      </c>
      <c r="T45" s="555" t="s">
        <v>1320</v>
      </c>
      <c r="U45" s="555" t="s">
        <v>1320</v>
      </c>
      <c r="V45" s="555" t="s">
        <v>1320</v>
      </c>
      <c r="W45" s="555" t="s">
        <v>1320</v>
      </c>
      <c r="X45" s="556" t="s">
        <v>1320</v>
      </c>
      <c r="Y45" s="554" t="s">
        <v>1320</v>
      </c>
      <c r="Z45" s="555" t="s">
        <v>1320</v>
      </c>
      <c r="AA45" s="555" t="s">
        <v>1320</v>
      </c>
      <c r="AB45" s="555" t="s">
        <v>1320</v>
      </c>
      <c r="AC45" s="555" t="s">
        <v>1320</v>
      </c>
      <c r="AD45" s="555" t="s">
        <v>1320</v>
      </c>
      <c r="AE45" s="556" t="s">
        <v>1320</v>
      </c>
      <c r="AF45" s="554" t="s">
        <v>1320</v>
      </c>
      <c r="AG45" s="555" t="s">
        <v>1320</v>
      </c>
      <c r="AH45" s="555" t="s">
        <v>1320</v>
      </c>
      <c r="AI45" s="555" t="s">
        <v>1320</v>
      </c>
      <c r="AJ45" s="555" t="s">
        <v>1320</v>
      </c>
      <c r="AK45" s="555" t="s">
        <v>1320</v>
      </c>
      <c r="AL45" s="556" t="s">
        <v>1320</v>
      </c>
    </row>
    <row r="46" spans="1:38" s="532" customFormat="1" ht="114.45" customHeight="1">
      <c r="A46" s="31" t="s">
        <v>2168</v>
      </c>
      <c r="B46" s="92" t="s">
        <v>180</v>
      </c>
      <c r="C46" s="383" t="s">
        <v>1076</v>
      </c>
      <c r="D46" s="554" t="s">
        <v>1320</v>
      </c>
      <c r="E46" s="555" t="s">
        <v>1320</v>
      </c>
      <c r="F46" s="555" t="s">
        <v>1320</v>
      </c>
      <c r="G46" s="555" t="s">
        <v>1320</v>
      </c>
      <c r="H46" s="555" t="s">
        <v>1320</v>
      </c>
      <c r="I46" s="555" t="s">
        <v>1320</v>
      </c>
      <c r="J46" s="556" t="s">
        <v>1320</v>
      </c>
      <c r="K46" s="303">
        <v>42634</v>
      </c>
      <c r="L46" s="230" t="s">
        <v>189</v>
      </c>
      <c r="M46" s="230" t="s">
        <v>309</v>
      </c>
      <c r="N46" s="230">
        <v>2010</v>
      </c>
      <c r="O46" s="230">
        <v>2030</v>
      </c>
      <c r="P46" s="230" t="s">
        <v>3</v>
      </c>
      <c r="Q46" s="46" t="s">
        <v>126</v>
      </c>
      <c r="R46" s="551">
        <v>44481</v>
      </c>
      <c r="S46" s="456" t="s">
        <v>1717</v>
      </c>
      <c r="T46" s="456" t="s">
        <v>1716</v>
      </c>
      <c r="U46" s="456" t="s">
        <v>1715</v>
      </c>
      <c r="V46" s="230">
        <v>2030</v>
      </c>
      <c r="W46" s="230" t="s">
        <v>3</v>
      </c>
      <c r="X46" s="475" t="s">
        <v>1714</v>
      </c>
      <c r="Y46" s="554" t="s">
        <v>1320</v>
      </c>
      <c r="Z46" s="555" t="s">
        <v>1320</v>
      </c>
      <c r="AA46" s="555" t="s">
        <v>1320</v>
      </c>
      <c r="AB46" s="555" t="s">
        <v>1320</v>
      </c>
      <c r="AC46" s="555" t="s">
        <v>1320</v>
      </c>
      <c r="AD46" s="555" t="s">
        <v>1320</v>
      </c>
      <c r="AE46" s="556" t="s">
        <v>1320</v>
      </c>
      <c r="AF46" s="554" t="s">
        <v>1320</v>
      </c>
      <c r="AG46" s="555" t="s">
        <v>1320</v>
      </c>
      <c r="AH46" s="555" t="s">
        <v>1320</v>
      </c>
      <c r="AI46" s="555" t="s">
        <v>1320</v>
      </c>
      <c r="AJ46" s="555" t="s">
        <v>1320</v>
      </c>
      <c r="AK46" s="555" t="s">
        <v>1320</v>
      </c>
      <c r="AL46" s="556" t="s">
        <v>1320</v>
      </c>
    </row>
    <row r="47" spans="1:38" s="478" customFormat="1" ht="120.45" customHeight="1">
      <c r="A47" s="32" t="s">
        <v>659</v>
      </c>
      <c r="B47" s="92" t="s">
        <v>180</v>
      </c>
      <c r="C47" s="50" t="s">
        <v>1076</v>
      </c>
      <c r="D47" s="554" t="s">
        <v>1320</v>
      </c>
      <c r="E47" s="555" t="s">
        <v>1320</v>
      </c>
      <c r="F47" s="555" t="s">
        <v>1320</v>
      </c>
      <c r="G47" s="555" t="s">
        <v>1320</v>
      </c>
      <c r="H47" s="555" t="s">
        <v>1320</v>
      </c>
      <c r="I47" s="555" t="s">
        <v>1320</v>
      </c>
      <c r="J47" s="556" t="s">
        <v>1320</v>
      </c>
      <c r="K47" s="479">
        <v>42803</v>
      </c>
      <c r="L47" s="293" t="s">
        <v>185</v>
      </c>
      <c r="M47" s="318">
        <v>0.64</v>
      </c>
      <c r="N47" s="293" t="s">
        <v>1</v>
      </c>
      <c r="O47" s="293">
        <v>2030</v>
      </c>
      <c r="P47" s="293" t="s">
        <v>3</v>
      </c>
      <c r="Q47" s="391" t="s">
        <v>313</v>
      </c>
      <c r="R47" s="489">
        <v>44196</v>
      </c>
      <c r="S47" s="293" t="s">
        <v>185</v>
      </c>
      <c r="T47" s="55" t="s">
        <v>1300</v>
      </c>
      <c r="U47" s="293" t="s">
        <v>1</v>
      </c>
      <c r="V47" s="293">
        <v>2030</v>
      </c>
      <c r="W47" s="293" t="s">
        <v>3</v>
      </c>
      <c r="X47" s="56" t="s">
        <v>1301</v>
      </c>
      <c r="Y47" s="579">
        <v>44400</v>
      </c>
      <c r="Z47" s="293" t="s">
        <v>185</v>
      </c>
      <c r="AA47" s="55" t="s">
        <v>1451</v>
      </c>
      <c r="AB47" s="293" t="s">
        <v>1</v>
      </c>
      <c r="AC47" s="293">
        <v>2030</v>
      </c>
      <c r="AD47" s="293" t="s">
        <v>3</v>
      </c>
      <c r="AE47" s="56" t="s">
        <v>1452</v>
      </c>
      <c r="AF47" s="554" t="s">
        <v>1320</v>
      </c>
      <c r="AG47" s="555" t="s">
        <v>1320</v>
      </c>
      <c r="AH47" s="555" t="s">
        <v>1320</v>
      </c>
      <c r="AI47" s="555" t="s">
        <v>1320</v>
      </c>
      <c r="AJ47" s="555" t="s">
        <v>1320</v>
      </c>
      <c r="AK47" s="555" t="s">
        <v>1320</v>
      </c>
      <c r="AL47" s="556" t="s">
        <v>1320</v>
      </c>
    </row>
    <row r="48" spans="1:38" s="463" customFormat="1" ht="150.44999999999999" customHeight="1">
      <c r="A48" s="383" t="s">
        <v>1225</v>
      </c>
      <c r="B48" s="557" t="s">
        <v>76</v>
      </c>
      <c r="C48" s="50" t="s">
        <v>1076</v>
      </c>
      <c r="D48" s="554" t="s">
        <v>1320</v>
      </c>
      <c r="E48" s="555" t="s">
        <v>1320</v>
      </c>
      <c r="F48" s="555" t="s">
        <v>1320</v>
      </c>
      <c r="G48" s="555" t="s">
        <v>1320</v>
      </c>
      <c r="H48" s="555" t="s">
        <v>1320</v>
      </c>
      <c r="I48" s="555" t="s">
        <v>1320</v>
      </c>
      <c r="J48" s="556" t="s">
        <v>1320</v>
      </c>
      <c r="K48" s="303">
        <v>42648</v>
      </c>
      <c r="L48" s="293" t="s">
        <v>186</v>
      </c>
      <c r="M48" s="318" t="s">
        <v>11</v>
      </c>
      <c r="N48" s="293">
        <v>1990</v>
      </c>
      <c r="O48" s="293">
        <v>2030</v>
      </c>
      <c r="P48" s="293" t="s">
        <v>3</v>
      </c>
      <c r="Q48" s="24" t="s">
        <v>34</v>
      </c>
      <c r="R48" s="551">
        <v>44183</v>
      </c>
      <c r="S48" s="293" t="s">
        <v>186</v>
      </c>
      <c r="T48" s="55" t="s">
        <v>1220</v>
      </c>
      <c r="U48" s="293">
        <v>1990</v>
      </c>
      <c r="V48" s="293">
        <v>2030</v>
      </c>
      <c r="W48" s="293" t="s">
        <v>3</v>
      </c>
      <c r="X48" s="56" t="s">
        <v>1221</v>
      </c>
      <c r="Y48" s="554" t="s">
        <v>1320</v>
      </c>
      <c r="Z48" s="555" t="s">
        <v>1320</v>
      </c>
      <c r="AA48" s="555" t="s">
        <v>1320</v>
      </c>
      <c r="AB48" s="555" t="s">
        <v>1320</v>
      </c>
      <c r="AC48" s="555" t="s">
        <v>1320</v>
      </c>
      <c r="AD48" s="555" t="s">
        <v>1320</v>
      </c>
      <c r="AE48" s="556" t="s">
        <v>1320</v>
      </c>
      <c r="AF48" s="554" t="s">
        <v>1320</v>
      </c>
      <c r="AG48" s="555" t="s">
        <v>1320</v>
      </c>
      <c r="AH48" s="555" t="s">
        <v>1320</v>
      </c>
      <c r="AI48" s="555" t="s">
        <v>1320</v>
      </c>
      <c r="AJ48" s="555" t="s">
        <v>1320</v>
      </c>
      <c r="AK48" s="555" t="s">
        <v>1320</v>
      </c>
      <c r="AL48" s="556" t="s">
        <v>1320</v>
      </c>
    </row>
    <row r="49" spans="1:38" s="478" customFormat="1" ht="150.44999999999999" customHeight="1">
      <c r="A49" s="32" t="s">
        <v>560</v>
      </c>
      <c r="B49" s="560" t="s">
        <v>25</v>
      </c>
      <c r="C49" s="50" t="s">
        <v>860</v>
      </c>
      <c r="D49" s="554" t="s">
        <v>1320</v>
      </c>
      <c r="E49" s="555" t="s">
        <v>1320</v>
      </c>
      <c r="F49" s="555" t="s">
        <v>1320</v>
      </c>
      <c r="G49" s="555" t="s">
        <v>1320</v>
      </c>
      <c r="H49" s="555" t="s">
        <v>1320</v>
      </c>
      <c r="I49" s="555" t="s">
        <v>1320</v>
      </c>
      <c r="J49" s="556" t="s">
        <v>1320</v>
      </c>
      <c r="K49" s="479">
        <v>42482</v>
      </c>
      <c r="L49" s="293" t="s">
        <v>185</v>
      </c>
      <c r="M49" s="293" t="s">
        <v>1068</v>
      </c>
      <c r="N49" s="293" t="s">
        <v>1</v>
      </c>
      <c r="O49" s="293">
        <v>2030</v>
      </c>
      <c r="P49" s="293" t="s">
        <v>3</v>
      </c>
      <c r="Q49" s="391" t="s">
        <v>81</v>
      </c>
      <c r="R49" s="489">
        <v>44196</v>
      </c>
      <c r="S49" s="293" t="s">
        <v>185</v>
      </c>
      <c r="T49" s="293" t="s">
        <v>1068</v>
      </c>
      <c r="U49" s="293" t="s">
        <v>1</v>
      </c>
      <c r="V49" s="293">
        <v>2030</v>
      </c>
      <c r="W49" s="230" t="s">
        <v>3</v>
      </c>
      <c r="X49" s="391" t="s">
        <v>1313</v>
      </c>
      <c r="Y49" s="554" t="s">
        <v>1320</v>
      </c>
      <c r="Z49" s="555" t="s">
        <v>1320</v>
      </c>
      <c r="AA49" s="555" t="s">
        <v>1320</v>
      </c>
      <c r="AB49" s="555" t="s">
        <v>1320</v>
      </c>
      <c r="AC49" s="555" t="s">
        <v>1320</v>
      </c>
      <c r="AD49" s="555" t="s">
        <v>1320</v>
      </c>
      <c r="AE49" s="556" t="s">
        <v>1320</v>
      </c>
      <c r="AF49" s="554" t="s">
        <v>1320</v>
      </c>
      <c r="AG49" s="555" t="s">
        <v>1320</v>
      </c>
      <c r="AH49" s="555" t="s">
        <v>1320</v>
      </c>
      <c r="AI49" s="555" t="s">
        <v>1320</v>
      </c>
      <c r="AJ49" s="555" t="s">
        <v>1320</v>
      </c>
      <c r="AK49" s="555" t="s">
        <v>1320</v>
      </c>
      <c r="AL49" s="556" t="s">
        <v>1320</v>
      </c>
    </row>
    <row r="50" spans="1:38" s="587" customFormat="1" ht="150.44999999999999" customHeight="1">
      <c r="A50" s="31" t="s">
        <v>561</v>
      </c>
      <c r="B50" s="92" t="s">
        <v>180</v>
      </c>
      <c r="C50" s="50" t="s">
        <v>1076</v>
      </c>
      <c r="D50" s="554" t="s">
        <v>1320</v>
      </c>
      <c r="E50" s="555" t="s">
        <v>1320</v>
      </c>
      <c r="F50" s="555" t="s">
        <v>1320</v>
      </c>
      <c r="G50" s="555" t="s">
        <v>1320</v>
      </c>
      <c r="H50" s="555" t="s">
        <v>1320</v>
      </c>
      <c r="I50" s="555" t="s">
        <v>1320</v>
      </c>
      <c r="J50" s="556" t="s">
        <v>1320</v>
      </c>
      <c r="K50" s="303">
        <v>42676</v>
      </c>
      <c r="L50" s="230" t="s">
        <v>186</v>
      </c>
      <c r="M50" s="230" t="s">
        <v>7</v>
      </c>
      <c r="N50" s="230">
        <v>2000</v>
      </c>
      <c r="O50" s="230">
        <v>2025</v>
      </c>
      <c r="P50" s="230" t="s">
        <v>3</v>
      </c>
      <c r="Q50" s="391" t="s">
        <v>147</v>
      </c>
      <c r="R50" s="489">
        <v>44748</v>
      </c>
      <c r="S50" s="230" t="s">
        <v>873</v>
      </c>
      <c r="T50" s="456" t="s">
        <v>1940</v>
      </c>
      <c r="U50" s="230" t="s">
        <v>424</v>
      </c>
      <c r="V50" s="456">
        <v>2030</v>
      </c>
      <c r="W50" s="230" t="s">
        <v>3</v>
      </c>
      <c r="X50" s="475" t="s">
        <v>1944</v>
      </c>
      <c r="Y50" s="554" t="s">
        <v>1320</v>
      </c>
      <c r="Z50" s="555" t="s">
        <v>1320</v>
      </c>
      <c r="AA50" s="555" t="s">
        <v>1320</v>
      </c>
      <c r="AB50" s="555" t="s">
        <v>1320</v>
      </c>
      <c r="AC50" s="555" t="s">
        <v>1320</v>
      </c>
      <c r="AD50" s="555" t="s">
        <v>1320</v>
      </c>
      <c r="AE50" s="556" t="s">
        <v>1320</v>
      </c>
      <c r="AF50" s="554" t="s">
        <v>1320</v>
      </c>
      <c r="AG50" s="555" t="s">
        <v>1320</v>
      </c>
      <c r="AH50" s="555" t="s">
        <v>1320</v>
      </c>
      <c r="AI50" s="555" t="s">
        <v>1320</v>
      </c>
      <c r="AJ50" s="555" t="s">
        <v>1320</v>
      </c>
      <c r="AK50" s="555" t="s">
        <v>1320</v>
      </c>
      <c r="AL50" s="556" t="s">
        <v>1320</v>
      </c>
    </row>
    <row r="51" spans="1:38" s="525" customFormat="1" ht="150.44999999999999" customHeight="1">
      <c r="A51" s="31" t="s">
        <v>562</v>
      </c>
      <c r="B51" s="92" t="s">
        <v>180</v>
      </c>
      <c r="C51" s="50" t="s">
        <v>1189</v>
      </c>
      <c r="D51" s="554" t="s">
        <v>1320</v>
      </c>
      <c r="E51" s="555" t="s">
        <v>1320</v>
      </c>
      <c r="F51" s="555" t="s">
        <v>1320</v>
      </c>
      <c r="G51" s="555" t="s">
        <v>1320</v>
      </c>
      <c r="H51" s="555" t="s">
        <v>1320</v>
      </c>
      <c r="I51" s="555" t="s">
        <v>1320</v>
      </c>
      <c r="J51" s="556" t="s">
        <v>1320</v>
      </c>
      <c r="K51" s="303">
        <v>42681</v>
      </c>
      <c r="L51" s="230" t="s">
        <v>186</v>
      </c>
      <c r="M51" s="230" t="s">
        <v>1130</v>
      </c>
      <c r="N51" s="230">
        <v>2010</v>
      </c>
      <c r="O51" s="230" t="s">
        <v>6</v>
      </c>
      <c r="P51" s="230" t="s">
        <v>3</v>
      </c>
      <c r="Q51" s="391" t="s">
        <v>1618</v>
      </c>
      <c r="R51" s="489">
        <v>44451</v>
      </c>
      <c r="S51" s="456" t="s">
        <v>1619</v>
      </c>
      <c r="T51" s="515">
        <v>0.497</v>
      </c>
      <c r="U51" s="456" t="s">
        <v>1620</v>
      </c>
      <c r="V51" s="230">
        <v>2030</v>
      </c>
      <c r="W51" s="230" t="s">
        <v>3</v>
      </c>
      <c r="X51" s="475" t="s">
        <v>1621</v>
      </c>
      <c r="Y51" s="554" t="s">
        <v>1320</v>
      </c>
      <c r="Z51" s="555" t="s">
        <v>1320</v>
      </c>
      <c r="AA51" s="555" t="s">
        <v>1320</v>
      </c>
      <c r="AB51" s="555" t="s">
        <v>1320</v>
      </c>
      <c r="AC51" s="555" t="s">
        <v>1320</v>
      </c>
      <c r="AD51" s="555" t="s">
        <v>1320</v>
      </c>
      <c r="AE51" s="556" t="s">
        <v>1320</v>
      </c>
      <c r="AF51" s="554" t="s">
        <v>1320</v>
      </c>
      <c r="AG51" s="555" t="s">
        <v>1320</v>
      </c>
      <c r="AH51" s="555" t="s">
        <v>1320</v>
      </c>
      <c r="AI51" s="555" t="s">
        <v>1320</v>
      </c>
      <c r="AJ51" s="555" t="s">
        <v>1320</v>
      </c>
      <c r="AK51" s="555" t="s">
        <v>1320</v>
      </c>
      <c r="AL51" s="556" t="s">
        <v>1320</v>
      </c>
    </row>
    <row r="52" spans="1:38" s="501" customFormat="1" ht="150.44999999999999" customHeight="1">
      <c r="A52" s="31" t="s">
        <v>563</v>
      </c>
      <c r="B52" s="93" t="s">
        <v>183</v>
      </c>
      <c r="C52" s="50" t="s">
        <v>1076</v>
      </c>
      <c r="D52" s="554" t="s">
        <v>1320</v>
      </c>
      <c r="E52" s="555" t="s">
        <v>1320</v>
      </c>
      <c r="F52" s="555" t="s">
        <v>1320</v>
      </c>
      <c r="G52" s="555" t="s">
        <v>1320</v>
      </c>
      <c r="H52" s="555" t="s">
        <v>1320</v>
      </c>
      <c r="I52" s="555" t="s">
        <v>1320</v>
      </c>
      <c r="J52" s="556" t="s">
        <v>1320</v>
      </c>
      <c r="K52" s="120">
        <v>42863</v>
      </c>
      <c r="L52" s="230" t="s">
        <v>185</v>
      </c>
      <c r="M52" s="230" t="s">
        <v>1029</v>
      </c>
      <c r="N52" s="230" t="s">
        <v>1</v>
      </c>
      <c r="O52" s="230">
        <v>2030</v>
      </c>
      <c r="P52" s="230" t="s">
        <v>3</v>
      </c>
      <c r="Q52" s="460" t="s">
        <v>1389</v>
      </c>
      <c r="R52" s="489">
        <v>44321</v>
      </c>
      <c r="S52" s="54" t="s">
        <v>186</v>
      </c>
      <c r="T52" s="456" t="s">
        <v>1390</v>
      </c>
      <c r="U52" s="456">
        <v>1990</v>
      </c>
      <c r="V52" s="230">
        <v>2030</v>
      </c>
      <c r="W52" s="230" t="s">
        <v>3</v>
      </c>
      <c r="X52" s="495" t="s">
        <v>1391</v>
      </c>
      <c r="Y52" s="554" t="s">
        <v>1320</v>
      </c>
      <c r="Z52" s="555" t="s">
        <v>1320</v>
      </c>
      <c r="AA52" s="555" t="s">
        <v>1320</v>
      </c>
      <c r="AB52" s="555" t="s">
        <v>1320</v>
      </c>
      <c r="AC52" s="555" t="s">
        <v>1320</v>
      </c>
      <c r="AD52" s="555" t="s">
        <v>1320</v>
      </c>
      <c r="AE52" s="556" t="s">
        <v>1320</v>
      </c>
      <c r="AF52" s="554" t="s">
        <v>1320</v>
      </c>
      <c r="AG52" s="555" t="s">
        <v>1320</v>
      </c>
      <c r="AH52" s="555" t="s">
        <v>1320</v>
      </c>
      <c r="AI52" s="555" t="s">
        <v>1320</v>
      </c>
      <c r="AJ52" s="555" t="s">
        <v>1320</v>
      </c>
      <c r="AK52" s="555" t="s">
        <v>1320</v>
      </c>
      <c r="AL52" s="556" t="s">
        <v>1320</v>
      </c>
    </row>
    <row r="53" spans="1:38" s="539" customFormat="1" ht="150.44999999999999" customHeight="1">
      <c r="A53" s="31" t="s">
        <v>564</v>
      </c>
      <c r="B53" s="92" t="s">
        <v>180</v>
      </c>
      <c r="C53" s="50" t="s">
        <v>1076</v>
      </c>
      <c r="D53" s="554" t="s">
        <v>1320</v>
      </c>
      <c r="E53" s="555" t="s">
        <v>1320</v>
      </c>
      <c r="F53" s="555" t="s">
        <v>1320</v>
      </c>
      <c r="G53" s="555" t="s">
        <v>1320</v>
      </c>
      <c r="H53" s="555" t="s">
        <v>1320</v>
      </c>
      <c r="I53" s="555" t="s">
        <v>1320</v>
      </c>
      <c r="J53" s="556" t="s">
        <v>1320</v>
      </c>
      <c r="K53" s="303">
        <v>42634</v>
      </c>
      <c r="L53" s="230" t="s">
        <v>185</v>
      </c>
      <c r="M53" s="230" t="s">
        <v>1030</v>
      </c>
      <c r="N53" s="569" t="s">
        <v>1</v>
      </c>
      <c r="O53" s="230">
        <v>2030</v>
      </c>
      <c r="P53" s="230" t="s">
        <v>3</v>
      </c>
      <c r="Q53" s="391" t="s">
        <v>312</v>
      </c>
      <c r="R53" s="489">
        <v>44504</v>
      </c>
      <c r="S53" s="456" t="s">
        <v>873</v>
      </c>
      <c r="T53" s="456" t="s">
        <v>1809</v>
      </c>
      <c r="U53" s="570">
        <v>2019</v>
      </c>
      <c r="V53" s="230">
        <v>2030</v>
      </c>
      <c r="W53" s="230" t="s">
        <v>3</v>
      </c>
      <c r="X53" s="475" t="s">
        <v>1808</v>
      </c>
      <c r="Y53" s="554" t="s">
        <v>1320</v>
      </c>
      <c r="Z53" s="555" t="s">
        <v>1320</v>
      </c>
      <c r="AA53" s="555" t="s">
        <v>1320</v>
      </c>
      <c r="AB53" s="555" t="s">
        <v>1320</v>
      </c>
      <c r="AC53" s="555" t="s">
        <v>1320</v>
      </c>
      <c r="AD53" s="555" t="s">
        <v>1320</v>
      </c>
      <c r="AE53" s="556" t="s">
        <v>1320</v>
      </c>
      <c r="AF53" s="554" t="s">
        <v>1320</v>
      </c>
      <c r="AG53" s="555" t="s">
        <v>1320</v>
      </c>
      <c r="AH53" s="555" t="s">
        <v>1320</v>
      </c>
      <c r="AI53" s="555" t="s">
        <v>1320</v>
      </c>
      <c r="AJ53" s="555" t="s">
        <v>1320</v>
      </c>
      <c r="AK53" s="555" t="s">
        <v>1320</v>
      </c>
      <c r="AL53" s="556" t="s">
        <v>1320</v>
      </c>
    </row>
    <row r="54" spans="1:38" s="450" customFormat="1" ht="52.5" customHeight="1">
      <c r="A54" s="31" t="s">
        <v>1154</v>
      </c>
      <c r="B54" s="95" t="s">
        <v>181</v>
      </c>
      <c r="C54" s="50" t="s">
        <v>1189</v>
      </c>
      <c r="D54" s="554" t="s">
        <v>1320</v>
      </c>
      <c r="E54" s="555" t="s">
        <v>1320</v>
      </c>
      <c r="F54" s="555" t="s">
        <v>1320</v>
      </c>
      <c r="G54" s="555" t="s">
        <v>1320</v>
      </c>
      <c r="H54" s="555" t="s">
        <v>1320</v>
      </c>
      <c r="I54" s="555" t="s">
        <v>1320</v>
      </c>
      <c r="J54" s="556" t="s">
        <v>1320</v>
      </c>
      <c r="K54" s="303">
        <v>42482</v>
      </c>
      <c r="L54" s="293" t="s">
        <v>186</v>
      </c>
      <c r="M54" s="293" t="s">
        <v>1131</v>
      </c>
      <c r="N54" s="293">
        <v>2010</v>
      </c>
      <c r="O54" s="293">
        <v>2025</v>
      </c>
      <c r="P54" s="230" t="s">
        <v>3</v>
      </c>
      <c r="Q54" s="391" t="s">
        <v>1156</v>
      </c>
      <c r="R54" s="489">
        <v>44166</v>
      </c>
      <c r="S54" s="293" t="s">
        <v>186</v>
      </c>
      <c r="T54" s="55">
        <v>0.4</v>
      </c>
      <c r="U54" s="293">
        <v>2010</v>
      </c>
      <c r="V54" s="293">
        <v>2030</v>
      </c>
      <c r="W54" s="230" t="s">
        <v>3</v>
      </c>
      <c r="X54" s="56" t="s">
        <v>1160</v>
      </c>
      <c r="Y54" s="554" t="s">
        <v>1320</v>
      </c>
      <c r="Z54" s="555" t="s">
        <v>1320</v>
      </c>
      <c r="AA54" s="555" t="s">
        <v>1320</v>
      </c>
      <c r="AB54" s="555" t="s">
        <v>1320</v>
      </c>
      <c r="AC54" s="555" t="s">
        <v>1320</v>
      </c>
      <c r="AD54" s="555" t="s">
        <v>1320</v>
      </c>
      <c r="AE54" s="556" t="s">
        <v>1320</v>
      </c>
      <c r="AF54" s="554" t="s">
        <v>1320</v>
      </c>
      <c r="AG54" s="555" t="s">
        <v>1320</v>
      </c>
      <c r="AH54" s="555" t="s">
        <v>1320</v>
      </c>
      <c r="AI54" s="555" t="s">
        <v>1320</v>
      </c>
      <c r="AJ54" s="555" t="s">
        <v>1320</v>
      </c>
      <c r="AK54" s="555" t="s">
        <v>1320</v>
      </c>
      <c r="AL54" s="556" t="s">
        <v>1320</v>
      </c>
    </row>
    <row r="55" spans="1:38" s="581" customFormat="1" ht="132.44999999999999" customHeight="1">
      <c r="A55" s="32" t="s">
        <v>566</v>
      </c>
      <c r="B55" s="95" t="s">
        <v>181</v>
      </c>
      <c r="C55" s="50" t="s">
        <v>860</v>
      </c>
      <c r="D55" s="554" t="s">
        <v>1320</v>
      </c>
      <c r="E55" s="555" t="s">
        <v>1320</v>
      </c>
      <c r="F55" s="555" t="s">
        <v>1320</v>
      </c>
      <c r="G55" s="555" t="s">
        <v>1320</v>
      </c>
      <c r="H55" s="555" t="s">
        <v>1320</v>
      </c>
      <c r="I55" s="555" t="s">
        <v>1320</v>
      </c>
      <c r="J55" s="556" t="s">
        <v>1320</v>
      </c>
      <c r="K55" s="120">
        <v>42760</v>
      </c>
      <c r="L55" s="293" t="s">
        <v>1900</v>
      </c>
      <c r="M55" s="293" t="s">
        <v>1031</v>
      </c>
      <c r="N55" s="307" t="s">
        <v>1896</v>
      </c>
      <c r="O55" s="293">
        <v>2030</v>
      </c>
      <c r="P55" s="230" t="s">
        <v>3</v>
      </c>
      <c r="Q55" s="24" t="s">
        <v>286</v>
      </c>
      <c r="R55" s="551">
        <v>44704</v>
      </c>
      <c r="S55" s="293" t="s">
        <v>717</v>
      </c>
      <c r="T55" s="293" t="s">
        <v>1031</v>
      </c>
      <c r="U55" s="307" t="s">
        <v>1896</v>
      </c>
      <c r="V55" s="293">
        <v>2030</v>
      </c>
      <c r="W55" s="230" t="s">
        <v>3</v>
      </c>
      <c r="X55" s="24" t="s">
        <v>1912</v>
      </c>
      <c r="Y55" s="554" t="s">
        <v>1320</v>
      </c>
      <c r="Z55" s="555" t="s">
        <v>1320</v>
      </c>
      <c r="AA55" s="555" t="s">
        <v>1320</v>
      </c>
      <c r="AB55" s="555" t="s">
        <v>1320</v>
      </c>
      <c r="AC55" s="555" t="s">
        <v>1320</v>
      </c>
      <c r="AD55" s="555" t="s">
        <v>1320</v>
      </c>
      <c r="AE55" s="556" t="s">
        <v>1320</v>
      </c>
      <c r="AF55" s="554" t="s">
        <v>1320</v>
      </c>
      <c r="AG55" s="555" t="s">
        <v>1320</v>
      </c>
      <c r="AH55" s="555" t="s">
        <v>1320</v>
      </c>
      <c r="AI55" s="555" t="s">
        <v>1320</v>
      </c>
      <c r="AJ55" s="555" t="s">
        <v>1320</v>
      </c>
      <c r="AK55" s="555" t="s">
        <v>1320</v>
      </c>
      <c r="AL55" s="556" t="s">
        <v>1320</v>
      </c>
    </row>
    <row r="56" spans="1:38" s="511" customFormat="1" ht="132.44999999999999" customHeight="1">
      <c r="A56" s="31" t="s">
        <v>567</v>
      </c>
      <c r="B56" s="92" t="s">
        <v>180</v>
      </c>
      <c r="C56" s="50" t="s">
        <v>1076</v>
      </c>
      <c r="D56" s="554" t="s">
        <v>1320</v>
      </c>
      <c r="E56" s="555" t="s">
        <v>1320</v>
      </c>
      <c r="F56" s="555" t="s">
        <v>1320</v>
      </c>
      <c r="G56" s="555" t="s">
        <v>1320</v>
      </c>
      <c r="H56" s="555" t="s">
        <v>1320</v>
      </c>
      <c r="I56" s="555" t="s">
        <v>1320</v>
      </c>
      <c r="J56" s="556" t="s">
        <v>1320</v>
      </c>
      <c r="K56" s="303">
        <v>42634</v>
      </c>
      <c r="L56" s="230" t="s">
        <v>186</v>
      </c>
      <c r="M56" s="319" t="s">
        <v>1132</v>
      </c>
      <c r="N56" s="230">
        <v>1994</v>
      </c>
      <c r="O56" s="230">
        <v>2030</v>
      </c>
      <c r="P56" s="230" t="s">
        <v>3</v>
      </c>
      <c r="Q56" s="391" t="s">
        <v>1459</v>
      </c>
      <c r="R56" s="489">
        <v>44405</v>
      </c>
      <c r="S56" s="456" t="s">
        <v>717</v>
      </c>
      <c r="T56" s="474" t="s">
        <v>1461</v>
      </c>
      <c r="U56" s="456">
        <v>2020</v>
      </c>
      <c r="V56" s="230">
        <v>2030</v>
      </c>
      <c r="W56" s="230" t="s">
        <v>3</v>
      </c>
      <c r="X56" s="475" t="s">
        <v>1462</v>
      </c>
      <c r="Y56" s="554" t="s">
        <v>1320</v>
      </c>
      <c r="Z56" s="555" t="s">
        <v>1320</v>
      </c>
      <c r="AA56" s="555" t="s">
        <v>1320</v>
      </c>
      <c r="AB56" s="555" t="s">
        <v>1320</v>
      </c>
      <c r="AC56" s="555" t="s">
        <v>1320</v>
      </c>
      <c r="AD56" s="555" t="s">
        <v>1320</v>
      </c>
      <c r="AE56" s="556" t="s">
        <v>1320</v>
      </c>
      <c r="AF56" s="554" t="s">
        <v>1320</v>
      </c>
      <c r="AG56" s="555" t="s">
        <v>1320</v>
      </c>
      <c r="AH56" s="555" t="s">
        <v>1320</v>
      </c>
      <c r="AI56" s="555" t="s">
        <v>1320</v>
      </c>
      <c r="AJ56" s="555" t="s">
        <v>1320</v>
      </c>
      <c r="AK56" s="555" t="s">
        <v>1320</v>
      </c>
      <c r="AL56" s="556" t="s">
        <v>1320</v>
      </c>
    </row>
    <row r="57" spans="1:38" s="526" customFormat="1" ht="132.44999999999999" customHeight="1">
      <c r="A57" s="31" t="s">
        <v>673</v>
      </c>
      <c r="B57" s="92" t="s">
        <v>180</v>
      </c>
      <c r="C57" s="50" t="s">
        <v>1076</v>
      </c>
      <c r="D57" s="554" t="s">
        <v>1320</v>
      </c>
      <c r="E57" s="555" t="s">
        <v>1320</v>
      </c>
      <c r="F57" s="555" t="s">
        <v>1320</v>
      </c>
      <c r="G57" s="555" t="s">
        <v>1320</v>
      </c>
      <c r="H57" s="555" t="s">
        <v>1320</v>
      </c>
      <c r="I57" s="555" t="s">
        <v>1320</v>
      </c>
      <c r="J57" s="556" t="s">
        <v>1320</v>
      </c>
      <c r="K57" s="303">
        <v>43395</v>
      </c>
      <c r="L57" s="230" t="s">
        <v>189</v>
      </c>
      <c r="M57" s="230" t="s">
        <v>3</v>
      </c>
      <c r="N57" s="230" t="s">
        <v>3</v>
      </c>
      <c r="O57" s="230" t="s">
        <v>3</v>
      </c>
      <c r="P57" s="230" t="s">
        <v>3</v>
      </c>
      <c r="Q57" s="391" t="s">
        <v>194</v>
      </c>
      <c r="R57" s="489">
        <v>44481</v>
      </c>
      <c r="S57" s="533" t="s">
        <v>717</v>
      </c>
      <c r="T57" s="533" t="s">
        <v>1701</v>
      </c>
      <c r="U57" s="533" t="s">
        <v>727</v>
      </c>
      <c r="V57" s="533">
        <v>2030</v>
      </c>
      <c r="W57" s="230" t="s">
        <v>3</v>
      </c>
      <c r="X57" s="320" t="s">
        <v>1702</v>
      </c>
      <c r="Y57" s="554" t="s">
        <v>1320</v>
      </c>
      <c r="Z57" s="555" t="s">
        <v>1320</v>
      </c>
      <c r="AA57" s="555" t="s">
        <v>1320</v>
      </c>
      <c r="AB57" s="555" t="s">
        <v>1320</v>
      </c>
      <c r="AC57" s="555" t="s">
        <v>1320</v>
      </c>
      <c r="AD57" s="555" t="s">
        <v>1320</v>
      </c>
      <c r="AE57" s="556" t="s">
        <v>1320</v>
      </c>
      <c r="AF57" s="554" t="s">
        <v>1320</v>
      </c>
      <c r="AG57" s="555" t="s">
        <v>1320</v>
      </c>
      <c r="AH57" s="555" t="s">
        <v>1320</v>
      </c>
      <c r="AI57" s="555" t="s">
        <v>1320</v>
      </c>
      <c r="AJ57" s="555" t="s">
        <v>1320</v>
      </c>
      <c r="AK57" s="555" t="s">
        <v>1320</v>
      </c>
      <c r="AL57" s="556" t="s">
        <v>1320</v>
      </c>
    </row>
    <row r="58" spans="1:38" s="583" customFormat="1" ht="132.44999999999999" customHeight="1">
      <c r="A58" s="32" t="s">
        <v>569</v>
      </c>
      <c r="B58" s="95" t="s">
        <v>181</v>
      </c>
      <c r="C58" s="50" t="s">
        <v>1076</v>
      </c>
      <c r="D58" s="554" t="s">
        <v>1320</v>
      </c>
      <c r="E58" s="555" t="s">
        <v>1320</v>
      </c>
      <c r="F58" s="555" t="s">
        <v>1320</v>
      </c>
      <c r="G58" s="555" t="s">
        <v>1320</v>
      </c>
      <c r="H58" s="555" t="s">
        <v>1320</v>
      </c>
      <c r="I58" s="555" t="s">
        <v>1320</v>
      </c>
      <c r="J58" s="556" t="s">
        <v>1320</v>
      </c>
      <c r="K58" s="120">
        <v>42947</v>
      </c>
      <c r="L58" s="293" t="s">
        <v>185</v>
      </c>
      <c r="M58" s="293" t="s">
        <v>1722</v>
      </c>
      <c r="N58" s="307" t="s">
        <v>1</v>
      </c>
      <c r="O58" s="307">
        <v>2030</v>
      </c>
      <c r="P58" s="230" t="s">
        <v>3</v>
      </c>
      <c r="Q58" s="391" t="s">
        <v>1913</v>
      </c>
      <c r="R58" s="489">
        <v>44713</v>
      </c>
      <c r="S58" s="293" t="s">
        <v>185</v>
      </c>
      <c r="T58" s="54" t="s">
        <v>1914</v>
      </c>
      <c r="U58" s="307" t="s">
        <v>1</v>
      </c>
      <c r="V58" s="307">
        <v>2030</v>
      </c>
      <c r="W58" s="230" t="s">
        <v>3</v>
      </c>
      <c r="X58" s="473" t="s">
        <v>1915</v>
      </c>
      <c r="Y58" s="554" t="s">
        <v>1320</v>
      </c>
      <c r="Z58" s="555" t="s">
        <v>1320</v>
      </c>
      <c r="AA58" s="555" t="s">
        <v>1320</v>
      </c>
      <c r="AB58" s="555" t="s">
        <v>1320</v>
      </c>
      <c r="AC58" s="555" t="s">
        <v>1320</v>
      </c>
      <c r="AD58" s="555" t="s">
        <v>1320</v>
      </c>
      <c r="AE58" s="556" t="s">
        <v>1320</v>
      </c>
      <c r="AF58" s="554" t="s">
        <v>1320</v>
      </c>
      <c r="AG58" s="555" t="s">
        <v>1320</v>
      </c>
      <c r="AH58" s="555" t="s">
        <v>1320</v>
      </c>
      <c r="AI58" s="555" t="s">
        <v>1320</v>
      </c>
      <c r="AJ58" s="555" t="s">
        <v>1320</v>
      </c>
      <c r="AK58" s="555" t="s">
        <v>1320</v>
      </c>
      <c r="AL58" s="556" t="s">
        <v>1320</v>
      </c>
    </row>
    <row r="59" spans="1:38" s="505" customFormat="1" ht="103.05" customHeight="1">
      <c r="A59" s="32" t="s">
        <v>570</v>
      </c>
      <c r="B59" s="95" t="s">
        <v>181</v>
      </c>
      <c r="C59" s="50" t="s">
        <v>1076</v>
      </c>
      <c r="D59" s="554" t="s">
        <v>1320</v>
      </c>
      <c r="E59" s="555" t="s">
        <v>1320</v>
      </c>
      <c r="F59" s="555" t="s">
        <v>1320</v>
      </c>
      <c r="G59" s="555" t="s">
        <v>1320</v>
      </c>
      <c r="H59" s="555" t="s">
        <v>1320</v>
      </c>
      <c r="I59" s="555" t="s">
        <v>1320</v>
      </c>
      <c r="J59" s="556" t="s">
        <v>1320</v>
      </c>
      <c r="K59" s="303">
        <v>42634</v>
      </c>
      <c r="L59" s="293" t="s">
        <v>185</v>
      </c>
      <c r="M59" s="318">
        <v>0.15</v>
      </c>
      <c r="N59" s="293" t="s">
        <v>1</v>
      </c>
      <c r="O59" s="293">
        <v>2030</v>
      </c>
      <c r="P59" s="230" t="s">
        <v>3</v>
      </c>
      <c r="Q59" s="24" t="s">
        <v>284</v>
      </c>
      <c r="R59" s="551">
        <v>44335</v>
      </c>
      <c r="S59" s="293" t="s">
        <v>185</v>
      </c>
      <c r="T59" s="55" t="s">
        <v>1405</v>
      </c>
      <c r="U59" s="293" t="s">
        <v>1</v>
      </c>
      <c r="V59" s="293">
        <v>2030</v>
      </c>
      <c r="W59" s="230" t="s">
        <v>3</v>
      </c>
      <c r="X59" s="24" t="s">
        <v>1407</v>
      </c>
      <c r="Y59" s="554" t="s">
        <v>1320</v>
      </c>
      <c r="Z59" s="555" t="s">
        <v>1320</v>
      </c>
      <c r="AA59" s="555" t="s">
        <v>1320</v>
      </c>
      <c r="AB59" s="555" t="s">
        <v>1320</v>
      </c>
      <c r="AC59" s="555" t="s">
        <v>1320</v>
      </c>
      <c r="AD59" s="555" t="s">
        <v>1320</v>
      </c>
      <c r="AE59" s="556" t="s">
        <v>1320</v>
      </c>
      <c r="AF59" s="554" t="s">
        <v>1320</v>
      </c>
      <c r="AG59" s="555" t="s">
        <v>1320</v>
      </c>
      <c r="AH59" s="555" t="s">
        <v>1320</v>
      </c>
      <c r="AI59" s="555" t="s">
        <v>1320</v>
      </c>
      <c r="AJ59" s="555" t="s">
        <v>1320</v>
      </c>
      <c r="AK59" s="555" t="s">
        <v>1320</v>
      </c>
      <c r="AL59" s="556" t="s">
        <v>1320</v>
      </c>
    </row>
    <row r="60" spans="1:38" s="488" customFormat="1" ht="76.5" customHeight="1">
      <c r="A60" s="32" t="s">
        <v>571</v>
      </c>
      <c r="B60" s="557" t="s">
        <v>76</v>
      </c>
      <c r="C60" s="124" t="s">
        <v>1076</v>
      </c>
      <c r="D60" s="554" t="s">
        <v>1320</v>
      </c>
      <c r="E60" s="555" t="s">
        <v>1320</v>
      </c>
      <c r="F60" s="555" t="s">
        <v>1320</v>
      </c>
      <c r="G60" s="555" t="s">
        <v>1320</v>
      </c>
      <c r="H60" s="555" t="s">
        <v>1320</v>
      </c>
      <c r="I60" s="555" t="s">
        <v>1320</v>
      </c>
      <c r="J60" s="556" t="s">
        <v>1320</v>
      </c>
      <c r="K60" s="479">
        <v>42634</v>
      </c>
      <c r="L60" s="293" t="s">
        <v>186</v>
      </c>
      <c r="M60" s="318">
        <v>0.4</v>
      </c>
      <c r="N60" s="293">
        <v>1990</v>
      </c>
      <c r="O60" s="293">
        <v>2030</v>
      </c>
      <c r="P60" s="230" t="s">
        <v>3</v>
      </c>
      <c r="Q60" s="24" t="s">
        <v>1326</v>
      </c>
      <c r="R60" s="551">
        <v>44245</v>
      </c>
      <c r="S60" s="293" t="s">
        <v>186</v>
      </c>
      <c r="T60" s="55">
        <v>0.55000000000000004</v>
      </c>
      <c r="U60" s="293">
        <v>1990</v>
      </c>
      <c r="V60" s="293">
        <v>2030</v>
      </c>
      <c r="W60" s="230" t="s">
        <v>3</v>
      </c>
      <c r="X60" s="473" t="s">
        <v>1322</v>
      </c>
      <c r="Y60" s="554" t="s">
        <v>1320</v>
      </c>
      <c r="Z60" s="555" t="s">
        <v>1320</v>
      </c>
      <c r="AA60" s="555" t="s">
        <v>1320</v>
      </c>
      <c r="AB60" s="555" t="s">
        <v>1320</v>
      </c>
      <c r="AC60" s="555" t="s">
        <v>1320</v>
      </c>
      <c r="AD60" s="555" t="s">
        <v>1320</v>
      </c>
      <c r="AE60" s="556" t="s">
        <v>1320</v>
      </c>
      <c r="AF60" s="554" t="s">
        <v>1320</v>
      </c>
      <c r="AG60" s="555" t="s">
        <v>1320</v>
      </c>
      <c r="AH60" s="555" t="s">
        <v>1320</v>
      </c>
      <c r="AI60" s="555" t="s">
        <v>1320</v>
      </c>
      <c r="AJ60" s="555" t="s">
        <v>1320</v>
      </c>
      <c r="AK60" s="555" t="s">
        <v>1320</v>
      </c>
      <c r="AL60" s="556" t="s">
        <v>1320</v>
      </c>
    </row>
    <row r="61" spans="1:38" s="589" customFormat="1" ht="76.5" customHeight="1">
      <c r="A61" s="31" t="s">
        <v>572</v>
      </c>
      <c r="B61" s="90" t="s">
        <v>23</v>
      </c>
      <c r="C61" s="124" t="s">
        <v>1076</v>
      </c>
      <c r="D61" s="554" t="s">
        <v>1320</v>
      </c>
      <c r="E61" s="555" t="s">
        <v>1320</v>
      </c>
      <c r="F61" s="555" t="s">
        <v>1320</v>
      </c>
      <c r="G61" s="555" t="s">
        <v>1320</v>
      </c>
      <c r="H61" s="555" t="s">
        <v>1320</v>
      </c>
      <c r="I61" s="555" t="s">
        <v>1320</v>
      </c>
      <c r="J61" s="556" t="s">
        <v>1320</v>
      </c>
      <c r="K61" s="302">
        <v>42645</v>
      </c>
      <c r="L61" s="230" t="s">
        <v>187</v>
      </c>
      <c r="M61" s="230" t="s">
        <v>1069</v>
      </c>
      <c r="N61" s="230">
        <v>2005</v>
      </c>
      <c r="O61" s="230">
        <v>2030</v>
      </c>
      <c r="P61" s="230" t="s">
        <v>3</v>
      </c>
      <c r="Q61" s="460" t="s">
        <v>1090</v>
      </c>
      <c r="R61" s="489">
        <v>44799</v>
      </c>
      <c r="S61" s="230" t="s">
        <v>187</v>
      </c>
      <c r="T61" s="474">
        <v>0.45</v>
      </c>
      <c r="U61" s="230">
        <v>2005</v>
      </c>
      <c r="V61" s="230">
        <v>2030</v>
      </c>
      <c r="W61" s="230" t="s">
        <v>3</v>
      </c>
      <c r="X61" s="495" t="s">
        <v>1967</v>
      </c>
      <c r="Y61" s="554" t="s">
        <v>1320</v>
      </c>
      <c r="Z61" s="555" t="s">
        <v>1320</v>
      </c>
      <c r="AA61" s="555" t="s">
        <v>1320</v>
      </c>
      <c r="AB61" s="555" t="s">
        <v>1320</v>
      </c>
      <c r="AC61" s="555" t="s">
        <v>1320</v>
      </c>
      <c r="AD61" s="555" t="s">
        <v>1320</v>
      </c>
      <c r="AE61" s="556" t="s">
        <v>1320</v>
      </c>
      <c r="AF61" s="554" t="s">
        <v>1320</v>
      </c>
      <c r="AG61" s="555" t="s">
        <v>1320</v>
      </c>
      <c r="AH61" s="555" t="s">
        <v>1320</v>
      </c>
      <c r="AI61" s="555" t="s">
        <v>1320</v>
      </c>
      <c r="AJ61" s="555" t="s">
        <v>1320</v>
      </c>
      <c r="AK61" s="555" t="s">
        <v>1320</v>
      </c>
      <c r="AL61" s="556" t="s">
        <v>1320</v>
      </c>
    </row>
    <row r="62" spans="1:38" s="509" customFormat="1" ht="116.55" customHeight="1">
      <c r="A62" s="32" t="s">
        <v>1436</v>
      </c>
      <c r="B62" s="561" t="s">
        <v>23</v>
      </c>
      <c r="C62" s="124" t="s">
        <v>1437</v>
      </c>
      <c r="D62" s="554" t="s">
        <v>1320</v>
      </c>
      <c r="E62" s="555" t="s">
        <v>1320</v>
      </c>
      <c r="F62" s="555" t="s">
        <v>1320</v>
      </c>
      <c r="G62" s="555" t="s">
        <v>1320</v>
      </c>
      <c r="H62" s="555" t="s">
        <v>1320</v>
      </c>
      <c r="I62" s="555" t="s">
        <v>1320</v>
      </c>
      <c r="J62" s="556" t="s">
        <v>1320</v>
      </c>
      <c r="K62" s="303">
        <v>42680</v>
      </c>
      <c r="L62" s="230" t="s">
        <v>185</v>
      </c>
      <c r="M62" s="230" t="s">
        <v>1032</v>
      </c>
      <c r="N62" s="230" t="s">
        <v>1</v>
      </c>
      <c r="O62" s="230">
        <v>2030</v>
      </c>
      <c r="P62" s="230" t="s">
        <v>3</v>
      </c>
      <c r="Q62" s="460" t="s">
        <v>1133</v>
      </c>
      <c r="R62" s="489">
        <v>44399</v>
      </c>
      <c r="S62" s="230" t="s">
        <v>185</v>
      </c>
      <c r="T62" s="230" t="s">
        <v>1032</v>
      </c>
      <c r="U62" s="230" t="s">
        <v>1</v>
      </c>
      <c r="V62" s="230">
        <v>2030</v>
      </c>
      <c r="W62" s="230" t="s">
        <v>3</v>
      </c>
      <c r="X62" s="495" t="s">
        <v>1438</v>
      </c>
      <c r="Y62" s="600">
        <v>44827</v>
      </c>
      <c r="Z62" s="293" t="s">
        <v>185</v>
      </c>
      <c r="AA62" s="456" t="s">
        <v>1984</v>
      </c>
      <c r="AB62" s="230" t="s">
        <v>1</v>
      </c>
      <c r="AC62" s="230">
        <v>2030</v>
      </c>
      <c r="AD62" s="230" t="s">
        <v>3</v>
      </c>
      <c r="AE62" s="320" t="s">
        <v>1985</v>
      </c>
      <c r="AF62" s="554" t="s">
        <v>1320</v>
      </c>
      <c r="AG62" s="555" t="s">
        <v>1320</v>
      </c>
      <c r="AH62" s="555" t="s">
        <v>1320</v>
      </c>
      <c r="AI62" s="555" t="s">
        <v>1320</v>
      </c>
      <c r="AJ62" s="555" t="s">
        <v>1320</v>
      </c>
      <c r="AK62" s="555" t="s">
        <v>1320</v>
      </c>
      <c r="AL62" s="556" t="s">
        <v>1320</v>
      </c>
    </row>
    <row r="63" spans="1:38" s="535" customFormat="1" ht="116.55" customHeight="1">
      <c r="A63" s="31" t="s">
        <v>575</v>
      </c>
      <c r="B63" s="203" t="s">
        <v>182</v>
      </c>
      <c r="C63" s="124" t="s">
        <v>1076</v>
      </c>
      <c r="D63" s="554" t="s">
        <v>1320</v>
      </c>
      <c r="E63" s="230" t="s">
        <v>185</v>
      </c>
      <c r="F63" s="230" t="s">
        <v>1137</v>
      </c>
      <c r="G63" s="230" t="s">
        <v>1</v>
      </c>
      <c r="H63" s="230">
        <v>2035</v>
      </c>
      <c r="I63" s="230" t="s">
        <v>3</v>
      </c>
      <c r="J63" s="460" t="s">
        <v>192</v>
      </c>
      <c r="K63" s="303"/>
      <c r="L63" s="230" t="s">
        <v>1762</v>
      </c>
      <c r="M63" s="230" t="s">
        <v>424</v>
      </c>
      <c r="N63" s="230" t="s">
        <v>1763</v>
      </c>
      <c r="O63" s="230" t="s">
        <v>1763</v>
      </c>
      <c r="P63" s="230" t="s">
        <v>3</v>
      </c>
      <c r="Q63" s="460" t="s">
        <v>1765</v>
      </c>
      <c r="R63" s="566" t="s">
        <v>1320</v>
      </c>
      <c r="S63" s="555" t="s">
        <v>1320</v>
      </c>
      <c r="T63" s="555" t="s">
        <v>1320</v>
      </c>
      <c r="U63" s="555" t="s">
        <v>1320</v>
      </c>
      <c r="V63" s="555" t="s">
        <v>1320</v>
      </c>
      <c r="W63" s="555" t="s">
        <v>1320</v>
      </c>
      <c r="X63" s="556" t="s">
        <v>1320</v>
      </c>
      <c r="Y63" s="554" t="s">
        <v>1320</v>
      </c>
      <c r="Z63" s="555" t="s">
        <v>1320</v>
      </c>
      <c r="AA63" s="555" t="s">
        <v>1320</v>
      </c>
      <c r="AB63" s="555" t="s">
        <v>1320</v>
      </c>
      <c r="AC63" s="555" t="s">
        <v>1320</v>
      </c>
      <c r="AD63" s="555" t="s">
        <v>1320</v>
      </c>
      <c r="AE63" s="556" t="s">
        <v>1320</v>
      </c>
      <c r="AF63" s="554" t="s">
        <v>1320</v>
      </c>
      <c r="AG63" s="555" t="s">
        <v>1320</v>
      </c>
      <c r="AH63" s="555" t="s">
        <v>1320</v>
      </c>
      <c r="AI63" s="555" t="s">
        <v>1320</v>
      </c>
      <c r="AJ63" s="555" t="s">
        <v>1320</v>
      </c>
      <c r="AK63" s="555" t="s">
        <v>1320</v>
      </c>
      <c r="AL63" s="556" t="s">
        <v>1320</v>
      </c>
    </row>
    <row r="64" spans="1:38" s="512" customFormat="1" ht="116.55" customHeight="1">
      <c r="A64" s="31" t="s">
        <v>576</v>
      </c>
      <c r="B64" s="203" t="s">
        <v>182</v>
      </c>
      <c r="C64" s="124" t="s">
        <v>1076</v>
      </c>
      <c r="D64" s="554" t="s">
        <v>1320</v>
      </c>
      <c r="E64" s="555" t="s">
        <v>1320</v>
      </c>
      <c r="F64" s="555" t="s">
        <v>1320</v>
      </c>
      <c r="G64" s="555" t="s">
        <v>1320</v>
      </c>
      <c r="H64" s="555" t="s">
        <v>1320</v>
      </c>
      <c r="I64" s="555" t="s">
        <v>1320</v>
      </c>
      <c r="J64" s="556" t="s">
        <v>1320</v>
      </c>
      <c r="K64" s="571">
        <v>42696</v>
      </c>
      <c r="L64" s="230" t="s">
        <v>187</v>
      </c>
      <c r="M64" s="319">
        <v>0.26</v>
      </c>
      <c r="N64" s="230">
        <v>2005</v>
      </c>
      <c r="O64" s="230">
        <v>2030</v>
      </c>
      <c r="P64" s="230" t="s">
        <v>3</v>
      </c>
      <c r="Q64" s="460" t="s">
        <v>56</v>
      </c>
      <c r="R64" s="489">
        <v>44406</v>
      </c>
      <c r="S64" s="456" t="s">
        <v>1467</v>
      </c>
      <c r="T64" s="474" t="s">
        <v>1468</v>
      </c>
      <c r="U64" s="456">
        <v>2015</v>
      </c>
      <c r="V64" s="456" t="s">
        <v>988</v>
      </c>
      <c r="W64" s="230" t="s">
        <v>3</v>
      </c>
      <c r="X64" s="495" t="s">
        <v>1469</v>
      </c>
      <c r="Y64" s="554" t="s">
        <v>1320</v>
      </c>
      <c r="Z64" s="555" t="s">
        <v>1320</v>
      </c>
      <c r="AA64" s="555" t="s">
        <v>1320</v>
      </c>
      <c r="AB64" s="555" t="s">
        <v>1320</v>
      </c>
      <c r="AC64" s="555" t="s">
        <v>1320</v>
      </c>
      <c r="AD64" s="555" t="s">
        <v>1320</v>
      </c>
      <c r="AE64" s="556" t="s">
        <v>1320</v>
      </c>
      <c r="AF64" s="554" t="s">
        <v>1320</v>
      </c>
      <c r="AG64" s="555" t="s">
        <v>1320</v>
      </c>
      <c r="AH64" s="555" t="s">
        <v>1320</v>
      </c>
      <c r="AI64" s="555" t="s">
        <v>1320</v>
      </c>
      <c r="AJ64" s="555" t="s">
        <v>1320</v>
      </c>
      <c r="AK64" s="555" t="s">
        <v>1320</v>
      </c>
      <c r="AL64" s="556" t="s">
        <v>1320</v>
      </c>
    </row>
    <row r="65" spans="1:38" s="423" customFormat="1" ht="79.05" customHeight="1">
      <c r="A65" s="31" t="s">
        <v>997</v>
      </c>
      <c r="B65" s="95" t="s">
        <v>1155</v>
      </c>
      <c r="C65" s="124" t="s">
        <v>1076</v>
      </c>
      <c r="D65" s="554" t="s">
        <v>1320</v>
      </c>
      <c r="E65" s="555" t="s">
        <v>1320</v>
      </c>
      <c r="F65" s="555" t="s">
        <v>1320</v>
      </c>
      <c r="G65" s="555" t="s">
        <v>1320</v>
      </c>
      <c r="H65" s="555" t="s">
        <v>1320</v>
      </c>
      <c r="I65" s="555" t="s">
        <v>1320</v>
      </c>
      <c r="J65" s="556" t="s">
        <v>1320</v>
      </c>
      <c r="K65" s="120">
        <v>42835</v>
      </c>
      <c r="L65" s="293" t="s">
        <v>185</v>
      </c>
      <c r="M65" s="345">
        <v>7.8E-2</v>
      </c>
      <c r="N65" s="293" t="s">
        <v>1</v>
      </c>
      <c r="O65" s="293">
        <v>2030</v>
      </c>
      <c r="P65" s="230" t="s">
        <v>3</v>
      </c>
      <c r="Q65" s="391" t="s">
        <v>72</v>
      </c>
      <c r="R65" s="489">
        <v>44013</v>
      </c>
      <c r="S65" s="293" t="s">
        <v>185</v>
      </c>
      <c r="T65" s="424" t="s">
        <v>1033</v>
      </c>
      <c r="U65" s="293" t="s">
        <v>1</v>
      </c>
      <c r="V65" s="293">
        <v>2030</v>
      </c>
      <c r="W65" s="293" t="s">
        <v>3</v>
      </c>
      <c r="X65" s="436" t="s">
        <v>1151</v>
      </c>
      <c r="Y65" s="554" t="s">
        <v>1320</v>
      </c>
      <c r="Z65" s="555" t="s">
        <v>1320</v>
      </c>
      <c r="AA65" s="555" t="s">
        <v>1320</v>
      </c>
      <c r="AB65" s="555" t="s">
        <v>1320</v>
      </c>
      <c r="AC65" s="555" t="s">
        <v>1320</v>
      </c>
      <c r="AD65" s="555" t="s">
        <v>1320</v>
      </c>
      <c r="AE65" s="556" t="s">
        <v>1320</v>
      </c>
      <c r="AF65" s="554" t="s">
        <v>1320</v>
      </c>
      <c r="AG65" s="555" t="s">
        <v>1320</v>
      </c>
      <c r="AH65" s="555" t="s">
        <v>1320</v>
      </c>
      <c r="AI65" s="555" t="s">
        <v>1320</v>
      </c>
      <c r="AJ65" s="555" t="s">
        <v>1320</v>
      </c>
      <c r="AK65" s="555" t="s">
        <v>1320</v>
      </c>
      <c r="AL65" s="556" t="s">
        <v>1320</v>
      </c>
    </row>
    <row r="66" spans="1:38" s="419" customFormat="1" ht="108">
      <c r="A66" s="31" t="s">
        <v>960</v>
      </c>
      <c r="B66" s="561" t="s">
        <v>23</v>
      </c>
      <c r="C66" s="50" t="s">
        <v>1076</v>
      </c>
      <c r="D66" s="554" t="s">
        <v>1320</v>
      </c>
      <c r="E66" s="555" t="s">
        <v>1320</v>
      </c>
      <c r="F66" s="555" t="s">
        <v>1320</v>
      </c>
      <c r="G66" s="555" t="s">
        <v>1320</v>
      </c>
      <c r="H66" s="555" t="s">
        <v>1320</v>
      </c>
      <c r="I66" s="555" t="s">
        <v>1320</v>
      </c>
      <c r="J66" s="556" t="s">
        <v>1320</v>
      </c>
      <c r="K66" s="303">
        <v>42682</v>
      </c>
      <c r="L66" s="230" t="s">
        <v>186</v>
      </c>
      <c r="M66" s="319">
        <v>0.26</v>
      </c>
      <c r="N66" s="230">
        <v>2013</v>
      </c>
      <c r="O66" s="230">
        <v>2030</v>
      </c>
      <c r="P66" s="230" t="s">
        <v>3</v>
      </c>
      <c r="Q66" s="460" t="s">
        <v>54</v>
      </c>
      <c r="R66" s="489">
        <v>44491</v>
      </c>
      <c r="S66" s="230" t="s">
        <v>186</v>
      </c>
      <c r="T66" s="474">
        <v>0.46</v>
      </c>
      <c r="U66" s="230">
        <v>2013</v>
      </c>
      <c r="V66" s="230">
        <v>2030</v>
      </c>
      <c r="W66" s="230" t="s">
        <v>3</v>
      </c>
      <c r="X66" s="495" t="s">
        <v>1737</v>
      </c>
      <c r="Y66" s="554" t="s">
        <v>1320</v>
      </c>
      <c r="Z66" s="555" t="s">
        <v>1320</v>
      </c>
      <c r="AA66" s="555" t="s">
        <v>1320</v>
      </c>
      <c r="AB66" s="555" t="s">
        <v>1320</v>
      </c>
      <c r="AC66" s="555" t="s">
        <v>1320</v>
      </c>
      <c r="AD66" s="555" t="s">
        <v>1320</v>
      </c>
      <c r="AE66" s="556" t="s">
        <v>1320</v>
      </c>
      <c r="AF66" s="554" t="s">
        <v>1320</v>
      </c>
      <c r="AG66" s="555" t="s">
        <v>1320</v>
      </c>
      <c r="AH66" s="555" t="s">
        <v>1320</v>
      </c>
      <c r="AI66" s="555" t="s">
        <v>1320</v>
      </c>
      <c r="AJ66" s="555" t="s">
        <v>1320</v>
      </c>
      <c r="AK66" s="555" t="s">
        <v>1320</v>
      </c>
      <c r="AL66" s="556" t="s">
        <v>1320</v>
      </c>
    </row>
    <row r="67" spans="1:38" s="532" customFormat="1" ht="49.5" customHeight="1">
      <c r="A67" s="31" t="s">
        <v>579</v>
      </c>
      <c r="B67" s="203" t="s">
        <v>182</v>
      </c>
      <c r="C67" s="50" t="s">
        <v>1076</v>
      </c>
      <c r="D67" s="554" t="s">
        <v>1320</v>
      </c>
      <c r="E67" s="555" t="s">
        <v>1320</v>
      </c>
      <c r="F67" s="555" t="s">
        <v>1320</v>
      </c>
      <c r="G67" s="555" t="s">
        <v>1320</v>
      </c>
      <c r="H67" s="555" t="s">
        <v>1320</v>
      </c>
      <c r="I67" s="555" t="s">
        <v>1320</v>
      </c>
      <c r="J67" s="556" t="s">
        <v>1320</v>
      </c>
      <c r="K67" s="303">
        <v>42678</v>
      </c>
      <c r="L67" s="230" t="s">
        <v>185</v>
      </c>
      <c r="M67" s="318" t="s">
        <v>1138</v>
      </c>
      <c r="N67" s="230" t="s">
        <v>1</v>
      </c>
      <c r="O67" s="230">
        <v>2030</v>
      </c>
      <c r="P67" s="230" t="s">
        <v>3</v>
      </c>
      <c r="Q67" s="460" t="s">
        <v>55</v>
      </c>
      <c r="R67" s="489">
        <v>44481</v>
      </c>
      <c r="S67" s="230" t="s">
        <v>185</v>
      </c>
      <c r="T67" s="55" t="s">
        <v>1722</v>
      </c>
      <c r="U67" s="230" t="s">
        <v>1</v>
      </c>
      <c r="V67" s="230">
        <v>2030</v>
      </c>
      <c r="W67" s="230" t="s">
        <v>3</v>
      </c>
      <c r="X67" s="495" t="s">
        <v>1721</v>
      </c>
      <c r="Y67" s="554" t="s">
        <v>1320</v>
      </c>
      <c r="Z67" s="555" t="s">
        <v>1320</v>
      </c>
      <c r="AA67" s="555" t="s">
        <v>1320</v>
      </c>
      <c r="AB67" s="555" t="s">
        <v>1320</v>
      </c>
      <c r="AC67" s="555" t="s">
        <v>1320</v>
      </c>
      <c r="AD67" s="555" t="s">
        <v>1320</v>
      </c>
      <c r="AE67" s="556" t="s">
        <v>1320</v>
      </c>
      <c r="AF67" s="554" t="s">
        <v>1320</v>
      </c>
      <c r="AG67" s="555" t="s">
        <v>1320</v>
      </c>
      <c r="AH67" s="555" t="s">
        <v>1320</v>
      </c>
      <c r="AI67" s="555" t="s">
        <v>1320</v>
      </c>
      <c r="AJ67" s="555" t="s">
        <v>1320</v>
      </c>
      <c r="AK67" s="555" t="s">
        <v>1320</v>
      </c>
      <c r="AL67" s="556" t="s">
        <v>1320</v>
      </c>
    </row>
    <row r="68" spans="1:38" s="464" customFormat="1" ht="95.55" customHeight="1">
      <c r="A68" s="31" t="s">
        <v>581</v>
      </c>
      <c r="B68" s="92" t="s">
        <v>180</v>
      </c>
      <c r="C68" s="50" t="s">
        <v>1076</v>
      </c>
      <c r="D68" s="554" t="s">
        <v>1320</v>
      </c>
      <c r="E68" s="555" t="s">
        <v>1320</v>
      </c>
      <c r="F68" s="555" t="s">
        <v>1320</v>
      </c>
      <c r="G68" s="555" t="s">
        <v>1320</v>
      </c>
      <c r="H68" s="555" t="s">
        <v>1320</v>
      </c>
      <c r="I68" s="555" t="s">
        <v>1320</v>
      </c>
      <c r="J68" s="556" t="s">
        <v>1320</v>
      </c>
      <c r="K68" s="479">
        <v>42732</v>
      </c>
      <c r="L68" s="293" t="s">
        <v>185</v>
      </c>
      <c r="M68" s="318">
        <v>0.3</v>
      </c>
      <c r="N68" s="293" t="s">
        <v>1</v>
      </c>
      <c r="O68" s="293">
        <v>2030</v>
      </c>
      <c r="P68" s="293" t="s">
        <v>3</v>
      </c>
      <c r="Q68" s="391" t="s">
        <v>195</v>
      </c>
      <c r="R68" s="489">
        <v>44193</v>
      </c>
      <c r="S68" s="230" t="s">
        <v>185</v>
      </c>
      <c r="T68" s="474">
        <v>0.32</v>
      </c>
      <c r="U68" s="230" t="s">
        <v>1</v>
      </c>
      <c r="V68" s="230">
        <v>2030</v>
      </c>
      <c r="W68" s="230" t="s">
        <v>3</v>
      </c>
      <c r="X68" s="56" t="s">
        <v>1252</v>
      </c>
      <c r="Y68" s="554" t="s">
        <v>1320</v>
      </c>
      <c r="Z68" s="555" t="s">
        <v>1320</v>
      </c>
      <c r="AA68" s="555" t="s">
        <v>1320</v>
      </c>
      <c r="AB68" s="555" t="s">
        <v>1320</v>
      </c>
      <c r="AC68" s="555" t="s">
        <v>1320</v>
      </c>
      <c r="AD68" s="555" t="s">
        <v>1320</v>
      </c>
      <c r="AE68" s="556" t="s">
        <v>1320</v>
      </c>
      <c r="AF68" s="554" t="s">
        <v>1320</v>
      </c>
      <c r="AG68" s="555" t="s">
        <v>1320</v>
      </c>
      <c r="AH68" s="555" t="s">
        <v>1320</v>
      </c>
      <c r="AI68" s="555" t="s">
        <v>1320</v>
      </c>
      <c r="AJ68" s="555" t="s">
        <v>1320</v>
      </c>
      <c r="AK68" s="555" t="s">
        <v>1320</v>
      </c>
      <c r="AL68" s="556" t="s">
        <v>1320</v>
      </c>
    </row>
    <row r="69" spans="1:38" s="532" customFormat="1" ht="109.05" customHeight="1">
      <c r="A69" s="31" t="s">
        <v>583</v>
      </c>
      <c r="B69" s="203" t="s">
        <v>182</v>
      </c>
      <c r="C69" s="50" t="s">
        <v>1076</v>
      </c>
      <c r="D69" s="554" t="s">
        <v>1320</v>
      </c>
      <c r="E69" s="555" t="s">
        <v>1320</v>
      </c>
      <c r="F69" s="555" t="s">
        <v>1320</v>
      </c>
      <c r="G69" s="555" t="s">
        <v>1320</v>
      </c>
      <c r="H69" s="555" t="s">
        <v>1320</v>
      </c>
      <c r="I69" s="555" t="s">
        <v>1320</v>
      </c>
      <c r="J69" s="556" t="s">
        <v>1320</v>
      </c>
      <c r="K69" s="303">
        <v>43213</v>
      </c>
      <c r="L69" s="230" t="s">
        <v>189</v>
      </c>
      <c r="M69" s="230" t="s">
        <v>116</v>
      </c>
      <c r="N69" s="230" t="s">
        <v>3</v>
      </c>
      <c r="O69" s="230">
        <v>2035</v>
      </c>
      <c r="P69" s="230" t="s">
        <v>3</v>
      </c>
      <c r="Q69" s="320" t="s">
        <v>193</v>
      </c>
      <c r="R69" s="551">
        <v>44481</v>
      </c>
      <c r="S69" s="456" t="s">
        <v>1717</v>
      </c>
      <c r="T69" s="515">
        <v>7.3999999999999996E-2</v>
      </c>
      <c r="U69" s="456" t="s">
        <v>1715</v>
      </c>
      <c r="V69" s="230">
        <v>2035</v>
      </c>
      <c r="W69" s="230" t="s">
        <v>3</v>
      </c>
      <c r="X69" s="495" t="s">
        <v>1729</v>
      </c>
      <c r="Y69" s="554" t="s">
        <v>1320</v>
      </c>
      <c r="Z69" s="555" t="s">
        <v>1320</v>
      </c>
      <c r="AA69" s="555" t="s">
        <v>1320</v>
      </c>
      <c r="AB69" s="555" t="s">
        <v>1320</v>
      </c>
      <c r="AC69" s="555" t="s">
        <v>1320</v>
      </c>
      <c r="AD69" s="555" t="s">
        <v>1320</v>
      </c>
      <c r="AE69" s="556" t="s">
        <v>1320</v>
      </c>
      <c r="AF69" s="554" t="s">
        <v>1320</v>
      </c>
      <c r="AG69" s="555" t="s">
        <v>1320</v>
      </c>
      <c r="AH69" s="555" t="s">
        <v>1320</v>
      </c>
      <c r="AI69" s="555" t="s">
        <v>1320</v>
      </c>
      <c r="AJ69" s="555" t="s">
        <v>1320</v>
      </c>
      <c r="AK69" s="555" t="s">
        <v>1320</v>
      </c>
      <c r="AL69" s="556" t="s">
        <v>1320</v>
      </c>
    </row>
    <row r="70" spans="1:38" s="525" customFormat="1" ht="109.05" customHeight="1">
      <c r="A70" s="31" t="s">
        <v>669</v>
      </c>
      <c r="B70" s="93" t="s">
        <v>183</v>
      </c>
      <c r="C70" s="50" t="s">
        <v>1076</v>
      </c>
      <c r="D70" s="554" t="s">
        <v>1320</v>
      </c>
      <c r="E70" s="555" t="s">
        <v>1320</v>
      </c>
      <c r="F70" s="555" t="s">
        <v>1320</v>
      </c>
      <c r="G70" s="555" t="s">
        <v>1320</v>
      </c>
      <c r="H70" s="555" t="s">
        <v>1320</v>
      </c>
      <c r="I70" s="555" t="s">
        <v>1320</v>
      </c>
      <c r="J70" s="556" t="s">
        <v>1320</v>
      </c>
      <c r="K70" s="303">
        <v>43879</v>
      </c>
      <c r="L70" s="230" t="s">
        <v>185</v>
      </c>
      <c r="M70" s="319" t="s">
        <v>1070</v>
      </c>
      <c r="N70" s="230" t="s">
        <v>1</v>
      </c>
      <c r="O70" s="230">
        <v>2030</v>
      </c>
      <c r="P70" s="230" t="s">
        <v>3</v>
      </c>
      <c r="Q70" s="320" t="s">
        <v>52</v>
      </c>
      <c r="R70" s="551">
        <v>44478</v>
      </c>
      <c r="S70" s="230" t="s">
        <v>185</v>
      </c>
      <c r="T70" s="474" t="s">
        <v>1655</v>
      </c>
      <c r="U70" s="230" t="s">
        <v>1</v>
      </c>
      <c r="V70" s="456" t="s">
        <v>1644</v>
      </c>
      <c r="W70" s="230" t="s">
        <v>3</v>
      </c>
      <c r="X70" s="495" t="s">
        <v>1654</v>
      </c>
      <c r="Y70" s="554" t="s">
        <v>1320</v>
      </c>
      <c r="Z70" s="555" t="s">
        <v>1320</v>
      </c>
      <c r="AA70" s="555" t="s">
        <v>1320</v>
      </c>
      <c r="AB70" s="555" t="s">
        <v>1320</v>
      </c>
      <c r="AC70" s="555" t="s">
        <v>1320</v>
      </c>
      <c r="AD70" s="555" t="s">
        <v>1320</v>
      </c>
      <c r="AE70" s="556" t="s">
        <v>1320</v>
      </c>
      <c r="AF70" s="554" t="s">
        <v>1320</v>
      </c>
      <c r="AG70" s="555" t="s">
        <v>1320</v>
      </c>
      <c r="AH70" s="555" t="s">
        <v>1320</v>
      </c>
      <c r="AI70" s="555" t="s">
        <v>1320</v>
      </c>
      <c r="AJ70" s="555" t="s">
        <v>1320</v>
      </c>
      <c r="AK70" s="555" t="s">
        <v>1320</v>
      </c>
      <c r="AL70" s="556" t="s">
        <v>1320</v>
      </c>
    </row>
    <row r="71" spans="1:38" s="502" customFormat="1" ht="141" customHeight="1">
      <c r="A71" s="31" t="s">
        <v>584</v>
      </c>
      <c r="B71" s="561" t="s">
        <v>23</v>
      </c>
      <c r="C71" s="50" t="s">
        <v>1076</v>
      </c>
      <c r="D71" s="554" t="s">
        <v>1320</v>
      </c>
      <c r="E71" s="555" t="s">
        <v>1320</v>
      </c>
      <c r="F71" s="555" t="s">
        <v>1320</v>
      </c>
      <c r="G71" s="555" t="s">
        <v>1320</v>
      </c>
      <c r="H71" s="555" t="s">
        <v>1320</v>
      </c>
      <c r="I71" s="555" t="s">
        <v>1320</v>
      </c>
      <c r="J71" s="556" t="s">
        <v>1320</v>
      </c>
      <c r="K71" s="303">
        <v>42620</v>
      </c>
      <c r="L71" s="230" t="s">
        <v>189</v>
      </c>
      <c r="M71" s="230" t="s">
        <v>188</v>
      </c>
      <c r="N71" s="230" t="s">
        <v>3</v>
      </c>
      <c r="O71" s="230" t="s">
        <v>70</v>
      </c>
      <c r="P71" s="230" t="s">
        <v>3</v>
      </c>
      <c r="Q71" s="320" t="s">
        <v>345</v>
      </c>
      <c r="R71" s="551">
        <v>44327</v>
      </c>
      <c r="S71" s="456" t="s">
        <v>1397</v>
      </c>
      <c r="T71" s="474" t="s">
        <v>1398</v>
      </c>
      <c r="U71" s="230" t="s">
        <v>3</v>
      </c>
      <c r="V71" s="456">
        <v>2030</v>
      </c>
      <c r="W71" s="230" t="s">
        <v>3</v>
      </c>
      <c r="X71" s="495" t="s">
        <v>1399</v>
      </c>
      <c r="Y71" s="554" t="s">
        <v>1320</v>
      </c>
      <c r="Z71" s="555" t="s">
        <v>1320</v>
      </c>
      <c r="AA71" s="555" t="s">
        <v>1320</v>
      </c>
      <c r="AB71" s="555" t="s">
        <v>1320</v>
      </c>
      <c r="AC71" s="555" t="s">
        <v>1320</v>
      </c>
      <c r="AD71" s="555" t="s">
        <v>1320</v>
      </c>
      <c r="AE71" s="556" t="s">
        <v>1320</v>
      </c>
      <c r="AF71" s="554" t="s">
        <v>1320</v>
      </c>
      <c r="AG71" s="555" t="s">
        <v>1320</v>
      </c>
      <c r="AH71" s="555" t="s">
        <v>1320</v>
      </c>
      <c r="AI71" s="555" t="s">
        <v>1320</v>
      </c>
      <c r="AJ71" s="555" t="s">
        <v>1320</v>
      </c>
      <c r="AK71" s="555" t="s">
        <v>1320</v>
      </c>
      <c r="AL71" s="556" t="s">
        <v>1320</v>
      </c>
    </row>
    <row r="72" spans="1:38" s="490" customFormat="1" ht="141" customHeight="1">
      <c r="A72" s="425" t="s">
        <v>1328</v>
      </c>
      <c r="B72" s="203" t="s">
        <v>182</v>
      </c>
      <c r="C72" s="50" t="s">
        <v>1076</v>
      </c>
      <c r="D72" s="554" t="s">
        <v>1320</v>
      </c>
      <c r="E72" s="555" t="s">
        <v>1320</v>
      </c>
      <c r="F72" s="555" t="s">
        <v>1320</v>
      </c>
      <c r="G72" s="555" t="s">
        <v>1320</v>
      </c>
      <c r="H72" s="555" t="s">
        <v>1320</v>
      </c>
      <c r="I72" s="555" t="s">
        <v>1320</v>
      </c>
      <c r="J72" s="556" t="s">
        <v>1320</v>
      </c>
      <c r="K72" s="303">
        <v>43866</v>
      </c>
      <c r="L72" s="230" t="s">
        <v>185</v>
      </c>
      <c r="M72" s="230" t="s">
        <v>1112</v>
      </c>
      <c r="N72" s="230" t="s">
        <v>1</v>
      </c>
      <c r="O72" s="230">
        <v>2030</v>
      </c>
      <c r="P72" s="230" t="s">
        <v>3</v>
      </c>
      <c r="Q72" s="460" t="s">
        <v>1357</v>
      </c>
      <c r="R72" s="489">
        <v>44271</v>
      </c>
      <c r="S72" s="230" t="s">
        <v>185</v>
      </c>
      <c r="T72" s="456" t="s">
        <v>1329</v>
      </c>
      <c r="U72" s="230" t="s">
        <v>1</v>
      </c>
      <c r="V72" s="230">
        <v>2030</v>
      </c>
      <c r="W72" s="230" t="s">
        <v>3</v>
      </c>
      <c r="X72" s="497" t="s">
        <v>1330</v>
      </c>
      <c r="Y72" s="554" t="s">
        <v>1320</v>
      </c>
      <c r="Z72" s="555" t="s">
        <v>1320</v>
      </c>
      <c r="AA72" s="555" t="s">
        <v>1320</v>
      </c>
      <c r="AB72" s="555" t="s">
        <v>1320</v>
      </c>
      <c r="AC72" s="555" t="s">
        <v>1320</v>
      </c>
      <c r="AD72" s="555" t="s">
        <v>1320</v>
      </c>
      <c r="AE72" s="556" t="s">
        <v>1320</v>
      </c>
      <c r="AF72" s="554" t="s">
        <v>1320</v>
      </c>
      <c r="AG72" s="555" t="s">
        <v>1320</v>
      </c>
      <c r="AH72" s="555" t="s">
        <v>1320</v>
      </c>
      <c r="AI72" s="555" t="s">
        <v>1320</v>
      </c>
      <c r="AJ72" s="555" t="s">
        <v>1320</v>
      </c>
      <c r="AK72" s="555" t="s">
        <v>1320</v>
      </c>
      <c r="AL72" s="556" t="s">
        <v>1320</v>
      </c>
    </row>
    <row r="73" spans="1:38" ht="84">
      <c r="A73" s="31" t="s">
        <v>812</v>
      </c>
      <c r="B73" s="92" t="s">
        <v>180</v>
      </c>
      <c r="C73" s="50" t="s">
        <v>860</v>
      </c>
      <c r="D73" s="554" t="s">
        <v>1320</v>
      </c>
      <c r="E73" s="555" t="s">
        <v>1320</v>
      </c>
      <c r="F73" s="555" t="s">
        <v>1320</v>
      </c>
      <c r="G73" s="555" t="s">
        <v>1320</v>
      </c>
      <c r="H73" s="555" t="s">
        <v>1320</v>
      </c>
      <c r="I73" s="555" t="s">
        <v>1320</v>
      </c>
      <c r="J73" s="556" t="s">
        <v>1320</v>
      </c>
      <c r="K73" s="303">
        <v>43273</v>
      </c>
      <c r="L73" s="23" t="s">
        <v>185</v>
      </c>
      <c r="M73" s="23" t="s">
        <v>1116</v>
      </c>
      <c r="N73" s="23" t="s">
        <v>1</v>
      </c>
      <c r="O73" s="23">
        <v>2030</v>
      </c>
      <c r="P73" s="23" t="s">
        <v>3</v>
      </c>
      <c r="Q73" s="391" t="s">
        <v>813</v>
      </c>
      <c r="R73" s="566" t="s">
        <v>1320</v>
      </c>
      <c r="S73" s="555" t="s">
        <v>1320</v>
      </c>
      <c r="T73" s="555" t="s">
        <v>1320</v>
      </c>
      <c r="U73" s="555" t="s">
        <v>1320</v>
      </c>
      <c r="V73" s="555" t="s">
        <v>1320</v>
      </c>
      <c r="W73" s="555" t="s">
        <v>1320</v>
      </c>
      <c r="X73" s="556" t="s">
        <v>1320</v>
      </c>
      <c r="Y73" s="554" t="s">
        <v>1320</v>
      </c>
      <c r="Z73" s="555" t="s">
        <v>1320</v>
      </c>
      <c r="AA73" s="555" t="s">
        <v>1320</v>
      </c>
      <c r="AB73" s="555" t="s">
        <v>1320</v>
      </c>
      <c r="AC73" s="555" t="s">
        <v>1320</v>
      </c>
      <c r="AD73" s="555" t="s">
        <v>1320</v>
      </c>
      <c r="AE73" s="556" t="s">
        <v>1320</v>
      </c>
      <c r="AF73" s="554" t="s">
        <v>1320</v>
      </c>
      <c r="AG73" s="555" t="s">
        <v>1320</v>
      </c>
      <c r="AH73" s="555" t="s">
        <v>1320</v>
      </c>
      <c r="AI73" s="555" t="s">
        <v>1320</v>
      </c>
      <c r="AJ73" s="555" t="s">
        <v>1320</v>
      </c>
      <c r="AK73" s="555" t="s">
        <v>1320</v>
      </c>
      <c r="AL73" s="556" t="s">
        <v>1320</v>
      </c>
    </row>
    <row r="74" spans="1:38" s="521" customFormat="1" ht="93" customHeight="1">
      <c r="A74" s="31" t="s">
        <v>586</v>
      </c>
      <c r="B74" s="92" t="s">
        <v>180</v>
      </c>
      <c r="C74" s="50" t="s">
        <v>1076</v>
      </c>
      <c r="D74" s="554" t="s">
        <v>1320</v>
      </c>
      <c r="E74" s="555" t="s">
        <v>1320</v>
      </c>
      <c r="F74" s="555" t="s">
        <v>1320</v>
      </c>
      <c r="G74" s="555" t="s">
        <v>1320</v>
      </c>
      <c r="H74" s="555" t="s">
        <v>1320</v>
      </c>
      <c r="I74" s="555" t="s">
        <v>1320</v>
      </c>
      <c r="J74" s="556" t="s">
        <v>1320</v>
      </c>
      <c r="K74" s="303">
        <v>43339</v>
      </c>
      <c r="L74" s="230" t="s">
        <v>185</v>
      </c>
      <c r="M74" s="319" t="s">
        <v>1142</v>
      </c>
      <c r="N74" s="230" t="s">
        <v>1</v>
      </c>
      <c r="O74" s="230" t="s">
        <v>429</v>
      </c>
      <c r="P74" s="230" t="s">
        <v>3</v>
      </c>
      <c r="Q74" s="391" t="s">
        <v>196</v>
      </c>
      <c r="R74" s="567">
        <v>44412</v>
      </c>
      <c r="S74" s="230" t="s">
        <v>185</v>
      </c>
      <c r="T74" s="474" t="s">
        <v>1567</v>
      </c>
      <c r="U74" s="230" t="s">
        <v>1</v>
      </c>
      <c r="V74" s="456">
        <v>2030</v>
      </c>
      <c r="W74" s="230" t="s">
        <v>3</v>
      </c>
      <c r="X74" s="475" t="s">
        <v>1566</v>
      </c>
      <c r="Y74" s="554" t="s">
        <v>1320</v>
      </c>
      <c r="Z74" s="555" t="s">
        <v>1320</v>
      </c>
      <c r="AA74" s="555" t="s">
        <v>1320</v>
      </c>
      <c r="AB74" s="555" t="s">
        <v>1320</v>
      </c>
      <c r="AC74" s="555" t="s">
        <v>1320</v>
      </c>
      <c r="AD74" s="555" t="s">
        <v>1320</v>
      </c>
      <c r="AE74" s="556" t="s">
        <v>1320</v>
      </c>
      <c r="AF74" s="554" t="s">
        <v>1320</v>
      </c>
      <c r="AG74" s="555" t="s">
        <v>1320</v>
      </c>
      <c r="AH74" s="555" t="s">
        <v>1320</v>
      </c>
      <c r="AI74" s="555" t="s">
        <v>1320</v>
      </c>
      <c r="AJ74" s="555" t="s">
        <v>1320</v>
      </c>
      <c r="AK74" s="555" t="s">
        <v>1320</v>
      </c>
      <c r="AL74" s="556" t="s">
        <v>1320</v>
      </c>
    </row>
    <row r="75" spans="1:38" s="471" customFormat="1" ht="118.95" customHeight="1">
      <c r="A75" s="31" t="s">
        <v>592</v>
      </c>
      <c r="B75" s="561" t="s">
        <v>23</v>
      </c>
      <c r="C75" s="50" t="s">
        <v>1076</v>
      </c>
      <c r="D75" s="554" t="s">
        <v>1320</v>
      </c>
      <c r="E75" s="555" t="s">
        <v>1320</v>
      </c>
      <c r="F75" s="555" t="s">
        <v>1320</v>
      </c>
      <c r="G75" s="555" t="s">
        <v>1320</v>
      </c>
      <c r="H75" s="555" t="s">
        <v>1320</v>
      </c>
      <c r="I75" s="555" t="s">
        <v>1320</v>
      </c>
      <c r="J75" s="556" t="s">
        <v>1320</v>
      </c>
      <c r="K75" s="479">
        <v>42482</v>
      </c>
      <c r="L75" s="293" t="s">
        <v>185</v>
      </c>
      <c r="M75" s="293" t="s">
        <v>1038</v>
      </c>
      <c r="N75" s="293" t="s">
        <v>1</v>
      </c>
      <c r="O75" s="293">
        <v>2030</v>
      </c>
      <c r="P75" s="293" t="s">
        <v>3</v>
      </c>
      <c r="Q75" s="460" t="s">
        <v>51</v>
      </c>
      <c r="R75" s="489">
        <v>44193</v>
      </c>
      <c r="S75" s="230" t="s">
        <v>185</v>
      </c>
      <c r="T75" s="456" t="s">
        <v>1257</v>
      </c>
      <c r="U75" s="230" t="s">
        <v>1</v>
      </c>
      <c r="V75" s="230">
        <v>2030</v>
      </c>
      <c r="W75" s="230" t="s">
        <v>3</v>
      </c>
      <c r="X75" s="430" t="s">
        <v>1256</v>
      </c>
      <c r="Y75" s="554" t="s">
        <v>1320</v>
      </c>
      <c r="Z75" s="555" t="s">
        <v>1320</v>
      </c>
      <c r="AA75" s="555" t="s">
        <v>1320</v>
      </c>
      <c r="AB75" s="555" t="s">
        <v>1320</v>
      </c>
      <c r="AC75" s="555" t="s">
        <v>1320</v>
      </c>
      <c r="AD75" s="555" t="s">
        <v>1320</v>
      </c>
      <c r="AE75" s="556" t="s">
        <v>1320</v>
      </c>
      <c r="AF75" s="554" t="s">
        <v>1320</v>
      </c>
      <c r="AG75" s="555" t="s">
        <v>1320</v>
      </c>
      <c r="AH75" s="555" t="s">
        <v>1320</v>
      </c>
      <c r="AI75" s="555" t="s">
        <v>1320</v>
      </c>
      <c r="AJ75" s="555" t="s">
        <v>1320</v>
      </c>
      <c r="AK75" s="555" t="s">
        <v>1320</v>
      </c>
      <c r="AL75" s="556" t="s">
        <v>1320</v>
      </c>
    </row>
    <row r="76" spans="1:38" ht="72">
      <c r="A76" s="32" t="s">
        <v>661</v>
      </c>
      <c r="B76" s="560" t="s">
        <v>947</v>
      </c>
      <c r="C76" s="124" t="s">
        <v>1189</v>
      </c>
      <c r="D76" s="554" t="s">
        <v>1320</v>
      </c>
      <c r="E76" s="555" t="s">
        <v>1320</v>
      </c>
      <c r="F76" s="555" t="s">
        <v>1320</v>
      </c>
      <c r="G76" s="555" t="s">
        <v>1320</v>
      </c>
      <c r="H76" s="555" t="s">
        <v>1320</v>
      </c>
      <c r="I76" s="555" t="s">
        <v>1320</v>
      </c>
      <c r="J76" s="556" t="s">
        <v>1320</v>
      </c>
      <c r="K76" s="303">
        <v>42482</v>
      </c>
      <c r="L76" s="23" t="s">
        <v>186</v>
      </c>
      <c r="M76" s="23" t="s">
        <v>1078</v>
      </c>
      <c r="N76" s="23">
        <v>2010</v>
      </c>
      <c r="O76" s="23">
        <v>2025</v>
      </c>
      <c r="P76" s="23" t="s">
        <v>3</v>
      </c>
      <c r="Q76" s="47" t="s">
        <v>47</v>
      </c>
      <c r="R76" s="489">
        <v>43426</v>
      </c>
      <c r="S76" s="23" t="s">
        <v>186</v>
      </c>
      <c r="T76" s="52" t="s">
        <v>1153</v>
      </c>
      <c r="U76" s="23">
        <v>2010</v>
      </c>
      <c r="V76" s="52" t="s">
        <v>449</v>
      </c>
      <c r="W76" s="23" t="s">
        <v>3</v>
      </c>
      <c r="X76" s="437" t="s">
        <v>451</v>
      </c>
      <c r="Y76" s="485">
        <v>44196</v>
      </c>
      <c r="Z76" s="293" t="s">
        <v>186</v>
      </c>
      <c r="AA76" s="318">
        <v>0.45</v>
      </c>
      <c r="AB76" s="293">
        <v>2010</v>
      </c>
      <c r="AC76" s="293">
        <v>2030</v>
      </c>
      <c r="AD76" s="293" t="s">
        <v>3</v>
      </c>
      <c r="AE76" s="460" t="s">
        <v>1310</v>
      </c>
      <c r="AF76" s="554" t="s">
        <v>1320</v>
      </c>
      <c r="AG76" s="555" t="s">
        <v>1320</v>
      </c>
      <c r="AH76" s="555" t="s">
        <v>1320</v>
      </c>
      <c r="AI76" s="555" t="s">
        <v>1320</v>
      </c>
      <c r="AJ76" s="555" t="s">
        <v>1320</v>
      </c>
      <c r="AK76" s="555" t="s">
        <v>1320</v>
      </c>
      <c r="AL76" s="556" t="s">
        <v>1320</v>
      </c>
    </row>
    <row r="77" spans="1:38" s="514" customFormat="1" ht="70.05" customHeight="1">
      <c r="A77" s="31" t="s">
        <v>590</v>
      </c>
      <c r="B77" s="92" t="s">
        <v>180</v>
      </c>
      <c r="C77" s="124" t="s">
        <v>1076</v>
      </c>
      <c r="D77" s="554" t="s">
        <v>1320</v>
      </c>
      <c r="E77" s="555" t="s">
        <v>1320</v>
      </c>
      <c r="F77" s="555" t="s">
        <v>1320</v>
      </c>
      <c r="G77" s="555" t="s">
        <v>1320</v>
      </c>
      <c r="H77" s="555" t="s">
        <v>1320</v>
      </c>
      <c r="I77" s="555" t="s">
        <v>1320</v>
      </c>
      <c r="J77" s="556" t="s">
        <v>1320</v>
      </c>
      <c r="K77" s="120">
        <v>42915</v>
      </c>
      <c r="L77" s="230" t="s">
        <v>189</v>
      </c>
      <c r="M77" s="230" t="s">
        <v>3</v>
      </c>
      <c r="N77" s="230" t="s">
        <v>3</v>
      </c>
      <c r="O77" s="230">
        <v>2030</v>
      </c>
      <c r="P77" s="230" t="s">
        <v>3</v>
      </c>
      <c r="Q77" s="391" t="s">
        <v>1508</v>
      </c>
      <c r="R77" s="489">
        <v>44407</v>
      </c>
      <c r="S77" s="456" t="s">
        <v>1510</v>
      </c>
      <c r="T77" s="456" t="s">
        <v>1511</v>
      </c>
      <c r="U77" s="456" t="s">
        <v>1512</v>
      </c>
      <c r="V77" s="456">
        <v>2040</v>
      </c>
      <c r="W77" s="230" t="s">
        <v>3</v>
      </c>
      <c r="X77" s="475" t="s">
        <v>1509</v>
      </c>
      <c r="Y77" s="554" t="s">
        <v>1320</v>
      </c>
      <c r="Z77" s="555" t="s">
        <v>1320</v>
      </c>
      <c r="AA77" s="555" t="s">
        <v>1320</v>
      </c>
      <c r="AB77" s="555" t="s">
        <v>1320</v>
      </c>
      <c r="AC77" s="555" t="s">
        <v>1320</v>
      </c>
      <c r="AD77" s="555" t="s">
        <v>1320</v>
      </c>
      <c r="AE77" s="556" t="s">
        <v>1320</v>
      </c>
      <c r="AF77" s="554" t="s">
        <v>1320</v>
      </c>
      <c r="AG77" s="555" t="s">
        <v>1320</v>
      </c>
      <c r="AH77" s="555" t="s">
        <v>1320</v>
      </c>
      <c r="AI77" s="555" t="s">
        <v>1320</v>
      </c>
      <c r="AJ77" s="555" t="s">
        <v>1320</v>
      </c>
      <c r="AK77" s="555" t="s">
        <v>1320</v>
      </c>
      <c r="AL77" s="556" t="s">
        <v>1320</v>
      </c>
    </row>
    <row r="78" spans="1:38" s="516" customFormat="1" ht="70.05" customHeight="1">
      <c r="A78" s="31" t="s">
        <v>591</v>
      </c>
      <c r="B78" s="561" t="s">
        <v>23</v>
      </c>
      <c r="C78" s="124" t="s">
        <v>1076</v>
      </c>
      <c r="D78" s="554" t="s">
        <v>1320</v>
      </c>
      <c r="E78" s="555" t="s">
        <v>1320</v>
      </c>
      <c r="F78" s="555" t="s">
        <v>1320</v>
      </c>
      <c r="G78" s="555" t="s">
        <v>1320</v>
      </c>
      <c r="H78" s="555" t="s">
        <v>1320</v>
      </c>
      <c r="I78" s="555" t="s">
        <v>1320</v>
      </c>
      <c r="J78" s="556" t="s">
        <v>1320</v>
      </c>
      <c r="K78" s="571">
        <v>42690</v>
      </c>
      <c r="L78" s="230" t="s">
        <v>187</v>
      </c>
      <c r="M78" s="230" t="s">
        <v>1037</v>
      </c>
      <c r="N78" s="230">
        <v>2005</v>
      </c>
      <c r="O78" s="230">
        <v>2030</v>
      </c>
      <c r="P78" s="230" t="s">
        <v>3</v>
      </c>
      <c r="Q78" s="460" t="s">
        <v>190</v>
      </c>
      <c r="R78" s="489">
        <v>44407</v>
      </c>
      <c r="S78" s="230" t="s">
        <v>187</v>
      </c>
      <c r="T78" s="456" t="s">
        <v>1525</v>
      </c>
      <c r="U78" s="230">
        <v>2005</v>
      </c>
      <c r="V78" s="230">
        <v>2030</v>
      </c>
      <c r="W78" s="230" t="s">
        <v>3</v>
      </c>
      <c r="X78" s="495" t="s">
        <v>1527</v>
      </c>
      <c r="Y78" s="554" t="s">
        <v>1320</v>
      </c>
      <c r="Z78" s="555" t="s">
        <v>1320</v>
      </c>
      <c r="AA78" s="555" t="s">
        <v>1320</v>
      </c>
      <c r="AB78" s="555" t="s">
        <v>1320</v>
      </c>
      <c r="AC78" s="555" t="s">
        <v>1320</v>
      </c>
      <c r="AD78" s="555" t="s">
        <v>1320</v>
      </c>
      <c r="AE78" s="556" t="s">
        <v>1320</v>
      </c>
      <c r="AF78" s="554" t="s">
        <v>1320</v>
      </c>
      <c r="AG78" s="555" t="s">
        <v>1320</v>
      </c>
      <c r="AH78" s="555" t="s">
        <v>1320</v>
      </c>
      <c r="AI78" s="555" t="s">
        <v>1320</v>
      </c>
      <c r="AJ78" s="555" t="s">
        <v>1320</v>
      </c>
      <c r="AK78" s="555" t="s">
        <v>1320</v>
      </c>
      <c r="AL78" s="556" t="s">
        <v>1320</v>
      </c>
    </row>
    <row r="79" spans="1:38" s="526" customFormat="1" ht="70.05" customHeight="1">
      <c r="A79" s="31" t="s">
        <v>593</v>
      </c>
      <c r="B79" s="92" t="s">
        <v>180</v>
      </c>
      <c r="C79" s="124" t="s">
        <v>1076</v>
      </c>
      <c r="D79" s="554" t="s">
        <v>1320</v>
      </c>
      <c r="E79" s="555" t="s">
        <v>1320</v>
      </c>
      <c r="F79" s="555" t="s">
        <v>1320</v>
      </c>
      <c r="G79" s="555" t="s">
        <v>1320</v>
      </c>
      <c r="H79" s="555" t="s">
        <v>1320</v>
      </c>
      <c r="I79" s="555" t="s">
        <v>1320</v>
      </c>
      <c r="J79" s="556" t="s">
        <v>1320</v>
      </c>
      <c r="K79" s="328">
        <v>42636</v>
      </c>
      <c r="L79" s="230" t="s">
        <v>185</v>
      </c>
      <c r="M79" s="230" t="s">
        <v>1071</v>
      </c>
      <c r="N79" s="230" t="s">
        <v>1</v>
      </c>
      <c r="O79" s="230">
        <v>2030</v>
      </c>
      <c r="P79" s="230" t="s">
        <v>3</v>
      </c>
      <c r="Q79" s="391" t="s">
        <v>145</v>
      </c>
      <c r="R79" s="489">
        <v>44480</v>
      </c>
      <c r="S79" s="230" t="s">
        <v>185</v>
      </c>
      <c r="T79" s="456" t="s">
        <v>1675</v>
      </c>
      <c r="U79" s="230" t="s">
        <v>1</v>
      </c>
      <c r="V79" s="230">
        <v>2030</v>
      </c>
      <c r="W79" s="230" t="s">
        <v>3</v>
      </c>
      <c r="X79" s="475" t="s">
        <v>1676</v>
      </c>
      <c r="Y79" s="554" t="s">
        <v>1320</v>
      </c>
      <c r="Z79" s="555" t="s">
        <v>1320</v>
      </c>
      <c r="AA79" s="555" t="s">
        <v>1320</v>
      </c>
      <c r="AB79" s="555" t="s">
        <v>1320</v>
      </c>
      <c r="AC79" s="555" t="s">
        <v>1320</v>
      </c>
      <c r="AD79" s="555" t="s">
        <v>1320</v>
      </c>
      <c r="AE79" s="556" t="s">
        <v>1320</v>
      </c>
      <c r="AF79" s="554" t="s">
        <v>1320</v>
      </c>
      <c r="AG79" s="555" t="s">
        <v>1320</v>
      </c>
      <c r="AH79" s="555" t="s">
        <v>1320</v>
      </c>
      <c r="AI79" s="555" t="s">
        <v>1320</v>
      </c>
      <c r="AJ79" s="555" t="s">
        <v>1320</v>
      </c>
      <c r="AK79" s="555" t="s">
        <v>1320</v>
      </c>
      <c r="AL79" s="556" t="s">
        <v>1320</v>
      </c>
    </row>
    <row r="80" spans="1:38" s="526" customFormat="1" ht="70.05" customHeight="1">
      <c r="A80" s="31" t="s">
        <v>595</v>
      </c>
      <c r="B80" s="92" t="s">
        <v>437</v>
      </c>
      <c r="C80" s="124" t="s">
        <v>1076</v>
      </c>
      <c r="D80" s="554" t="s">
        <v>1320</v>
      </c>
      <c r="E80" s="555" t="s">
        <v>1320</v>
      </c>
      <c r="F80" s="555" t="s">
        <v>1320</v>
      </c>
      <c r="G80" s="555" t="s">
        <v>1320</v>
      </c>
      <c r="H80" s="555" t="s">
        <v>1320</v>
      </c>
      <c r="I80" s="555" t="s">
        <v>1320</v>
      </c>
      <c r="J80" s="556" t="s">
        <v>1320</v>
      </c>
      <c r="K80" s="120">
        <v>42793</v>
      </c>
      <c r="L80" s="230" t="s">
        <v>186</v>
      </c>
      <c r="M80" s="230" t="s">
        <v>1039</v>
      </c>
      <c r="N80" s="230">
        <v>2010</v>
      </c>
      <c r="O80" s="230">
        <v>2030</v>
      </c>
      <c r="P80" s="230" t="s">
        <v>3</v>
      </c>
      <c r="Q80" s="391" t="s">
        <v>148</v>
      </c>
      <c r="R80" s="489">
        <v>44481</v>
      </c>
      <c r="S80" s="456" t="s">
        <v>1691</v>
      </c>
      <c r="T80" s="456" t="s">
        <v>1696</v>
      </c>
      <c r="U80" s="456" t="s">
        <v>1692</v>
      </c>
      <c r="V80" s="230">
        <v>2030</v>
      </c>
      <c r="W80" s="230" t="s">
        <v>3</v>
      </c>
      <c r="X80" s="475" t="s">
        <v>1695</v>
      </c>
      <c r="Y80" s="554" t="s">
        <v>1320</v>
      </c>
      <c r="Z80" s="555" t="s">
        <v>1320</v>
      </c>
      <c r="AA80" s="555" t="s">
        <v>1320</v>
      </c>
      <c r="AB80" s="555" t="s">
        <v>1320</v>
      </c>
      <c r="AC80" s="555" t="s">
        <v>1320</v>
      </c>
      <c r="AD80" s="555" t="s">
        <v>1320</v>
      </c>
      <c r="AE80" s="556" t="s">
        <v>1320</v>
      </c>
      <c r="AF80" s="554" t="s">
        <v>1320</v>
      </c>
      <c r="AG80" s="555" t="s">
        <v>1320</v>
      </c>
      <c r="AH80" s="555" t="s">
        <v>1320</v>
      </c>
      <c r="AI80" s="555" t="s">
        <v>1320</v>
      </c>
      <c r="AJ80" s="555" t="s">
        <v>1320</v>
      </c>
      <c r="AK80" s="555" t="s">
        <v>1320</v>
      </c>
      <c r="AL80" s="556" t="s">
        <v>1320</v>
      </c>
    </row>
    <row r="81" spans="1:38" s="525" customFormat="1" ht="70.05" customHeight="1">
      <c r="A81" s="31" t="s">
        <v>596</v>
      </c>
      <c r="B81" s="92" t="s">
        <v>180</v>
      </c>
      <c r="C81" s="124" t="s">
        <v>1076</v>
      </c>
      <c r="D81" s="554" t="s">
        <v>1320</v>
      </c>
      <c r="E81" s="555" t="s">
        <v>1320</v>
      </c>
      <c r="F81" s="555" t="s">
        <v>1320</v>
      </c>
      <c r="G81" s="555" t="s">
        <v>1320</v>
      </c>
      <c r="H81" s="555" t="s">
        <v>1320</v>
      </c>
      <c r="I81" s="555" t="s">
        <v>1320</v>
      </c>
      <c r="J81" s="556" t="s">
        <v>1320</v>
      </c>
      <c r="K81" s="328">
        <v>42482</v>
      </c>
      <c r="L81" s="230" t="s">
        <v>185</v>
      </c>
      <c r="M81" s="319">
        <v>0.3</v>
      </c>
      <c r="N81" s="230" t="s">
        <v>1</v>
      </c>
      <c r="O81" s="230">
        <v>2030</v>
      </c>
      <c r="P81" s="230" t="s">
        <v>3</v>
      </c>
      <c r="Q81" s="391" t="s">
        <v>137</v>
      </c>
      <c r="R81" s="489">
        <v>44474</v>
      </c>
      <c r="S81" s="230" t="s">
        <v>185</v>
      </c>
      <c r="T81" s="474">
        <v>0.4</v>
      </c>
      <c r="U81" s="230" t="s">
        <v>1</v>
      </c>
      <c r="V81" s="230">
        <v>2030</v>
      </c>
      <c r="W81" s="230" t="s">
        <v>3</v>
      </c>
      <c r="X81" s="475" t="s">
        <v>1653</v>
      </c>
      <c r="Y81" s="554" t="s">
        <v>1320</v>
      </c>
      <c r="Z81" s="555" t="s">
        <v>1320</v>
      </c>
      <c r="AA81" s="555" t="s">
        <v>1320</v>
      </c>
      <c r="AB81" s="555" t="s">
        <v>1320</v>
      </c>
      <c r="AC81" s="555" t="s">
        <v>1320</v>
      </c>
      <c r="AD81" s="555" t="s">
        <v>1320</v>
      </c>
      <c r="AE81" s="556" t="s">
        <v>1320</v>
      </c>
      <c r="AF81" s="554" t="s">
        <v>1320</v>
      </c>
      <c r="AG81" s="555" t="s">
        <v>1320</v>
      </c>
      <c r="AH81" s="555" t="s">
        <v>1320</v>
      </c>
      <c r="AI81" s="555" t="s">
        <v>1320</v>
      </c>
      <c r="AJ81" s="555" t="s">
        <v>1320</v>
      </c>
      <c r="AK81" s="555" t="s">
        <v>1320</v>
      </c>
      <c r="AL81" s="556" t="s">
        <v>1320</v>
      </c>
    </row>
    <row r="82" spans="1:38" s="471" customFormat="1" ht="136.94999999999999" customHeight="1">
      <c r="A82" s="32" t="s">
        <v>597</v>
      </c>
      <c r="B82" s="95" t="s">
        <v>181</v>
      </c>
      <c r="C82" s="124" t="s">
        <v>1284</v>
      </c>
      <c r="D82" s="554" t="s">
        <v>1320</v>
      </c>
      <c r="E82" s="555" t="s">
        <v>1320</v>
      </c>
      <c r="F82" s="555" t="s">
        <v>1320</v>
      </c>
      <c r="G82" s="555" t="s">
        <v>1320</v>
      </c>
      <c r="H82" s="555" t="s">
        <v>1320</v>
      </c>
      <c r="I82" s="555" t="s">
        <v>1320</v>
      </c>
      <c r="J82" s="556" t="s">
        <v>1320</v>
      </c>
      <c r="K82" s="479">
        <v>42634</v>
      </c>
      <c r="L82" s="293" t="s">
        <v>185</v>
      </c>
      <c r="M82" s="318" t="s">
        <v>1279</v>
      </c>
      <c r="N82" s="293" t="s">
        <v>1</v>
      </c>
      <c r="O82" s="293">
        <v>2030</v>
      </c>
      <c r="P82" s="293" t="s">
        <v>3</v>
      </c>
      <c r="Q82" s="391" t="s">
        <v>1281</v>
      </c>
      <c r="R82" s="489">
        <v>44195</v>
      </c>
      <c r="S82" s="293" t="s">
        <v>185</v>
      </c>
      <c r="T82" s="318" t="s">
        <v>1279</v>
      </c>
      <c r="U82" s="293" t="s">
        <v>1</v>
      </c>
      <c r="V82" s="293">
        <v>2030</v>
      </c>
      <c r="W82" s="230" t="s">
        <v>3</v>
      </c>
      <c r="X82" s="391" t="s">
        <v>1280</v>
      </c>
      <c r="Y82" s="554" t="s">
        <v>1320</v>
      </c>
      <c r="Z82" s="555" t="s">
        <v>1320</v>
      </c>
      <c r="AA82" s="555" t="s">
        <v>1320</v>
      </c>
      <c r="AB82" s="555" t="s">
        <v>1320</v>
      </c>
      <c r="AC82" s="555" t="s">
        <v>1320</v>
      </c>
      <c r="AD82" s="555" t="s">
        <v>1320</v>
      </c>
      <c r="AE82" s="556" t="s">
        <v>1320</v>
      </c>
      <c r="AF82" s="554" t="s">
        <v>1320</v>
      </c>
      <c r="AG82" s="555" t="s">
        <v>1320</v>
      </c>
      <c r="AH82" s="555" t="s">
        <v>1320</v>
      </c>
      <c r="AI82" s="555" t="s">
        <v>1320</v>
      </c>
      <c r="AJ82" s="555" t="s">
        <v>1320</v>
      </c>
      <c r="AK82" s="555" t="s">
        <v>1320</v>
      </c>
      <c r="AL82" s="556" t="s">
        <v>1320</v>
      </c>
    </row>
    <row r="83" spans="1:38" s="599" customFormat="1" ht="136.94999999999999" customHeight="1">
      <c r="A83" s="32" t="s">
        <v>598</v>
      </c>
      <c r="B83" s="97" t="s">
        <v>25</v>
      </c>
      <c r="C83" s="124" t="s">
        <v>1076</v>
      </c>
      <c r="D83" s="554" t="s">
        <v>1320</v>
      </c>
      <c r="E83" s="555" t="s">
        <v>1320</v>
      </c>
      <c r="F83" s="555" t="s">
        <v>1320</v>
      </c>
      <c r="G83" s="555" t="s">
        <v>1320</v>
      </c>
      <c r="H83" s="555" t="s">
        <v>1320</v>
      </c>
      <c r="I83" s="555" t="s">
        <v>1320</v>
      </c>
      <c r="J83" s="556" t="s">
        <v>1320</v>
      </c>
      <c r="K83" s="302">
        <v>42262</v>
      </c>
      <c r="L83" s="293" t="s">
        <v>186</v>
      </c>
      <c r="M83" s="293" t="s">
        <v>1040</v>
      </c>
      <c r="N83" s="307">
        <v>2000</v>
      </c>
      <c r="O83" s="307">
        <v>2025</v>
      </c>
      <c r="P83" s="230" t="s">
        <v>3</v>
      </c>
      <c r="Q83" s="391" t="s">
        <v>69</v>
      </c>
      <c r="R83" s="489">
        <v>44851</v>
      </c>
      <c r="S83" s="293" t="s">
        <v>186</v>
      </c>
      <c r="T83" s="54" t="s">
        <v>2180</v>
      </c>
      <c r="U83" s="307">
        <v>2000</v>
      </c>
      <c r="V83" s="593">
        <v>2030</v>
      </c>
      <c r="W83" s="230" t="s">
        <v>3</v>
      </c>
      <c r="X83" s="473" t="s">
        <v>2182</v>
      </c>
      <c r="Y83" s="554" t="s">
        <v>1320</v>
      </c>
      <c r="Z83" s="555" t="s">
        <v>1320</v>
      </c>
      <c r="AA83" s="555" t="s">
        <v>1320</v>
      </c>
      <c r="AB83" s="555" t="s">
        <v>1320</v>
      </c>
      <c r="AC83" s="555" t="s">
        <v>1320</v>
      </c>
      <c r="AD83" s="555" t="s">
        <v>1320</v>
      </c>
      <c r="AE83" s="556" t="s">
        <v>1320</v>
      </c>
      <c r="AF83" s="554" t="s">
        <v>1320</v>
      </c>
      <c r="AG83" s="555" t="s">
        <v>1320</v>
      </c>
      <c r="AH83" s="555" t="s">
        <v>1320</v>
      </c>
      <c r="AI83" s="555" t="s">
        <v>1320</v>
      </c>
      <c r="AJ83" s="555" t="s">
        <v>1320</v>
      </c>
      <c r="AK83" s="555" t="s">
        <v>1320</v>
      </c>
      <c r="AL83" s="556" t="s">
        <v>1320</v>
      </c>
    </row>
    <row r="84" spans="1:38" s="464" customFormat="1" ht="116.55" customHeight="1">
      <c r="A84" s="31" t="s">
        <v>599</v>
      </c>
      <c r="B84" s="557" t="s">
        <v>76</v>
      </c>
      <c r="C84" s="124" t="s">
        <v>1076</v>
      </c>
      <c r="D84" s="554" t="s">
        <v>1320</v>
      </c>
      <c r="E84" s="555" t="s">
        <v>1320</v>
      </c>
      <c r="F84" s="555" t="s">
        <v>1320</v>
      </c>
      <c r="G84" s="555" t="s">
        <v>1320</v>
      </c>
      <c r="H84" s="555" t="s">
        <v>1320</v>
      </c>
      <c r="I84" s="555" t="s">
        <v>1320</v>
      </c>
      <c r="J84" s="556" t="s">
        <v>1320</v>
      </c>
      <c r="K84" s="303">
        <v>42669</v>
      </c>
      <c r="L84" s="293" t="s">
        <v>186</v>
      </c>
      <c r="M84" s="318">
        <v>0.5</v>
      </c>
      <c r="N84" s="293">
        <v>1990</v>
      </c>
      <c r="O84" s="293">
        <v>2030</v>
      </c>
      <c r="P84" s="230" t="s">
        <v>131</v>
      </c>
      <c r="Q84" s="24" t="s">
        <v>227</v>
      </c>
      <c r="R84" s="551">
        <v>44193</v>
      </c>
      <c r="S84" s="293" t="s">
        <v>186</v>
      </c>
      <c r="T84" s="55">
        <v>0.55000000000000004</v>
      </c>
      <c r="U84" s="293">
        <v>1990</v>
      </c>
      <c r="V84" s="293">
        <v>2030</v>
      </c>
      <c r="W84" s="293" t="s">
        <v>131</v>
      </c>
      <c r="X84" s="56" t="s">
        <v>1243</v>
      </c>
      <c r="Y84" s="554" t="s">
        <v>1320</v>
      </c>
      <c r="Z84" s="555" t="s">
        <v>1320</v>
      </c>
      <c r="AA84" s="555" t="s">
        <v>1320</v>
      </c>
      <c r="AB84" s="555" t="s">
        <v>1320</v>
      </c>
      <c r="AC84" s="555" t="s">
        <v>1320</v>
      </c>
      <c r="AD84" s="555" t="s">
        <v>1320</v>
      </c>
      <c r="AE84" s="556" t="s">
        <v>1320</v>
      </c>
      <c r="AF84" s="554" t="s">
        <v>1320</v>
      </c>
      <c r="AG84" s="555" t="s">
        <v>1320</v>
      </c>
      <c r="AH84" s="555" t="s">
        <v>1320</v>
      </c>
      <c r="AI84" s="555" t="s">
        <v>1320</v>
      </c>
      <c r="AJ84" s="555" t="s">
        <v>1320</v>
      </c>
      <c r="AK84" s="555" t="s">
        <v>1320</v>
      </c>
      <c r="AL84" s="556" t="s">
        <v>1320</v>
      </c>
    </row>
    <row r="85" spans="1:38" s="455" customFormat="1" ht="116.55" customHeight="1">
      <c r="A85" s="31" t="s">
        <v>600</v>
      </c>
      <c r="B85" s="561" t="s">
        <v>23</v>
      </c>
      <c r="C85" s="124" t="s">
        <v>1076</v>
      </c>
      <c r="D85" s="554" t="s">
        <v>1320</v>
      </c>
      <c r="E85" s="555" t="s">
        <v>1320</v>
      </c>
      <c r="F85" s="555" t="s">
        <v>1320</v>
      </c>
      <c r="G85" s="555" t="s">
        <v>1320</v>
      </c>
      <c r="H85" s="555" t="s">
        <v>1320</v>
      </c>
      <c r="I85" s="555" t="s">
        <v>1320</v>
      </c>
      <c r="J85" s="556" t="s">
        <v>1320</v>
      </c>
      <c r="K85" s="303">
        <v>42634</v>
      </c>
      <c r="L85" s="230" t="s">
        <v>185</v>
      </c>
      <c r="M85" s="319">
        <v>0.14000000000000001</v>
      </c>
      <c r="N85" s="230" t="s">
        <v>1</v>
      </c>
      <c r="O85" s="230">
        <v>2030</v>
      </c>
      <c r="P85" s="230" t="s">
        <v>3</v>
      </c>
      <c r="Q85" s="460" t="s">
        <v>50</v>
      </c>
      <c r="R85" s="489">
        <v>44117</v>
      </c>
      <c r="S85" s="230" t="s">
        <v>185</v>
      </c>
      <c r="T85" s="458" t="s">
        <v>1173</v>
      </c>
      <c r="U85" s="230" t="s">
        <v>1</v>
      </c>
      <c r="V85" s="230">
        <v>2030</v>
      </c>
      <c r="W85" s="230" t="s">
        <v>3</v>
      </c>
      <c r="X85" s="430" t="s">
        <v>1172</v>
      </c>
      <c r="Y85" s="554" t="s">
        <v>1320</v>
      </c>
      <c r="Z85" s="555" t="s">
        <v>1320</v>
      </c>
      <c r="AA85" s="555" t="s">
        <v>1320</v>
      </c>
      <c r="AB85" s="555" t="s">
        <v>1320</v>
      </c>
      <c r="AC85" s="555" t="s">
        <v>1320</v>
      </c>
      <c r="AD85" s="555" t="s">
        <v>1320</v>
      </c>
      <c r="AE85" s="556" t="s">
        <v>1320</v>
      </c>
      <c r="AF85" s="554" t="s">
        <v>1320</v>
      </c>
      <c r="AG85" s="555" t="s">
        <v>1320</v>
      </c>
      <c r="AH85" s="555" t="s">
        <v>1320</v>
      </c>
      <c r="AI85" s="555" t="s">
        <v>1320</v>
      </c>
      <c r="AJ85" s="555" t="s">
        <v>1320</v>
      </c>
      <c r="AK85" s="555" t="s">
        <v>1320</v>
      </c>
      <c r="AL85" s="556" t="s">
        <v>1320</v>
      </c>
    </row>
    <row r="86" spans="1:38" s="506" customFormat="1" ht="116.55" customHeight="1">
      <c r="A86" s="32" t="s">
        <v>601</v>
      </c>
      <c r="B86" s="93" t="s">
        <v>183</v>
      </c>
      <c r="C86" s="124" t="s">
        <v>1076</v>
      </c>
      <c r="D86" s="554" t="s">
        <v>1320</v>
      </c>
      <c r="E86" s="555" t="s">
        <v>1320</v>
      </c>
      <c r="F86" s="555" t="s">
        <v>1320</v>
      </c>
      <c r="G86" s="555" t="s">
        <v>1320</v>
      </c>
      <c r="H86" s="555" t="s">
        <v>1320</v>
      </c>
      <c r="I86" s="555" t="s">
        <v>1320</v>
      </c>
      <c r="J86" s="556" t="s">
        <v>1320</v>
      </c>
      <c r="K86" s="303">
        <v>43090</v>
      </c>
      <c r="L86" s="293" t="s">
        <v>186</v>
      </c>
      <c r="M86" s="318">
        <v>0.3</v>
      </c>
      <c r="N86" s="293">
        <v>1990</v>
      </c>
      <c r="O86" s="293">
        <v>2030</v>
      </c>
      <c r="P86" s="230" t="s">
        <v>3</v>
      </c>
      <c r="Q86" s="24" t="s">
        <v>37</v>
      </c>
      <c r="R86" s="551">
        <v>44362</v>
      </c>
      <c r="S86" s="293" t="s">
        <v>186</v>
      </c>
      <c r="T86" s="55">
        <v>0.35</v>
      </c>
      <c r="U86" s="293">
        <v>1990</v>
      </c>
      <c r="V86" s="293">
        <v>2030</v>
      </c>
      <c r="W86" s="230" t="s">
        <v>3</v>
      </c>
      <c r="X86" s="473" t="s">
        <v>1418</v>
      </c>
      <c r="Y86" s="554" t="s">
        <v>1320</v>
      </c>
      <c r="Z86" s="555" t="s">
        <v>1320</v>
      </c>
      <c r="AA86" s="555" t="s">
        <v>1320</v>
      </c>
      <c r="AB86" s="555" t="s">
        <v>1320</v>
      </c>
      <c r="AC86" s="555" t="s">
        <v>1320</v>
      </c>
      <c r="AD86" s="555" t="s">
        <v>1320</v>
      </c>
      <c r="AE86" s="556" t="s">
        <v>1320</v>
      </c>
      <c r="AF86" s="554" t="s">
        <v>1320</v>
      </c>
      <c r="AG86" s="555" t="s">
        <v>1320</v>
      </c>
      <c r="AH86" s="555" t="s">
        <v>1320</v>
      </c>
      <c r="AI86" s="555" t="s">
        <v>1320</v>
      </c>
      <c r="AJ86" s="555" t="s">
        <v>1320</v>
      </c>
      <c r="AK86" s="555" t="s">
        <v>1320</v>
      </c>
      <c r="AL86" s="556" t="s">
        <v>1320</v>
      </c>
    </row>
    <row r="87" spans="1:38" ht="156">
      <c r="A87" s="31" t="s">
        <v>668</v>
      </c>
      <c r="B87" s="203" t="s">
        <v>182</v>
      </c>
      <c r="C87" s="124" t="s">
        <v>1421</v>
      </c>
      <c r="D87" s="558">
        <v>42160</v>
      </c>
      <c r="E87" s="20" t="s">
        <v>185</v>
      </c>
      <c r="F87" s="20" t="s">
        <v>1117</v>
      </c>
      <c r="G87" s="20" t="s">
        <v>1</v>
      </c>
      <c r="H87" s="20">
        <v>2030</v>
      </c>
      <c r="I87" s="20" t="s">
        <v>3</v>
      </c>
      <c r="J87" s="48" t="s">
        <v>138</v>
      </c>
      <c r="K87" s="303">
        <v>42632</v>
      </c>
      <c r="L87" s="23" t="s">
        <v>881</v>
      </c>
      <c r="M87" s="52" t="s">
        <v>1123</v>
      </c>
      <c r="N87" s="23" t="s">
        <v>1</v>
      </c>
      <c r="O87" s="23">
        <v>2030</v>
      </c>
      <c r="P87" s="23" t="s">
        <v>3</v>
      </c>
      <c r="Q87" s="53" t="s">
        <v>972</v>
      </c>
      <c r="R87" s="563">
        <v>44369</v>
      </c>
      <c r="S87" s="230" t="s">
        <v>185</v>
      </c>
      <c r="T87" s="456" t="s">
        <v>1423</v>
      </c>
      <c r="U87" s="230" t="s">
        <v>1</v>
      </c>
      <c r="V87" s="230">
        <v>2030</v>
      </c>
      <c r="W87" s="230" t="s">
        <v>3</v>
      </c>
      <c r="X87" s="475" t="s">
        <v>1422</v>
      </c>
      <c r="Y87" s="554" t="s">
        <v>1320</v>
      </c>
      <c r="Z87" s="555" t="s">
        <v>1320</v>
      </c>
      <c r="AA87" s="555" t="s">
        <v>1320</v>
      </c>
      <c r="AB87" s="555" t="s">
        <v>1320</v>
      </c>
      <c r="AC87" s="555" t="s">
        <v>1320</v>
      </c>
      <c r="AD87" s="555" t="s">
        <v>1320</v>
      </c>
      <c r="AE87" s="556" t="s">
        <v>1320</v>
      </c>
      <c r="AF87" s="554" t="s">
        <v>1320</v>
      </c>
      <c r="AG87" s="555" t="s">
        <v>1320</v>
      </c>
      <c r="AH87" s="555" t="s">
        <v>1320</v>
      </c>
      <c r="AI87" s="555" t="s">
        <v>1320</v>
      </c>
      <c r="AJ87" s="555" t="s">
        <v>1320</v>
      </c>
      <c r="AK87" s="555" t="s">
        <v>1320</v>
      </c>
      <c r="AL87" s="556" t="s">
        <v>1320</v>
      </c>
    </row>
    <row r="88" spans="1:38" s="544" customFormat="1" ht="69.45" customHeight="1">
      <c r="A88" s="31" t="s">
        <v>1837</v>
      </c>
      <c r="B88" s="203" t="s">
        <v>182</v>
      </c>
      <c r="C88" s="124" t="s">
        <v>1076</v>
      </c>
      <c r="D88" s="554" t="s">
        <v>1320</v>
      </c>
      <c r="E88" s="555" t="s">
        <v>1320</v>
      </c>
      <c r="F88" s="555" t="s">
        <v>1320</v>
      </c>
      <c r="G88" s="555" t="s">
        <v>1320</v>
      </c>
      <c r="H88" s="555" t="s">
        <v>1320</v>
      </c>
      <c r="I88" s="555" t="s">
        <v>1320</v>
      </c>
      <c r="J88" s="556" t="s">
        <v>1320</v>
      </c>
      <c r="K88" s="303">
        <v>43255</v>
      </c>
      <c r="L88" s="230" t="s">
        <v>189</v>
      </c>
      <c r="M88" s="230" t="s">
        <v>3</v>
      </c>
      <c r="N88" s="230" t="s">
        <v>3</v>
      </c>
      <c r="O88" s="230">
        <v>2030</v>
      </c>
      <c r="P88" s="230" t="s">
        <v>3</v>
      </c>
      <c r="Q88" s="46" t="s">
        <v>395</v>
      </c>
      <c r="R88" s="551">
        <v>44557</v>
      </c>
      <c r="S88" s="456" t="s">
        <v>1839</v>
      </c>
      <c r="T88" s="456" t="s">
        <v>1841</v>
      </c>
      <c r="U88" s="456" t="s">
        <v>1840</v>
      </c>
      <c r="V88" s="456">
        <v>2025</v>
      </c>
      <c r="W88" s="456" t="s">
        <v>1842</v>
      </c>
      <c r="X88" s="475" t="s">
        <v>1838</v>
      </c>
      <c r="Y88" s="554" t="s">
        <v>1320</v>
      </c>
      <c r="Z88" s="555" t="s">
        <v>1320</v>
      </c>
      <c r="AA88" s="555" t="s">
        <v>1320</v>
      </c>
      <c r="AB88" s="555" t="s">
        <v>1320</v>
      </c>
      <c r="AC88" s="555" t="s">
        <v>1320</v>
      </c>
      <c r="AD88" s="555" t="s">
        <v>1320</v>
      </c>
      <c r="AE88" s="556" t="s">
        <v>1320</v>
      </c>
      <c r="AF88" s="554" t="s">
        <v>1320</v>
      </c>
      <c r="AG88" s="555" t="s">
        <v>1320</v>
      </c>
      <c r="AH88" s="555" t="s">
        <v>1320</v>
      </c>
      <c r="AI88" s="555" t="s">
        <v>1320</v>
      </c>
      <c r="AJ88" s="555" t="s">
        <v>1320</v>
      </c>
      <c r="AK88" s="555" t="s">
        <v>1320</v>
      </c>
      <c r="AL88" s="556" t="s">
        <v>1320</v>
      </c>
    </row>
    <row r="89" spans="1:38" s="546" customFormat="1" ht="69.45" customHeight="1">
      <c r="A89" s="31" t="s">
        <v>1878</v>
      </c>
      <c r="B89" s="561" t="s">
        <v>23</v>
      </c>
      <c r="C89" s="124" t="s">
        <v>1076</v>
      </c>
      <c r="D89" s="554" t="s">
        <v>1320</v>
      </c>
      <c r="E89" s="555" t="s">
        <v>1320</v>
      </c>
      <c r="F89" s="555" t="s">
        <v>1320</v>
      </c>
      <c r="G89" s="555" t="s">
        <v>1320</v>
      </c>
      <c r="H89" s="555" t="s">
        <v>1320</v>
      </c>
      <c r="I89" s="555" t="s">
        <v>1320</v>
      </c>
      <c r="J89" s="556" t="s">
        <v>1320</v>
      </c>
      <c r="K89" s="303">
        <v>42997</v>
      </c>
      <c r="L89" s="230" t="s">
        <v>189</v>
      </c>
      <c r="M89" s="319" t="s">
        <v>344</v>
      </c>
      <c r="N89" s="230" t="s">
        <v>3</v>
      </c>
      <c r="O89" s="230">
        <v>2030</v>
      </c>
      <c r="P89" s="230" t="s">
        <v>3</v>
      </c>
      <c r="Q89" s="320" t="s">
        <v>1095</v>
      </c>
      <c r="R89" s="321">
        <v>44411</v>
      </c>
      <c r="S89" s="456" t="s">
        <v>1879</v>
      </c>
      <c r="T89" s="474" t="s">
        <v>1880</v>
      </c>
      <c r="U89" s="230" t="s">
        <v>3</v>
      </c>
      <c r="V89" s="456">
        <v>2030</v>
      </c>
      <c r="W89" s="230" t="s">
        <v>1881</v>
      </c>
      <c r="X89" s="495" t="s">
        <v>1882</v>
      </c>
      <c r="Y89" s="554" t="s">
        <v>1320</v>
      </c>
      <c r="Z89" s="555" t="s">
        <v>1320</v>
      </c>
      <c r="AA89" s="555" t="s">
        <v>1320</v>
      </c>
      <c r="AB89" s="555" t="s">
        <v>1320</v>
      </c>
      <c r="AC89" s="555" t="s">
        <v>1320</v>
      </c>
      <c r="AD89" s="555" t="s">
        <v>1320</v>
      </c>
      <c r="AE89" s="556" t="s">
        <v>1320</v>
      </c>
      <c r="AF89" s="554" t="s">
        <v>1320</v>
      </c>
      <c r="AG89" s="555" t="s">
        <v>1320</v>
      </c>
      <c r="AH89" s="555" t="s">
        <v>1320</v>
      </c>
      <c r="AI89" s="555" t="s">
        <v>1320</v>
      </c>
      <c r="AJ89" s="555" t="s">
        <v>1320</v>
      </c>
      <c r="AK89" s="555" t="s">
        <v>1320</v>
      </c>
      <c r="AL89" s="556" t="s">
        <v>1320</v>
      </c>
    </row>
    <row r="90" spans="1:38" s="513" customFormat="1" ht="69.45" customHeight="1">
      <c r="A90" s="31" t="s">
        <v>605</v>
      </c>
      <c r="B90" s="92" t="s">
        <v>180</v>
      </c>
      <c r="C90" s="124" t="s">
        <v>1076</v>
      </c>
      <c r="D90" s="554" t="s">
        <v>1320</v>
      </c>
      <c r="E90" s="555" t="s">
        <v>1320</v>
      </c>
      <c r="F90" s="555" t="s">
        <v>1320</v>
      </c>
      <c r="G90" s="555" t="s">
        <v>1320</v>
      </c>
      <c r="H90" s="555" t="s">
        <v>1320</v>
      </c>
      <c r="I90" s="555" t="s">
        <v>1320</v>
      </c>
      <c r="J90" s="556" t="s">
        <v>1320</v>
      </c>
      <c r="K90" s="303">
        <v>42634</v>
      </c>
      <c r="L90" s="230" t="s">
        <v>185</v>
      </c>
      <c r="M90" s="319">
        <v>0.89</v>
      </c>
      <c r="N90" s="230" t="s">
        <v>1</v>
      </c>
      <c r="O90" s="230">
        <v>2030</v>
      </c>
      <c r="P90" s="230" t="s">
        <v>3</v>
      </c>
      <c r="Q90" s="46" t="s">
        <v>139</v>
      </c>
      <c r="R90" s="551">
        <v>44407</v>
      </c>
      <c r="S90" s="230" t="s">
        <v>185</v>
      </c>
      <c r="T90" s="474">
        <v>0.91</v>
      </c>
      <c r="U90" s="230" t="s">
        <v>1</v>
      </c>
      <c r="V90" s="230">
        <v>2030</v>
      </c>
      <c r="W90" s="230" t="s">
        <v>3</v>
      </c>
      <c r="X90" s="475" t="s">
        <v>1501</v>
      </c>
      <c r="Y90" s="554" t="s">
        <v>1320</v>
      </c>
      <c r="Z90" s="555" t="s">
        <v>1320</v>
      </c>
      <c r="AA90" s="555" t="s">
        <v>1320</v>
      </c>
      <c r="AB90" s="555" t="s">
        <v>1320</v>
      </c>
      <c r="AC90" s="555" t="s">
        <v>1320</v>
      </c>
      <c r="AD90" s="555" t="s">
        <v>1320</v>
      </c>
      <c r="AE90" s="556" t="s">
        <v>1320</v>
      </c>
      <c r="AF90" s="554" t="s">
        <v>1320</v>
      </c>
      <c r="AG90" s="555" t="s">
        <v>1320</v>
      </c>
      <c r="AH90" s="555" t="s">
        <v>1320</v>
      </c>
      <c r="AI90" s="555" t="s">
        <v>1320</v>
      </c>
      <c r="AJ90" s="555" t="s">
        <v>1320</v>
      </c>
      <c r="AK90" s="555" t="s">
        <v>1320</v>
      </c>
      <c r="AL90" s="556" t="s">
        <v>1320</v>
      </c>
    </row>
    <row r="91" spans="1:38" s="532" customFormat="1" ht="69.45" customHeight="1">
      <c r="A91" s="32" t="s">
        <v>606</v>
      </c>
      <c r="B91" s="560" t="s">
        <v>25</v>
      </c>
      <c r="C91" s="124" t="s">
        <v>1076</v>
      </c>
      <c r="D91" s="554" t="s">
        <v>1320</v>
      </c>
      <c r="E91" s="555" t="s">
        <v>1320</v>
      </c>
      <c r="F91" s="555" t="s">
        <v>1320</v>
      </c>
      <c r="G91" s="555" t="s">
        <v>1320</v>
      </c>
      <c r="H91" s="555" t="s">
        <v>1320</v>
      </c>
      <c r="I91" s="555" t="s">
        <v>1320</v>
      </c>
      <c r="J91" s="556" t="s">
        <v>1320</v>
      </c>
      <c r="K91" s="303">
        <v>42467</v>
      </c>
      <c r="L91" s="293" t="s">
        <v>189</v>
      </c>
      <c r="M91" s="293" t="s">
        <v>3</v>
      </c>
      <c r="N91" s="293" t="s">
        <v>3</v>
      </c>
      <c r="O91" s="293">
        <v>2030</v>
      </c>
      <c r="P91" s="230" t="s">
        <v>3</v>
      </c>
      <c r="Q91" s="391" t="s">
        <v>1745</v>
      </c>
      <c r="R91" s="489">
        <v>44483</v>
      </c>
      <c r="S91" s="293" t="s">
        <v>189</v>
      </c>
      <c r="T91" s="293" t="s">
        <v>3</v>
      </c>
      <c r="U91" s="293" t="s">
        <v>3</v>
      </c>
      <c r="V91" s="293">
        <v>2030</v>
      </c>
      <c r="W91" s="230" t="s">
        <v>3</v>
      </c>
      <c r="X91" s="473" t="s">
        <v>1746</v>
      </c>
      <c r="Y91" s="554" t="s">
        <v>1320</v>
      </c>
      <c r="Z91" s="555" t="s">
        <v>1320</v>
      </c>
      <c r="AA91" s="555" t="s">
        <v>1320</v>
      </c>
      <c r="AB91" s="555" t="s">
        <v>1320</v>
      </c>
      <c r="AC91" s="555" t="s">
        <v>1320</v>
      </c>
      <c r="AD91" s="555" t="s">
        <v>1320</v>
      </c>
      <c r="AE91" s="556" t="s">
        <v>1320</v>
      </c>
      <c r="AF91" s="554" t="s">
        <v>1320</v>
      </c>
      <c r="AG91" s="555" t="s">
        <v>1320</v>
      </c>
      <c r="AH91" s="555" t="s">
        <v>1320</v>
      </c>
      <c r="AI91" s="555" t="s">
        <v>1320</v>
      </c>
      <c r="AJ91" s="555" t="s">
        <v>1320</v>
      </c>
      <c r="AK91" s="555" t="s">
        <v>1320</v>
      </c>
      <c r="AL91" s="556" t="s">
        <v>1320</v>
      </c>
    </row>
    <row r="92" spans="1:38" s="451" customFormat="1" ht="87.45" customHeight="1">
      <c r="A92" s="31" t="s">
        <v>607</v>
      </c>
      <c r="B92" s="561" t="s">
        <v>23</v>
      </c>
      <c r="C92" s="124" t="s">
        <v>1189</v>
      </c>
      <c r="D92" s="554" t="s">
        <v>1320</v>
      </c>
      <c r="E92" s="555" t="s">
        <v>1320</v>
      </c>
      <c r="F92" s="555" t="s">
        <v>1320</v>
      </c>
      <c r="G92" s="555" t="s">
        <v>1320</v>
      </c>
      <c r="H92" s="555" t="s">
        <v>1320</v>
      </c>
      <c r="I92" s="555" t="s">
        <v>1320</v>
      </c>
      <c r="J92" s="556" t="s">
        <v>1320</v>
      </c>
      <c r="K92" s="304">
        <v>42648</v>
      </c>
      <c r="L92" s="230" t="s">
        <v>189</v>
      </c>
      <c r="M92" s="230" t="s">
        <v>342</v>
      </c>
      <c r="N92" s="230" t="s">
        <v>3</v>
      </c>
      <c r="O92" s="230" t="s">
        <v>343</v>
      </c>
      <c r="P92" s="230" t="s">
        <v>3</v>
      </c>
      <c r="Q92" s="460" t="s">
        <v>1162</v>
      </c>
      <c r="R92" s="489">
        <v>44173</v>
      </c>
      <c r="S92" s="230" t="s">
        <v>189</v>
      </c>
      <c r="T92" s="230" t="s">
        <v>1186</v>
      </c>
      <c r="U92" s="230" t="s">
        <v>3</v>
      </c>
      <c r="V92" s="456">
        <v>2030</v>
      </c>
      <c r="W92" s="230" t="s">
        <v>3</v>
      </c>
      <c r="X92" s="430" t="s">
        <v>1185</v>
      </c>
      <c r="Y92" s="554" t="s">
        <v>1320</v>
      </c>
      <c r="Z92" s="555" t="s">
        <v>1320</v>
      </c>
      <c r="AA92" s="555" t="s">
        <v>1320</v>
      </c>
      <c r="AB92" s="555" t="s">
        <v>1320</v>
      </c>
      <c r="AC92" s="555" t="s">
        <v>1320</v>
      </c>
      <c r="AD92" s="555" t="s">
        <v>1320</v>
      </c>
      <c r="AE92" s="556" t="s">
        <v>1320</v>
      </c>
      <c r="AF92" s="554" t="s">
        <v>1320</v>
      </c>
      <c r="AG92" s="555" t="s">
        <v>1320</v>
      </c>
      <c r="AH92" s="555" t="s">
        <v>1320</v>
      </c>
      <c r="AI92" s="555" t="s">
        <v>1320</v>
      </c>
      <c r="AJ92" s="555" t="s">
        <v>1320</v>
      </c>
      <c r="AK92" s="555" t="s">
        <v>1320</v>
      </c>
      <c r="AL92" s="556" t="s">
        <v>1320</v>
      </c>
    </row>
    <row r="93" spans="1:38" s="539" customFormat="1" ht="87.45" customHeight="1">
      <c r="A93" s="32" t="s">
        <v>608</v>
      </c>
      <c r="B93" s="560" t="s">
        <v>25</v>
      </c>
      <c r="C93" s="124" t="s">
        <v>1076</v>
      </c>
      <c r="D93" s="554" t="s">
        <v>1320</v>
      </c>
      <c r="E93" s="555" t="s">
        <v>1320</v>
      </c>
      <c r="F93" s="555" t="s">
        <v>1320</v>
      </c>
      <c r="G93" s="555" t="s">
        <v>1320</v>
      </c>
      <c r="H93" s="555" t="s">
        <v>1320</v>
      </c>
      <c r="I93" s="555" t="s">
        <v>1320</v>
      </c>
      <c r="J93" s="556" t="s">
        <v>1320</v>
      </c>
      <c r="K93" s="303">
        <v>42648</v>
      </c>
      <c r="L93" s="230" t="s">
        <v>873</v>
      </c>
      <c r="M93" s="318">
        <v>0.3</v>
      </c>
      <c r="N93" s="293">
        <v>2005</v>
      </c>
      <c r="O93" s="293">
        <v>2030</v>
      </c>
      <c r="P93" s="230" t="s">
        <v>131</v>
      </c>
      <c r="Q93" s="391" t="s">
        <v>1125</v>
      </c>
      <c r="R93" s="489">
        <v>44504</v>
      </c>
      <c r="S93" s="230" t="s">
        <v>873</v>
      </c>
      <c r="T93" s="55">
        <v>0.5</v>
      </c>
      <c r="U93" s="293">
        <v>2005</v>
      </c>
      <c r="V93" s="293">
        <v>2030</v>
      </c>
      <c r="W93" s="230" t="s">
        <v>1802</v>
      </c>
      <c r="X93" s="473" t="s">
        <v>1806</v>
      </c>
      <c r="Y93" s="554" t="s">
        <v>1320</v>
      </c>
      <c r="Z93" s="555" t="s">
        <v>1320</v>
      </c>
      <c r="AA93" s="555" t="s">
        <v>1320</v>
      </c>
      <c r="AB93" s="555" t="s">
        <v>1320</v>
      </c>
      <c r="AC93" s="555" t="s">
        <v>1320</v>
      </c>
      <c r="AD93" s="555" t="s">
        <v>1320</v>
      </c>
      <c r="AE93" s="556" t="s">
        <v>1320</v>
      </c>
      <c r="AF93" s="554" t="s">
        <v>1320</v>
      </c>
      <c r="AG93" s="555" t="s">
        <v>1320</v>
      </c>
      <c r="AH93" s="555" t="s">
        <v>1320</v>
      </c>
      <c r="AI93" s="555" t="s">
        <v>1320</v>
      </c>
      <c r="AJ93" s="555" t="s">
        <v>1320</v>
      </c>
      <c r="AK93" s="555" t="s">
        <v>1320</v>
      </c>
      <c r="AL93" s="556" t="s">
        <v>1320</v>
      </c>
    </row>
    <row r="94" spans="1:38" s="464" customFormat="1" ht="91.5" customHeight="1">
      <c r="A94" s="31" t="s">
        <v>1236</v>
      </c>
      <c r="B94" s="95" t="s">
        <v>181</v>
      </c>
      <c r="C94" s="124" t="s">
        <v>1235</v>
      </c>
      <c r="D94" s="554" t="s">
        <v>1320</v>
      </c>
      <c r="E94" s="555" t="s">
        <v>1320</v>
      </c>
      <c r="F94" s="555" t="s">
        <v>1320</v>
      </c>
      <c r="G94" s="555" t="s">
        <v>1320</v>
      </c>
      <c r="H94" s="555" t="s">
        <v>1320</v>
      </c>
      <c r="I94" s="555" t="s">
        <v>1320</v>
      </c>
      <c r="J94" s="556" t="s">
        <v>1320</v>
      </c>
      <c r="K94" s="303">
        <v>43346</v>
      </c>
      <c r="L94" s="230" t="s">
        <v>189</v>
      </c>
      <c r="M94" s="230" t="s">
        <v>1238</v>
      </c>
      <c r="N94" s="230">
        <v>2017</v>
      </c>
      <c r="O94" s="230">
        <v>2030</v>
      </c>
      <c r="P94" s="230" t="s">
        <v>3</v>
      </c>
      <c r="Q94" s="460" t="s">
        <v>1237</v>
      </c>
      <c r="R94" s="489">
        <v>44189</v>
      </c>
      <c r="S94" s="230" t="s">
        <v>1240</v>
      </c>
      <c r="T94" s="230" t="s">
        <v>1238</v>
      </c>
      <c r="U94" s="230" t="s">
        <v>3</v>
      </c>
      <c r="V94" s="230">
        <v>2030</v>
      </c>
      <c r="W94" s="230" t="s">
        <v>3</v>
      </c>
      <c r="X94" s="391" t="s">
        <v>1574</v>
      </c>
      <c r="Y94" s="554" t="s">
        <v>1320</v>
      </c>
      <c r="Z94" s="555" t="s">
        <v>1320</v>
      </c>
      <c r="AA94" s="555" t="s">
        <v>1320</v>
      </c>
      <c r="AB94" s="555" t="s">
        <v>1320</v>
      </c>
      <c r="AC94" s="555" t="s">
        <v>1320</v>
      </c>
      <c r="AD94" s="555" t="s">
        <v>1320</v>
      </c>
      <c r="AE94" s="556" t="s">
        <v>1320</v>
      </c>
      <c r="AF94" s="554" t="s">
        <v>1320</v>
      </c>
      <c r="AG94" s="555" t="s">
        <v>1320</v>
      </c>
      <c r="AH94" s="555" t="s">
        <v>1320</v>
      </c>
      <c r="AI94" s="555" t="s">
        <v>1320</v>
      </c>
      <c r="AJ94" s="555" t="s">
        <v>1320</v>
      </c>
      <c r="AK94" s="555" t="s">
        <v>1320</v>
      </c>
      <c r="AL94" s="556" t="s">
        <v>1320</v>
      </c>
    </row>
    <row r="95" spans="1:38" s="543" customFormat="1" ht="91.5" customHeight="1">
      <c r="A95" s="31" t="s">
        <v>610</v>
      </c>
      <c r="B95" s="92" t="s">
        <v>180</v>
      </c>
      <c r="C95" s="124" t="s">
        <v>1076</v>
      </c>
      <c r="D95" s="554" t="s">
        <v>1320</v>
      </c>
      <c r="E95" s="555" t="s">
        <v>1320</v>
      </c>
      <c r="F95" s="555" t="s">
        <v>1320</v>
      </c>
      <c r="G95" s="555" t="s">
        <v>1320</v>
      </c>
      <c r="H95" s="555" t="s">
        <v>1320</v>
      </c>
      <c r="I95" s="555" t="s">
        <v>1320</v>
      </c>
      <c r="J95" s="556" t="s">
        <v>1320</v>
      </c>
      <c r="K95" s="303">
        <v>42634</v>
      </c>
      <c r="L95" s="230" t="s">
        <v>185</v>
      </c>
      <c r="M95" s="230" t="s">
        <v>1042</v>
      </c>
      <c r="N95" s="230" t="s">
        <v>1</v>
      </c>
      <c r="O95" s="230">
        <v>2030</v>
      </c>
      <c r="P95" s="230" t="s">
        <v>3</v>
      </c>
      <c r="Q95" s="391" t="s">
        <v>1823</v>
      </c>
      <c r="R95" s="489">
        <v>44543</v>
      </c>
      <c r="S95" s="230" t="s">
        <v>185</v>
      </c>
      <c r="T95" s="230" t="s">
        <v>1825</v>
      </c>
      <c r="U95" s="230" t="s">
        <v>1</v>
      </c>
      <c r="V95" s="230" t="s">
        <v>1824</v>
      </c>
      <c r="W95" s="230" t="s">
        <v>3</v>
      </c>
      <c r="X95" s="46" t="s">
        <v>1827</v>
      </c>
      <c r="Y95" s="554" t="s">
        <v>1320</v>
      </c>
      <c r="Z95" s="555" t="s">
        <v>1320</v>
      </c>
      <c r="AA95" s="555" t="s">
        <v>1320</v>
      </c>
      <c r="AB95" s="555" t="s">
        <v>1320</v>
      </c>
      <c r="AC95" s="555" t="s">
        <v>1320</v>
      </c>
      <c r="AD95" s="555" t="s">
        <v>1320</v>
      </c>
      <c r="AE95" s="556" t="s">
        <v>1320</v>
      </c>
      <c r="AF95" s="554" t="s">
        <v>1320</v>
      </c>
      <c r="AG95" s="555" t="s">
        <v>1320</v>
      </c>
      <c r="AH95" s="555" t="s">
        <v>1320</v>
      </c>
      <c r="AI95" s="555" t="s">
        <v>1320</v>
      </c>
      <c r="AJ95" s="555" t="s">
        <v>1320</v>
      </c>
      <c r="AK95" s="555" t="s">
        <v>1320</v>
      </c>
      <c r="AL95" s="556" t="s">
        <v>1320</v>
      </c>
    </row>
    <row r="96" spans="1:38" s="505" customFormat="1" ht="91.5" customHeight="1">
      <c r="A96" s="31" t="s">
        <v>611</v>
      </c>
      <c r="B96" s="92" t="s">
        <v>180</v>
      </c>
      <c r="C96" s="124" t="s">
        <v>1076</v>
      </c>
      <c r="D96" s="554" t="s">
        <v>1320</v>
      </c>
      <c r="E96" s="555" t="s">
        <v>1320</v>
      </c>
      <c r="F96" s="555" t="s">
        <v>1320</v>
      </c>
      <c r="G96" s="555" t="s">
        <v>1320</v>
      </c>
      <c r="H96" s="555" t="s">
        <v>1320</v>
      </c>
      <c r="I96" s="555" t="s">
        <v>1320</v>
      </c>
      <c r="J96" s="556" t="s">
        <v>1320</v>
      </c>
      <c r="K96" s="120">
        <v>42871</v>
      </c>
      <c r="L96" s="230" t="s">
        <v>185</v>
      </c>
      <c r="M96" s="230" t="s">
        <v>1043</v>
      </c>
      <c r="N96" s="230" t="s">
        <v>1</v>
      </c>
      <c r="O96" s="230">
        <v>2030</v>
      </c>
      <c r="P96" s="230" t="s">
        <v>3</v>
      </c>
      <c r="Q96" s="391" t="s">
        <v>155</v>
      </c>
      <c r="R96" s="489">
        <v>44407</v>
      </c>
      <c r="S96" s="230" t="s">
        <v>185</v>
      </c>
      <c r="T96" s="456" t="s">
        <v>1504</v>
      </c>
      <c r="U96" s="230" t="s">
        <v>1</v>
      </c>
      <c r="V96" s="230">
        <v>2030</v>
      </c>
      <c r="W96" s="230" t="s">
        <v>3</v>
      </c>
      <c r="X96" s="475" t="s">
        <v>1503</v>
      </c>
      <c r="Y96" s="554" t="s">
        <v>1320</v>
      </c>
      <c r="Z96" s="555" t="s">
        <v>1320</v>
      </c>
      <c r="AA96" s="555" t="s">
        <v>1320</v>
      </c>
      <c r="AB96" s="555" t="s">
        <v>1320</v>
      </c>
      <c r="AC96" s="555" t="s">
        <v>1320</v>
      </c>
      <c r="AD96" s="555" t="s">
        <v>1320</v>
      </c>
      <c r="AE96" s="556" t="s">
        <v>1320</v>
      </c>
      <c r="AF96" s="554" t="s">
        <v>1320</v>
      </c>
      <c r="AG96" s="555" t="s">
        <v>1320</v>
      </c>
      <c r="AH96" s="555" t="s">
        <v>1320</v>
      </c>
      <c r="AI96" s="555" t="s">
        <v>1320</v>
      </c>
      <c r="AJ96" s="555" t="s">
        <v>1320</v>
      </c>
      <c r="AK96" s="555" t="s">
        <v>1320</v>
      </c>
      <c r="AL96" s="556" t="s">
        <v>1320</v>
      </c>
    </row>
    <row r="97" spans="1:38" s="499" customFormat="1" ht="70.05" customHeight="1">
      <c r="A97" s="32" t="s">
        <v>1369</v>
      </c>
      <c r="B97" s="93" t="s">
        <v>183</v>
      </c>
      <c r="C97" s="124" t="s">
        <v>1076</v>
      </c>
      <c r="D97" s="554" t="s">
        <v>1320</v>
      </c>
      <c r="E97" s="555" t="s">
        <v>1320</v>
      </c>
      <c r="F97" s="555" t="s">
        <v>1320</v>
      </c>
      <c r="G97" s="555" t="s">
        <v>1320</v>
      </c>
      <c r="H97" s="555" t="s">
        <v>1320</v>
      </c>
      <c r="I97" s="555" t="s">
        <v>1320</v>
      </c>
      <c r="J97" s="556" t="s">
        <v>1320</v>
      </c>
      <c r="K97" s="303">
        <v>43109</v>
      </c>
      <c r="L97" s="293" t="s">
        <v>185</v>
      </c>
      <c r="M97" s="293" t="s">
        <v>1036</v>
      </c>
      <c r="N97" s="293" t="s">
        <v>1</v>
      </c>
      <c r="O97" s="293">
        <v>2030</v>
      </c>
      <c r="P97" s="230" t="s">
        <v>3</v>
      </c>
      <c r="Q97" s="391" t="s">
        <v>36</v>
      </c>
      <c r="R97" s="489">
        <v>44305</v>
      </c>
      <c r="S97" s="54" t="s">
        <v>873</v>
      </c>
      <c r="T97" s="55">
        <v>0.51</v>
      </c>
      <c r="U97" s="54">
        <v>1990</v>
      </c>
      <c r="V97" s="52">
        <v>2030</v>
      </c>
      <c r="W97" s="230" t="s">
        <v>3</v>
      </c>
      <c r="X97" s="437" t="s">
        <v>1370</v>
      </c>
      <c r="Y97" s="554" t="s">
        <v>1320</v>
      </c>
      <c r="Z97" s="555" t="s">
        <v>1320</v>
      </c>
      <c r="AA97" s="555" t="s">
        <v>1320</v>
      </c>
      <c r="AB97" s="555" t="s">
        <v>1320</v>
      </c>
      <c r="AC97" s="555" t="s">
        <v>1320</v>
      </c>
      <c r="AD97" s="555" t="s">
        <v>1320</v>
      </c>
      <c r="AE97" s="556" t="s">
        <v>1320</v>
      </c>
      <c r="AF97" s="554" t="s">
        <v>1320</v>
      </c>
      <c r="AG97" s="555" t="s">
        <v>1320</v>
      </c>
      <c r="AH97" s="555" t="s">
        <v>1320</v>
      </c>
      <c r="AI97" s="555" t="s">
        <v>1320</v>
      </c>
      <c r="AJ97" s="555" t="s">
        <v>1320</v>
      </c>
      <c r="AK97" s="555" t="s">
        <v>1320</v>
      </c>
      <c r="AL97" s="556" t="s">
        <v>1320</v>
      </c>
    </row>
    <row r="98" spans="1:38" s="416" customFormat="1" ht="118.8">
      <c r="A98" s="31" t="s">
        <v>939</v>
      </c>
      <c r="B98" s="557" t="s">
        <v>76</v>
      </c>
      <c r="C98" s="124" t="s">
        <v>1076</v>
      </c>
      <c r="D98" s="554" t="s">
        <v>1320</v>
      </c>
      <c r="E98" s="555" t="s">
        <v>1320</v>
      </c>
      <c r="F98" s="555" t="s">
        <v>1320</v>
      </c>
      <c r="G98" s="555" t="s">
        <v>1320</v>
      </c>
      <c r="H98" s="555" t="s">
        <v>1320</v>
      </c>
      <c r="I98" s="555" t="s">
        <v>1320</v>
      </c>
      <c r="J98" s="556" t="s">
        <v>1320</v>
      </c>
      <c r="K98" s="303">
        <v>42541</v>
      </c>
      <c r="L98" s="20" t="s">
        <v>941</v>
      </c>
      <c r="M98" s="390">
        <v>0.4</v>
      </c>
      <c r="N98" s="20">
        <v>1990</v>
      </c>
      <c r="O98" s="20">
        <v>2030</v>
      </c>
      <c r="P98" s="20" t="s">
        <v>940</v>
      </c>
      <c r="Q98" s="48" t="s">
        <v>942</v>
      </c>
      <c r="R98" s="489">
        <v>43868</v>
      </c>
      <c r="S98" s="23" t="s">
        <v>941</v>
      </c>
      <c r="T98" s="55" t="s">
        <v>943</v>
      </c>
      <c r="U98" s="23">
        <v>1990</v>
      </c>
      <c r="V98" s="23">
        <v>2030</v>
      </c>
      <c r="W98" s="23" t="s">
        <v>940</v>
      </c>
      <c r="X98" s="438" t="s">
        <v>951</v>
      </c>
      <c r="Y98" s="554" t="s">
        <v>1320</v>
      </c>
      <c r="Z98" s="555" t="s">
        <v>1320</v>
      </c>
      <c r="AA98" s="555" t="s">
        <v>1320</v>
      </c>
      <c r="AB98" s="555" t="s">
        <v>1320</v>
      </c>
      <c r="AC98" s="555" t="s">
        <v>1320</v>
      </c>
      <c r="AD98" s="555" t="s">
        <v>1320</v>
      </c>
      <c r="AE98" s="556" t="s">
        <v>1320</v>
      </c>
      <c r="AF98" s="554" t="s">
        <v>1320</v>
      </c>
      <c r="AG98" s="555" t="s">
        <v>1320</v>
      </c>
      <c r="AH98" s="555" t="s">
        <v>1320</v>
      </c>
      <c r="AI98" s="555" t="s">
        <v>1320</v>
      </c>
      <c r="AJ98" s="555" t="s">
        <v>1320</v>
      </c>
      <c r="AK98" s="555" t="s">
        <v>1320</v>
      </c>
      <c r="AL98" s="556" t="s">
        <v>1320</v>
      </c>
    </row>
    <row r="99" spans="1:38" s="512" customFormat="1" ht="55.95" customHeight="1">
      <c r="A99" s="31" t="s">
        <v>614</v>
      </c>
      <c r="B99" s="203" t="s">
        <v>182</v>
      </c>
      <c r="C99" s="124" t="s">
        <v>1076</v>
      </c>
      <c r="D99" s="554" t="s">
        <v>1320</v>
      </c>
      <c r="E99" s="555" t="s">
        <v>1320</v>
      </c>
      <c r="F99" s="555" t="s">
        <v>1320</v>
      </c>
      <c r="G99" s="555" t="s">
        <v>1320</v>
      </c>
      <c r="H99" s="555" t="s">
        <v>1320</v>
      </c>
      <c r="I99" s="555" t="s">
        <v>1320</v>
      </c>
      <c r="J99" s="556" t="s">
        <v>1320</v>
      </c>
      <c r="K99" s="303">
        <v>43607</v>
      </c>
      <c r="L99" s="230" t="s">
        <v>185</v>
      </c>
      <c r="M99" s="319">
        <v>0.02</v>
      </c>
      <c r="N99" s="230" t="s">
        <v>727</v>
      </c>
      <c r="O99" s="230">
        <v>2030</v>
      </c>
      <c r="P99" s="230" t="s">
        <v>3</v>
      </c>
      <c r="Q99" s="460" t="s">
        <v>882</v>
      </c>
      <c r="R99" s="489">
        <v>44406</v>
      </c>
      <c r="S99" s="230" t="s">
        <v>185</v>
      </c>
      <c r="T99" s="474" t="s">
        <v>1474</v>
      </c>
      <c r="U99" s="230" t="s">
        <v>727</v>
      </c>
      <c r="V99" s="230">
        <v>2030</v>
      </c>
      <c r="W99" s="230" t="s">
        <v>3</v>
      </c>
      <c r="X99" s="495" t="s">
        <v>1475</v>
      </c>
      <c r="Y99" s="554" t="s">
        <v>1320</v>
      </c>
      <c r="Z99" s="555" t="s">
        <v>1320</v>
      </c>
      <c r="AA99" s="555" t="s">
        <v>1320</v>
      </c>
      <c r="AB99" s="555" t="s">
        <v>1320</v>
      </c>
      <c r="AC99" s="555" t="s">
        <v>1320</v>
      </c>
      <c r="AD99" s="555" t="s">
        <v>1320</v>
      </c>
      <c r="AE99" s="556" t="s">
        <v>1320</v>
      </c>
      <c r="AF99" s="554" t="s">
        <v>1320</v>
      </c>
      <c r="AG99" s="555" t="s">
        <v>1320</v>
      </c>
      <c r="AH99" s="555" t="s">
        <v>1320</v>
      </c>
      <c r="AI99" s="555" t="s">
        <v>1320</v>
      </c>
      <c r="AJ99" s="555" t="s">
        <v>1320</v>
      </c>
      <c r="AK99" s="555" t="s">
        <v>1320</v>
      </c>
      <c r="AL99" s="556" t="s">
        <v>1320</v>
      </c>
    </row>
    <row r="100" spans="1:38" s="537" customFormat="1" ht="55.95" customHeight="1">
      <c r="A100" s="31" t="s">
        <v>615</v>
      </c>
      <c r="B100" s="561" t="s">
        <v>23</v>
      </c>
      <c r="C100" s="124" t="s">
        <v>1076</v>
      </c>
      <c r="D100" s="554" t="s">
        <v>1320</v>
      </c>
      <c r="E100" s="555" t="s">
        <v>1320</v>
      </c>
      <c r="F100" s="555" t="s">
        <v>1320</v>
      </c>
      <c r="G100" s="555" t="s">
        <v>1320</v>
      </c>
      <c r="H100" s="555" t="s">
        <v>1320</v>
      </c>
      <c r="I100" s="555" t="s">
        <v>1320</v>
      </c>
      <c r="J100" s="556" t="s">
        <v>1320</v>
      </c>
      <c r="K100" s="571">
        <v>42684</v>
      </c>
      <c r="L100" s="230" t="s">
        <v>185</v>
      </c>
      <c r="M100" s="319">
        <v>0.2</v>
      </c>
      <c r="N100" s="230" t="s">
        <v>1</v>
      </c>
      <c r="O100" s="230">
        <v>2030</v>
      </c>
      <c r="P100" s="230" t="s">
        <v>3</v>
      </c>
      <c r="Q100" s="460" t="s">
        <v>216</v>
      </c>
      <c r="R100" s="489">
        <v>44490</v>
      </c>
      <c r="S100" s="230" t="s">
        <v>185</v>
      </c>
      <c r="T100" s="474" t="s">
        <v>1774</v>
      </c>
      <c r="U100" s="230" t="s">
        <v>1</v>
      </c>
      <c r="V100" s="230">
        <v>2030</v>
      </c>
      <c r="W100" s="230" t="s">
        <v>3</v>
      </c>
      <c r="X100" s="495" t="s">
        <v>1773</v>
      </c>
      <c r="Y100" s="554" t="s">
        <v>1320</v>
      </c>
      <c r="Z100" s="555" t="s">
        <v>1320</v>
      </c>
      <c r="AA100" s="555" t="s">
        <v>1320</v>
      </c>
      <c r="AB100" s="555" t="s">
        <v>1320</v>
      </c>
      <c r="AC100" s="555" t="s">
        <v>1320</v>
      </c>
      <c r="AD100" s="555" t="s">
        <v>1320</v>
      </c>
      <c r="AE100" s="556" t="s">
        <v>1320</v>
      </c>
      <c r="AF100" s="554" t="s">
        <v>1320</v>
      </c>
      <c r="AG100" s="555" t="s">
        <v>1320</v>
      </c>
      <c r="AH100" s="555" t="s">
        <v>1320</v>
      </c>
      <c r="AI100" s="555" t="s">
        <v>1320</v>
      </c>
      <c r="AJ100" s="555" t="s">
        <v>1320</v>
      </c>
      <c r="AK100" s="555" t="s">
        <v>1320</v>
      </c>
      <c r="AL100" s="556" t="s">
        <v>1320</v>
      </c>
    </row>
    <row r="101" spans="1:38" s="464" customFormat="1" ht="108.45" customHeight="1">
      <c r="A101" s="32" t="s">
        <v>657</v>
      </c>
      <c r="B101" s="95" t="s">
        <v>181</v>
      </c>
      <c r="C101" s="124" t="s">
        <v>1076</v>
      </c>
      <c r="D101" s="554" t="s">
        <v>1320</v>
      </c>
      <c r="E101" s="555" t="s">
        <v>1320</v>
      </c>
      <c r="F101" s="555" t="s">
        <v>1320</v>
      </c>
      <c r="G101" s="555" t="s">
        <v>1320</v>
      </c>
      <c r="H101" s="555" t="s">
        <v>1320</v>
      </c>
      <c r="I101" s="555" t="s">
        <v>1320</v>
      </c>
      <c r="J101" s="556" t="s">
        <v>1320</v>
      </c>
      <c r="K101" s="303">
        <v>42478</v>
      </c>
      <c r="L101" s="293" t="s">
        <v>189</v>
      </c>
      <c r="M101" s="318" t="s">
        <v>1046</v>
      </c>
      <c r="N101" s="293">
        <v>2010</v>
      </c>
      <c r="O101" s="293">
        <v>2050</v>
      </c>
      <c r="P101" s="230" t="s">
        <v>3</v>
      </c>
      <c r="Q101" s="24" t="s">
        <v>283</v>
      </c>
      <c r="R101" s="551">
        <v>44193</v>
      </c>
      <c r="S101" s="293" t="s">
        <v>1244</v>
      </c>
      <c r="T101" s="318" t="s">
        <v>1245</v>
      </c>
      <c r="U101" s="293" t="s">
        <v>1246</v>
      </c>
      <c r="V101" s="293" t="s">
        <v>1247</v>
      </c>
      <c r="W101" s="293" t="s">
        <v>3</v>
      </c>
      <c r="X101" s="391" t="s">
        <v>1248</v>
      </c>
      <c r="Y101" s="554" t="s">
        <v>1320</v>
      </c>
      <c r="Z101" s="555" t="s">
        <v>1320</v>
      </c>
      <c r="AA101" s="555" t="s">
        <v>1320</v>
      </c>
      <c r="AB101" s="555" t="s">
        <v>1320</v>
      </c>
      <c r="AC101" s="555" t="s">
        <v>1320</v>
      </c>
      <c r="AD101" s="555" t="s">
        <v>1320</v>
      </c>
      <c r="AE101" s="556" t="s">
        <v>1320</v>
      </c>
      <c r="AF101" s="554" t="s">
        <v>1320</v>
      </c>
      <c r="AG101" s="555" t="s">
        <v>1320</v>
      </c>
      <c r="AH101" s="555" t="s">
        <v>1320</v>
      </c>
      <c r="AI101" s="555" t="s">
        <v>1320</v>
      </c>
      <c r="AJ101" s="555" t="s">
        <v>1320</v>
      </c>
      <c r="AK101" s="555" t="s">
        <v>1320</v>
      </c>
      <c r="AL101" s="556" t="s">
        <v>1320</v>
      </c>
    </row>
    <row r="102" spans="1:38" s="457" customFormat="1" ht="124.95" customHeight="1">
      <c r="A102" s="32" t="s">
        <v>1110</v>
      </c>
      <c r="B102" s="560" t="s">
        <v>25</v>
      </c>
      <c r="C102" s="124" t="s">
        <v>1076</v>
      </c>
      <c r="D102" s="554" t="s">
        <v>1320</v>
      </c>
      <c r="E102" s="555" t="s">
        <v>1320</v>
      </c>
      <c r="F102" s="555" t="s">
        <v>1320</v>
      </c>
      <c r="G102" s="555" t="s">
        <v>1320</v>
      </c>
      <c r="H102" s="555" t="s">
        <v>1320</v>
      </c>
      <c r="I102" s="555" t="s">
        <v>1320</v>
      </c>
      <c r="J102" s="556" t="s">
        <v>1320</v>
      </c>
      <c r="K102" s="303">
        <v>42453</v>
      </c>
      <c r="L102" s="293" t="s">
        <v>186</v>
      </c>
      <c r="M102" s="318" t="s">
        <v>4</v>
      </c>
      <c r="N102" s="293">
        <v>2010</v>
      </c>
      <c r="O102" s="293">
        <v>2030</v>
      </c>
      <c r="P102" s="230" t="s">
        <v>3</v>
      </c>
      <c r="Q102" s="22" t="s">
        <v>85</v>
      </c>
      <c r="R102" s="551">
        <v>44181</v>
      </c>
      <c r="S102" s="293" t="s">
        <v>186</v>
      </c>
      <c r="T102" s="55" t="s">
        <v>1208</v>
      </c>
      <c r="U102" s="54">
        <v>2015</v>
      </c>
      <c r="V102" s="293">
        <v>2030</v>
      </c>
      <c r="W102" s="293" t="s">
        <v>3</v>
      </c>
      <c r="X102" s="577" t="s">
        <v>1209</v>
      </c>
      <c r="Y102" s="554" t="s">
        <v>1320</v>
      </c>
      <c r="Z102" s="555" t="s">
        <v>1320</v>
      </c>
      <c r="AA102" s="555" t="s">
        <v>1320</v>
      </c>
      <c r="AB102" s="555" t="s">
        <v>1320</v>
      </c>
      <c r="AC102" s="555" t="s">
        <v>1320</v>
      </c>
      <c r="AD102" s="555" t="s">
        <v>1320</v>
      </c>
      <c r="AE102" s="556" t="s">
        <v>1320</v>
      </c>
      <c r="AF102" s="554" t="s">
        <v>1320</v>
      </c>
      <c r="AG102" s="555" t="s">
        <v>1320</v>
      </c>
      <c r="AH102" s="555" t="s">
        <v>1320</v>
      </c>
      <c r="AI102" s="555" t="s">
        <v>1320</v>
      </c>
      <c r="AJ102" s="555" t="s">
        <v>1320</v>
      </c>
      <c r="AK102" s="555" t="s">
        <v>1320</v>
      </c>
      <c r="AL102" s="556" t="s">
        <v>1320</v>
      </c>
    </row>
    <row r="103" spans="1:38" s="510" customFormat="1" ht="124.95" customHeight="1">
      <c r="A103" s="32" t="s">
        <v>1443</v>
      </c>
      <c r="B103" s="95" t="s">
        <v>181</v>
      </c>
      <c r="C103" s="124" t="s">
        <v>1444</v>
      </c>
      <c r="D103" s="554" t="s">
        <v>1320</v>
      </c>
      <c r="E103" s="555" t="s">
        <v>1320</v>
      </c>
      <c r="F103" s="555" t="s">
        <v>1320</v>
      </c>
      <c r="G103" s="555" t="s">
        <v>1320</v>
      </c>
      <c r="H103" s="555" t="s">
        <v>1320</v>
      </c>
      <c r="I103" s="555" t="s">
        <v>1320</v>
      </c>
      <c r="J103" s="556" t="s">
        <v>1320</v>
      </c>
      <c r="K103" s="303">
        <v>42657</v>
      </c>
      <c r="L103" s="293" t="s">
        <v>185</v>
      </c>
      <c r="M103" s="293" t="s">
        <v>1047</v>
      </c>
      <c r="N103" s="293" t="s">
        <v>1</v>
      </c>
      <c r="O103" s="293">
        <v>2030</v>
      </c>
      <c r="P103" s="230" t="s">
        <v>3</v>
      </c>
      <c r="Q103" s="391" t="s">
        <v>42</v>
      </c>
      <c r="R103" s="489">
        <v>44393</v>
      </c>
      <c r="S103" s="293" t="s">
        <v>185</v>
      </c>
      <c r="T103" s="293" t="s">
        <v>1047</v>
      </c>
      <c r="U103" s="293" t="s">
        <v>1</v>
      </c>
      <c r="V103" s="293">
        <v>2030</v>
      </c>
      <c r="W103" s="230" t="s">
        <v>3</v>
      </c>
      <c r="X103" s="391" t="s">
        <v>1439</v>
      </c>
      <c r="Y103" s="554" t="s">
        <v>1320</v>
      </c>
      <c r="Z103" s="555" t="s">
        <v>1320</v>
      </c>
      <c r="AA103" s="555" t="s">
        <v>1320</v>
      </c>
      <c r="AB103" s="555" t="s">
        <v>1320</v>
      </c>
      <c r="AC103" s="555" t="s">
        <v>1320</v>
      </c>
      <c r="AD103" s="555" t="s">
        <v>1320</v>
      </c>
      <c r="AE103" s="556" t="s">
        <v>1320</v>
      </c>
      <c r="AF103" s="554" t="s">
        <v>1320</v>
      </c>
      <c r="AG103" s="555" t="s">
        <v>1320</v>
      </c>
      <c r="AH103" s="555" t="s">
        <v>1320</v>
      </c>
      <c r="AI103" s="555" t="s">
        <v>1320</v>
      </c>
      <c r="AJ103" s="555" t="s">
        <v>1320</v>
      </c>
      <c r="AK103" s="555" t="s">
        <v>1320</v>
      </c>
      <c r="AL103" s="556" t="s">
        <v>1320</v>
      </c>
    </row>
    <row r="104" spans="1:38" s="462" customFormat="1" ht="94.05" customHeight="1">
      <c r="A104" s="32" t="s">
        <v>656</v>
      </c>
      <c r="B104" s="95" t="s">
        <v>181</v>
      </c>
      <c r="C104" s="124" t="s">
        <v>1076</v>
      </c>
      <c r="D104" s="554" t="s">
        <v>1320</v>
      </c>
      <c r="E104" s="555" t="s">
        <v>1320</v>
      </c>
      <c r="F104" s="555" t="s">
        <v>1320</v>
      </c>
      <c r="G104" s="555" t="s">
        <v>1320</v>
      </c>
      <c r="H104" s="555" t="s">
        <v>1320</v>
      </c>
      <c r="I104" s="555" t="s">
        <v>1320</v>
      </c>
      <c r="J104" s="556" t="s">
        <v>1320</v>
      </c>
      <c r="K104" s="303">
        <v>42576</v>
      </c>
      <c r="L104" s="293" t="s">
        <v>185</v>
      </c>
      <c r="M104" s="293" t="s">
        <v>1026</v>
      </c>
      <c r="N104" s="293" t="s">
        <v>1</v>
      </c>
      <c r="O104" s="293">
        <v>2030</v>
      </c>
      <c r="P104" s="230" t="s">
        <v>3</v>
      </c>
      <c r="Q104" s="24" t="s">
        <v>117</v>
      </c>
      <c r="R104" s="551">
        <v>44184</v>
      </c>
      <c r="S104" s="54" t="s">
        <v>1213</v>
      </c>
      <c r="T104" s="54" t="s">
        <v>1214</v>
      </c>
      <c r="U104" s="54" t="s">
        <v>1215</v>
      </c>
      <c r="V104" s="293">
        <v>2030</v>
      </c>
      <c r="W104" s="293" t="s">
        <v>3</v>
      </c>
      <c r="X104" s="56" t="s">
        <v>1216</v>
      </c>
      <c r="Y104" s="554" t="s">
        <v>1320</v>
      </c>
      <c r="Z104" s="555" t="s">
        <v>1320</v>
      </c>
      <c r="AA104" s="555" t="s">
        <v>1320</v>
      </c>
      <c r="AB104" s="555" t="s">
        <v>1320</v>
      </c>
      <c r="AC104" s="555" t="s">
        <v>1320</v>
      </c>
      <c r="AD104" s="555" t="s">
        <v>1320</v>
      </c>
      <c r="AE104" s="556" t="s">
        <v>1320</v>
      </c>
      <c r="AF104" s="554" t="s">
        <v>1320</v>
      </c>
      <c r="AG104" s="555" t="s">
        <v>1320</v>
      </c>
      <c r="AH104" s="555" t="s">
        <v>1320</v>
      </c>
      <c r="AI104" s="555" t="s">
        <v>1320</v>
      </c>
      <c r="AJ104" s="555" t="s">
        <v>1320</v>
      </c>
      <c r="AK104" s="555" t="s">
        <v>1320</v>
      </c>
      <c r="AL104" s="556" t="s">
        <v>1320</v>
      </c>
    </row>
    <row r="105" spans="1:38" s="498" customFormat="1" ht="94.05" customHeight="1">
      <c r="A105" s="31" t="s">
        <v>655</v>
      </c>
      <c r="B105" s="561" t="s">
        <v>23</v>
      </c>
      <c r="C105" s="124" t="s">
        <v>1362</v>
      </c>
      <c r="D105" s="328">
        <v>42278</v>
      </c>
      <c r="E105" s="230" t="s">
        <v>185</v>
      </c>
      <c r="F105" s="319">
        <v>0.7</v>
      </c>
      <c r="G105" s="230" t="s">
        <v>1</v>
      </c>
      <c r="H105" s="230">
        <v>2030</v>
      </c>
      <c r="I105" s="230" t="s">
        <v>3</v>
      </c>
      <c r="J105" s="460" t="s">
        <v>91</v>
      </c>
      <c r="K105" s="303">
        <v>44301</v>
      </c>
      <c r="L105" s="230" t="s">
        <v>185</v>
      </c>
      <c r="M105" s="474" t="s">
        <v>1361</v>
      </c>
      <c r="N105" s="230" t="s">
        <v>1</v>
      </c>
      <c r="O105" s="456" t="s">
        <v>1871</v>
      </c>
      <c r="P105" s="456" t="s">
        <v>1870</v>
      </c>
      <c r="Q105" s="495" t="s">
        <v>1363</v>
      </c>
      <c r="R105" s="566" t="s">
        <v>1320</v>
      </c>
      <c r="S105" s="555" t="s">
        <v>1320</v>
      </c>
      <c r="T105" s="555" t="s">
        <v>1320</v>
      </c>
      <c r="U105" s="555" t="s">
        <v>1320</v>
      </c>
      <c r="V105" s="555" t="s">
        <v>1320</v>
      </c>
      <c r="W105" s="555" t="s">
        <v>1320</v>
      </c>
      <c r="X105" s="556" t="s">
        <v>1320</v>
      </c>
      <c r="Y105" s="554" t="s">
        <v>1320</v>
      </c>
      <c r="Z105" s="555" t="s">
        <v>1320</v>
      </c>
      <c r="AA105" s="555" t="s">
        <v>1320</v>
      </c>
      <c r="AB105" s="555" t="s">
        <v>1320</v>
      </c>
      <c r="AC105" s="555" t="s">
        <v>1320</v>
      </c>
      <c r="AD105" s="555" t="s">
        <v>1320</v>
      </c>
      <c r="AE105" s="556" t="s">
        <v>1320</v>
      </c>
      <c r="AF105" s="554" t="s">
        <v>1320</v>
      </c>
      <c r="AG105" s="555" t="s">
        <v>1320</v>
      </c>
      <c r="AH105" s="555" t="s">
        <v>1320</v>
      </c>
      <c r="AI105" s="555" t="s">
        <v>1320</v>
      </c>
      <c r="AJ105" s="555" t="s">
        <v>1320</v>
      </c>
      <c r="AK105" s="555" t="s">
        <v>1320</v>
      </c>
      <c r="AL105" s="556" t="s">
        <v>1320</v>
      </c>
    </row>
    <row r="106" spans="1:38" s="522" customFormat="1" ht="94.05" customHeight="1">
      <c r="A106" s="31" t="s">
        <v>616</v>
      </c>
      <c r="B106" s="203" t="s">
        <v>182</v>
      </c>
      <c r="C106" s="124" t="s">
        <v>1362</v>
      </c>
      <c r="D106" s="554" t="s">
        <v>1320</v>
      </c>
      <c r="E106" s="555" t="s">
        <v>1320</v>
      </c>
      <c r="F106" s="555" t="s">
        <v>1320</v>
      </c>
      <c r="G106" s="555" t="s">
        <v>1320</v>
      </c>
      <c r="H106" s="555" t="s">
        <v>1320</v>
      </c>
      <c r="I106" s="555" t="s">
        <v>1320</v>
      </c>
      <c r="J106" s="556" t="s">
        <v>1320</v>
      </c>
      <c r="K106" s="120">
        <v>42909</v>
      </c>
      <c r="L106" s="230" t="s">
        <v>189</v>
      </c>
      <c r="M106" s="230" t="s">
        <v>3</v>
      </c>
      <c r="N106" s="230" t="s">
        <v>3</v>
      </c>
      <c r="O106" s="230">
        <v>2030</v>
      </c>
      <c r="P106" s="230" t="s">
        <v>3</v>
      </c>
      <c r="Q106" s="320" t="s">
        <v>152</v>
      </c>
      <c r="R106" s="551">
        <v>44432</v>
      </c>
      <c r="S106" s="456" t="s">
        <v>1581</v>
      </c>
      <c r="T106" s="474">
        <v>0.25</v>
      </c>
      <c r="U106" s="230" t="s">
        <v>1580</v>
      </c>
      <c r="V106" s="230">
        <v>2030</v>
      </c>
      <c r="W106" s="230" t="s">
        <v>3</v>
      </c>
      <c r="X106" s="495" t="s">
        <v>1582</v>
      </c>
      <c r="Y106" s="554" t="s">
        <v>1320</v>
      </c>
      <c r="Z106" s="555" t="s">
        <v>1320</v>
      </c>
      <c r="AA106" s="555" t="s">
        <v>1320</v>
      </c>
      <c r="AB106" s="555" t="s">
        <v>1320</v>
      </c>
      <c r="AC106" s="555" t="s">
        <v>1320</v>
      </c>
      <c r="AD106" s="555" t="s">
        <v>1320</v>
      </c>
      <c r="AE106" s="556" t="s">
        <v>1320</v>
      </c>
      <c r="AF106" s="554" t="s">
        <v>1320</v>
      </c>
      <c r="AG106" s="555" t="s">
        <v>1320</v>
      </c>
      <c r="AH106" s="555" t="s">
        <v>1320</v>
      </c>
      <c r="AI106" s="555" t="s">
        <v>1320</v>
      </c>
      <c r="AJ106" s="555" t="s">
        <v>1320</v>
      </c>
      <c r="AK106" s="555" t="s">
        <v>1320</v>
      </c>
      <c r="AL106" s="556" t="s">
        <v>1320</v>
      </c>
    </row>
    <row r="107" spans="1:38" s="464" customFormat="1" ht="109.05" customHeight="1">
      <c r="A107" s="31" t="s">
        <v>2170</v>
      </c>
      <c r="B107" s="561" t="s">
        <v>23</v>
      </c>
      <c r="C107" s="50" t="s">
        <v>1076</v>
      </c>
      <c r="D107" s="554" t="s">
        <v>1320</v>
      </c>
      <c r="E107" s="555" t="s">
        <v>1320</v>
      </c>
      <c r="F107" s="555" t="s">
        <v>1320</v>
      </c>
      <c r="G107" s="555" t="s">
        <v>1320</v>
      </c>
      <c r="H107" s="555" t="s">
        <v>1320</v>
      </c>
      <c r="I107" s="555" t="s">
        <v>1320</v>
      </c>
      <c r="J107" s="556" t="s">
        <v>1320</v>
      </c>
      <c r="K107" s="479">
        <v>42677</v>
      </c>
      <c r="L107" s="293" t="s">
        <v>185</v>
      </c>
      <c r="M107" s="318">
        <v>0.37</v>
      </c>
      <c r="N107" s="293" t="s">
        <v>1</v>
      </c>
      <c r="O107" s="293">
        <v>2030</v>
      </c>
      <c r="P107" s="293" t="s">
        <v>3</v>
      </c>
      <c r="Q107" s="22" t="s">
        <v>57</v>
      </c>
      <c r="R107" s="551">
        <v>44195</v>
      </c>
      <c r="S107" s="54" t="s">
        <v>1229</v>
      </c>
      <c r="T107" s="481" t="s">
        <v>1231</v>
      </c>
      <c r="U107" s="54">
        <v>2017</v>
      </c>
      <c r="V107" s="293">
        <v>2030</v>
      </c>
      <c r="W107" s="293" t="s">
        <v>3</v>
      </c>
      <c r="X107" s="430" t="s">
        <v>1230</v>
      </c>
      <c r="Y107" s="303">
        <v>44553</v>
      </c>
      <c r="Z107" s="230" t="s">
        <v>873</v>
      </c>
      <c r="AA107" s="458">
        <v>0.4</v>
      </c>
      <c r="AB107" s="456">
        <v>2018</v>
      </c>
      <c r="AC107" s="230">
        <v>2030</v>
      </c>
      <c r="AD107" s="230" t="s">
        <v>3</v>
      </c>
      <c r="AE107" s="430" t="s">
        <v>1834</v>
      </c>
      <c r="AF107" s="554" t="s">
        <v>1320</v>
      </c>
      <c r="AG107" s="555" t="s">
        <v>1320</v>
      </c>
      <c r="AH107" s="555" t="s">
        <v>1320</v>
      </c>
      <c r="AI107" s="555" t="s">
        <v>1320</v>
      </c>
      <c r="AJ107" s="555" t="s">
        <v>1320</v>
      </c>
      <c r="AK107" s="555" t="s">
        <v>1320</v>
      </c>
      <c r="AL107" s="556" t="s">
        <v>1320</v>
      </c>
    </row>
    <row r="108" spans="1:38" s="415" customFormat="1" ht="116.55" customHeight="1">
      <c r="A108" s="32" t="s">
        <v>2169</v>
      </c>
      <c r="B108" s="93" t="s">
        <v>183</v>
      </c>
      <c r="C108" s="124" t="s">
        <v>1076</v>
      </c>
      <c r="D108" s="554" t="s">
        <v>1320</v>
      </c>
      <c r="E108" s="555" t="s">
        <v>1320</v>
      </c>
      <c r="F108" s="555" t="s">
        <v>1320</v>
      </c>
      <c r="G108" s="555" t="s">
        <v>1320</v>
      </c>
      <c r="H108" s="555" t="s">
        <v>1320</v>
      </c>
      <c r="I108" s="555" t="s">
        <v>1320</v>
      </c>
      <c r="J108" s="556" t="s">
        <v>1320</v>
      </c>
      <c r="K108" s="303">
        <v>42906</v>
      </c>
      <c r="L108" s="23" t="s">
        <v>186</v>
      </c>
      <c r="M108" s="293" t="s">
        <v>1079</v>
      </c>
      <c r="N108" s="23">
        <v>2010</v>
      </c>
      <c r="O108" s="23">
        <v>2030</v>
      </c>
      <c r="P108" s="23" t="s">
        <v>3</v>
      </c>
      <c r="Q108" s="391" t="s">
        <v>77</v>
      </c>
      <c r="R108" s="489">
        <v>43894</v>
      </c>
      <c r="S108" s="23" t="s">
        <v>186</v>
      </c>
      <c r="T108" s="54" t="s">
        <v>1041</v>
      </c>
      <c r="U108" s="293">
        <v>1990</v>
      </c>
      <c r="V108" s="293">
        <v>2030</v>
      </c>
      <c r="W108" s="293" t="s">
        <v>3</v>
      </c>
      <c r="X108" s="435" t="s">
        <v>933</v>
      </c>
      <c r="Y108" s="554" t="s">
        <v>1320</v>
      </c>
      <c r="Z108" s="555" t="s">
        <v>1320</v>
      </c>
      <c r="AA108" s="555" t="s">
        <v>1320</v>
      </c>
      <c r="AB108" s="555" t="s">
        <v>1320</v>
      </c>
      <c r="AC108" s="555" t="s">
        <v>1320</v>
      </c>
      <c r="AD108" s="555" t="s">
        <v>1320</v>
      </c>
      <c r="AE108" s="556" t="s">
        <v>1320</v>
      </c>
      <c r="AF108" s="554" t="s">
        <v>1320</v>
      </c>
      <c r="AG108" s="555" t="s">
        <v>1320</v>
      </c>
      <c r="AH108" s="555" t="s">
        <v>1320</v>
      </c>
      <c r="AI108" s="555" t="s">
        <v>1320</v>
      </c>
      <c r="AJ108" s="555" t="s">
        <v>1320</v>
      </c>
      <c r="AK108" s="555" t="s">
        <v>1320</v>
      </c>
      <c r="AL108" s="556" t="s">
        <v>1320</v>
      </c>
    </row>
    <row r="109" spans="1:38" s="455" customFormat="1" ht="73.95" customHeight="1">
      <c r="A109" s="32" t="s">
        <v>617</v>
      </c>
      <c r="B109" s="93" t="s">
        <v>183</v>
      </c>
      <c r="C109" s="124" t="s">
        <v>1321</v>
      </c>
      <c r="D109" s="303">
        <v>42095</v>
      </c>
      <c r="E109" s="293" t="s">
        <v>186</v>
      </c>
      <c r="F109" s="293" t="s">
        <v>12</v>
      </c>
      <c r="G109" s="293">
        <v>1990</v>
      </c>
      <c r="H109" s="293">
        <v>2030</v>
      </c>
      <c r="I109" s="230" t="s">
        <v>3</v>
      </c>
      <c r="J109" s="391" t="s">
        <v>1182</v>
      </c>
      <c r="K109" s="303">
        <v>44160</v>
      </c>
      <c r="L109" s="293" t="s">
        <v>186</v>
      </c>
      <c r="M109" s="55">
        <v>0.3</v>
      </c>
      <c r="N109" s="293">
        <v>1990</v>
      </c>
      <c r="O109" s="293">
        <v>2030</v>
      </c>
      <c r="P109" s="230" t="s">
        <v>3</v>
      </c>
      <c r="Q109" s="473" t="s">
        <v>1181</v>
      </c>
      <c r="R109" s="566" t="s">
        <v>1320</v>
      </c>
      <c r="S109" s="555" t="s">
        <v>1320</v>
      </c>
      <c r="T109" s="555" t="s">
        <v>1320</v>
      </c>
      <c r="U109" s="555" t="s">
        <v>1320</v>
      </c>
      <c r="V109" s="555" t="s">
        <v>1320</v>
      </c>
      <c r="W109" s="555" t="s">
        <v>1320</v>
      </c>
      <c r="X109" s="556" t="s">
        <v>1320</v>
      </c>
      <c r="Y109" s="554" t="s">
        <v>1320</v>
      </c>
      <c r="Z109" s="555" t="s">
        <v>1320</v>
      </c>
      <c r="AA109" s="555" t="s">
        <v>1320</v>
      </c>
      <c r="AB109" s="555" t="s">
        <v>1320</v>
      </c>
      <c r="AC109" s="555" t="s">
        <v>1320</v>
      </c>
      <c r="AD109" s="555" t="s">
        <v>1320</v>
      </c>
      <c r="AE109" s="556" t="s">
        <v>1320</v>
      </c>
      <c r="AF109" s="554" t="s">
        <v>1320</v>
      </c>
      <c r="AG109" s="555" t="s">
        <v>1320</v>
      </c>
      <c r="AH109" s="555" t="s">
        <v>1320</v>
      </c>
      <c r="AI109" s="555" t="s">
        <v>1320</v>
      </c>
      <c r="AJ109" s="555" t="s">
        <v>1320</v>
      </c>
      <c r="AK109" s="555" t="s">
        <v>1320</v>
      </c>
      <c r="AL109" s="556" t="s">
        <v>1320</v>
      </c>
    </row>
    <row r="110" spans="1:38" s="423" customFormat="1" ht="81" customHeight="1">
      <c r="A110" s="31" t="s">
        <v>986</v>
      </c>
      <c r="B110" s="203" t="s">
        <v>182</v>
      </c>
      <c r="C110" s="383" t="s">
        <v>1076</v>
      </c>
      <c r="D110" s="554" t="s">
        <v>1320</v>
      </c>
      <c r="E110" s="555" t="s">
        <v>1320</v>
      </c>
      <c r="F110" s="555" t="s">
        <v>1320</v>
      </c>
      <c r="G110" s="555" t="s">
        <v>1320</v>
      </c>
      <c r="H110" s="555" t="s">
        <v>1320</v>
      </c>
      <c r="I110" s="555" t="s">
        <v>1320</v>
      </c>
      <c r="J110" s="556" t="s">
        <v>1320</v>
      </c>
      <c r="K110" s="303">
        <v>42649</v>
      </c>
      <c r="L110" s="230" t="s">
        <v>189</v>
      </c>
      <c r="M110" s="230" t="s">
        <v>3</v>
      </c>
      <c r="N110" s="230" t="s">
        <v>1</v>
      </c>
      <c r="O110" s="230">
        <v>2030</v>
      </c>
      <c r="P110" s="230" t="s">
        <v>3</v>
      </c>
      <c r="Q110" s="24" t="s">
        <v>987</v>
      </c>
      <c r="R110" s="551">
        <v>43971</v>
      </c>
      <c r="S110" s="54" t="s">
        <v>717</v>
      </c>
      <c r="T110" s="54" t="s">
        <v>1048</v>
      </c>
      <c r="U110" s="293" t="s">
        <v>727</v>
      </c>
      <c r="V110" s="293">
        <v>2030</v>
      </c>
      <c r="W110" s="293" t="s">
        <v>3</v>
      </c>
      <c r="X110" s="435" t="s">
        <v>1108</v>
      </c>
      <c r="Y110" s="554" t="s">
        <v>1320</v>
      </c>
      <c r="Z110" s="555" t="s">
        <v>1320</v>
      </c>
      <c r="AA110" s="555" t="s">
        <v>1320</v>
      </c>
      <c r="AB110" s="555" t="s">
        <v>1320</v>
      </c>
      <c r="AC110" s="555" t="s">
        <v>1320</v>
      </c>
      <c r="AD110" s="555" t="s">
        <v>1320</v>
      </c>
      <c r="AE110" s="556" t="s">
        <v>1320</v>
      </c>
      <c r="AF110" s="554" t="s">
        <v>1320</v>
      </c>
      <c r="AG110" s="555" t="s">
        <v>1320</v>
      </c>
      <c r="AH110" s="555" t="s">
        <v>1320</v>
      </c>
      <c r="AI110" s="555" t="s">
        <v>1320</v>
      </c>
      <c r="AJ110" s="555" t="s">
        <v>1320</v>
      </c>
      <c r="AK110" s="555" t="s">
        <v>1320</v>
      </c>
      <c r="AL110" s="556" t="s">
        <v>1320</v>
      </c>
    </row>
    <row r="111" spans="1:38" s="539" customFormat="1" ht="81" customHeight="1">
      <c r="A111" s="32" t="s">
        <v>686</v>
      </c>
      <c r="B111" s="95" t="s">
        <v>181</v>
      </c>
      <c r="C111" s="383" t="s">
        <v>1076</v>
      </c>
      <c r="D111" s="554" t="s">
        <v>1320</v>
      </c>
      <c r="E111" s="555" t="s">
        <v>1320</v>
      </c>
      <c r="F111" s="555" t="s">
        <v>1320</v>
      </c>
      <c r="G111" s="555" t="s">
        <v>1320</v>
      </c>
      <c r="H111" s="555" t="s">
        <v>1320</v>
      </c>
      <c r="I111" s="555" t="s">
        <v>1320</v>
      </c>
      <c r="J111" s="556" t="s">
        <v>1320</v>
      </c>
      <c r="K111" s="303">
        <v>42482</v>
      </c>
      <c r="L111" s="293" t="s">
        <v>185</v>
      </c>
      <c r="M111" s="293" t="s">
        <v>1049</v>
      </c>
      <c r="N111" s="293" t="s">
        <v>1</v>
      </c>
      <c r="O111" s="293" t="s">
        <v>6</v>
      </c>
      <c r="P111" s="230" t="s">
        <v>3</v>
      </c>
      <c r="Q111" s="391" t="s">
        <v>157</v>
      </c>
      <c r="R111" s="489">
        <v>44494</v>
      </c>
      <c r="S111" s="54" t="s">
        <v>873</v>
      </c>
      <c r="T111" s="55">
        <v>0.61</v>
      </c>
      <c r="U111" s="54">
        <v>2010</v>
      </c>
      <c r="V111" s="293">
        <v>2030</v>
      </c>
      <c r="W111" s="230" t="s">
        <v>3</v>
      </c>
      <c r="X111" s="473" t="s">
        <v>1790</v>
      </c>
      <c r="Y111" s="554" t="s">
        <v>1320</v>
      </c>
      <c r="Z111" s="555" t="s">
        <v>1320</v>
      </c>
      <c r="AA111" s="555" t="s">
        <v>1320</v>
      </c>
      <c r="AB111" s="555" t="s">
        <v>1320</v>
      </c>
      <c r="AC111" s="555" t="s">
        <v>1320</v>
      </c>
      <c r="AD111" s="555" t="s">
        <v>1320</v>
      </c>
      <c r="AE111" s="556" t="s">
        <v>1320</v>
      </c>
      <c r="AF111" s="554" t="s">
        <v>1320</v>
      </c>
      <c r="AG111" s="555" t="s">
        <v>1320</v>
      </c>
      <c r="AH111" s="555" t="s">
        <v>1320</v>
      </c>
      <c r="AI111" s="555" t="s">
        <v>1320</v>
      </c>
      <c r="AJ111" s="555" t="s">
        <v>1320</v>
      </c>
      <c r="AK111" s="555" t="s">
        <v>1320</v>
      </c>
      <c r="AL111" s="556" t="s">
        <v>1320</v>
      </c>
    </row>
    <row r="112" spans="1:38" s="496" customFormat="1" ht="102.45" customHeight="1">
      <c r="A112" s="32" t="s">
        <v>619</v>
      </c>
      <c r="B112" s="95" t="s">
        <v>181</v>
      </c>
      <c r="C112" s="383" t="s">
        <v>1076</v>
      </c>
      <c r="D112" s="554" t="s">
        <v>1320</v>
      </c>
      <c r="E112" s="555" t="s">
        <v>1320</v>
      </c>
      <c r="F112" s="555" t="s">
        <v>1320</v>
      </c>
      <c r="G112" s="555" t="s">
        <v>1320</v>
      </c>
      <c r="H112" s="555" t="s">
        <v>1320</v>
      </c>
      <c r="I112" s="555" t="s">
        <v>1320</v>
      </c>
      <c r="J112" s="556" t="s">
        <v>1320</v>
      </c>
      <c r="K112" s="303">
        <v>42494</v>
      </c>
      <c r="L112" s="293" t="s">
        <v>185</v>
      </c>
      <c r="M112" s="293" t="s">
        <v>1050</v>
      </c>
      <c r="N112" s="293" t="s">
        <v>1</v>
      </c>
      <c r="O112" s="293" t="s">
        <v>6</v>
      </c>
      <c r="P112" s="293" t="s">
        <v>3</v>
      </c>
      <c r="Q112" s="391" t="s">
        <v>1144</v>
      </c>
      <c r="R112" s="489">
        <v>44223</v>
      </c>
      <c r="S112" s="54" t="s">
        <v>1349</v>
      </c>
      <c r="T112" s="54" t="s">
        <v>1350</v>
      </c>
      <c r="U112" s="54">
        <v>2010</v>
      </c>
      <c r="V112" s="54">
        <v>2030</v>
      </c>
      <c r="W112" s="293" t="s">
        <v>1351</v>
      </c>
      <c r="X112" s="473" t="s">
        <v>1353</v>
      </c>
      <c r="Y112" s="554" t="s">
        <v>1320</v>
      </c>
      <c r="Z112" s="555" t="s">
        <v>1320</v>
      </c>
      <c r="AA112" s="555" t="s">
        <v>1320</v>
      </c>
      <c r="AB112" s="555" t="s">
        <v>1320</v>
      </c>
      <c r="AC112" s="555" t="s">
        <v>1320</v>
      </c>
      <c r="AD112" s="555" t="s">
        <v>1320</v>
      </c>
      <c r="AE112" s="556" t="s">
        <v>1320</v>
      </c>
      <c r="AF112" s="554" t="s">
        <v>1320</v>
      </c>
      <c r="AG112" s="555" t="s">
        <v>1320</v>
      </c>
      <c r="AH112" s="555" t="s">
        <v>1320</v>
      </c>
      <c r="AI112" s="555" t="s">
        <v>1320</v>
      </c>
      <c r="AJ112" s="555" t="s">
        <v>1320</v>
      </c>
      <c r="AK112" s="555" t="s">
        <v>1320</v>
      </c>
      <c r="AL112" s="556" t="s">
        <v>1320</v>
      </c>
    </row>
    <row r="113" spans="1:38" s="516" customFormat="1" ht="102.45" customHeight="1">
      <c r="A113" s="32" t="s">
        <v>621</v>
      </c>
      <c r="B113" s="560" t="s">
        <v>25</v>
      </c>
      <c r="C113" s="383" t="s">
        <v>1524</v>
      </c>
      <c r="D113" s="554" t="s">
        <v>1320</v>
      </c>
      <c r="E113" s="555" t="s">
        <v>1320</v>
      </c>
      <c r="F113" s="555" t="s">
        <v>1320</v>
      </c>
      <c r="G113" s="555" t="s">
        <v>1320</v>
      </c>
      <c r="H113" s="555" t="s">
        <v>1320</v>
      </c>
      <c r="I113" s="555" t="s">
        <v>1320</v>
      </c>
      <c r="J113" s="556" t="s">
        <v>1320</v>
      </c>
      <c r="K113" s="303">
        <v>42482</v>
      </c>
      <c r="L113" s="293" t="s">
        <v>189</v>
      </c>
      <c r="M113" s="293" t="s">
        <v>1051</v>
      </c>
      <c r="N113" s="293">
        <v>2007</v>
      </c>
      <c r="O113" s="293">
        <v>2025</v>
      </c>
      <c r="P113" s="230" t="s">
        <v>3</v>
      </c>
      <c r="Q113" s="460" t="s">
        <v>48</v>
      </c>
      <c r="R113" s="551">
        <v>44407</v>
      </c>
      <c r="S113" s="54" t="s">
        <v>873</v>
      </c>
      <c r="T113" s="55">
        <v>0.26</v>
      </c>
      <c r="U113" s="293">
        <v>2007</v>
      </c>
      <c r="V113" s="54">
        <v>2030</v>
      </c>
      <c r="W113" s="230" t="s">
        <v>3</v>
      </c>
      <c r="X113" s="518" t="s">
        <v>1523</v>
      </c>
      <c r="Y113" s="554" t="s">
        <v>1320</v>
      </c>
      <c r="Z113" s="555" t="s">
        <v>1320</v>
      </c>
      <c r="AA113" s="555" t="s">
        <v>1320</v>
      </c>
      <c r="AB113" s="555" t="s">
        <v>1320</v>
      </c>
      <c r="AC113" s="555" t="s">
        <v>1320</v>
      </c>
      <c r="AD113" s="555" t="s">
        <v>1320</v>
      </c>
      <c r="AE113" s="556" t="s">
        <v>1320</v>
      </c>
      <c r="AF113" s="554" t="s">
        <v>1320</v>
      </c>
      <c r="AG113" s="555" t="s">
        <v>1320</v>
      </c>
      <c r="AH113" s="555" t="s">
        <v>1320</v>
      </c>
      <c r="AI113" s="555" t="s">
        <v>1320</v>
      </c>
      <c r="AJ113" s="555" t="s">
        <v>1320</v>
      </c>
      <c r="AK113" s="555" t="s">
        <v>1320</v>
      </c>
      <c r="AL113" s="556" t="s">
        <v>1320</v>
      </c>
    </row>
    <row r="114" spans="1:38" s="517" customFormat="1" ht="102.45" customHeight="1">
      <c r="A114" s="31" t="s">
        <v>623</v>
      </c>
      <c r="B114" s="92" t="s">
        <v>180</v>
      </c>
      <c r="C114" s="383" t="s">
        <v>1076</v>
      </c>
      <c r="D114" s="554" t="s">
        <v>1320</v>
      </c>
      <c r="E114" s="555" t="s">
        <v>1320</v>
      </c>
      <c r="F114" s="555" t="s">
        <v>1320</v>
      </c>
      <c r="G114" s="555" t="s">
        <v>1320</v>
      </c>
      <c r="H114" s="555" t="s">
        <v>1320</v>
      </c>
      <c r="I114" s="555" t="s">
        <v>1320</v>
      </c>
      <c r="J114" s="556" t="s">
        <v>1320</v>
      </c>
      <c r="K114" s="303">
        <v>42676</v>
      </c>
      <c r="L114" s="230" t="s">
        <v>186</v>
      </c>
      <c r="M114" s="319">
        <v>0.24</v>
      </c>
      <c r="N114" s="230">
        <v>2005</v>
      </c>
      <c r="O114" s="230">
        <v>2030</v>
      </c>
      <c r="P114" s="230" t="s">
        <v>3</v>
      </c>
      <c r="Q114" s="46" t="s">
        <v>30</v>
      </c>
      <c r="R114" s="551">
        <v>44407</v>
      </c>
      <c r="S114" s="520" t="s">
        <v>1535</v>
      </c>
      <c r="T114" s="519">
        <v>0.27</v>
      </c>
      <c r="U114" s="520" t="s">
        <v>1536</v>
      </c>
      <c r="V114" s="230">
        <v>2030</v>
      </c>
      <c r="W114" s="230" t="s">
        <v>3</v>
      </c>
      <c r="X114" s="495" t="s">
        <v>1534</v>
      </c>
      <c r="Y114" s="554" t="s">
        <v>1320</v>
      </c>
      <c r="Z114" s="555" t="s">
        <v>1320</v>
      </c>
      <c r="AA114" s="555" t="s">
        <v>1320</v>
      </c>
      <c r="AB114" s="555" t="s">
        <v>1320</v>
      </c>
      <c r="AC114" s="555" t="s">
        <v>1320</v>
      </c>
      <c r="AD114" s="555" t="s">
        <v>1320</v>
      </c>
      <c r="AE114" s="556" t="s">
        <v>1320</v>
      </c>
      <c r="AF114" s="554" t="s">
        <v>1320</v>
      </c>
      <c r="AG114" s="555" t="s">
        <v>1320</v>
      </c>
      <c r="AH114" s="555" t="s">
        <v>1320</v>
      </c>
      <c r="AI114" s="555" t="s">
        <v>1320</v>
      </c>
      <c r="AJ114" s="555" t="s">
        <v>1320</v>
      </c>
      <c r="AK114" s="555" t="s">
        <v>1320</v>
      </c>
      <c r="AL114" s="556" t="s">
        <v>1320</v>
      </c>
    </row>
    <row r="115" spans="1:38" s="538" customFormat="1" ht="102.45" customHeight="1">
      <c r="A115" s="31" t="s">
        <v>624</v>
      </c>
      <c r="B115" s="203" t="s">
        <v>182</v>
      </c>
      <c r="C115" s="383" t="s">
        <v>1076</v>
      </c>
      <c r="D115" s="554" t="s">
        <v>1320</v>
      </c>
      <c r="E115" s="555" t="s">
        <v>1320</v>
      </c>
      <c r="F115" s="555" t="s">
        <v>1320</v>
      </c>
      <c r="G115" s="555" t="s">
        <v>1320</v>
      </c>
      <c r="H115" s="555" t="s">
        <v>1320</v>
      </c>
      <c r="I115" s="555" t="s">
        <v>1320</v>
      </c>
      <c r="J115" s="556" t="s">
        <v>1320</v>
      </c>
      <c r="K115" s="571">
        <v>42677</v>
      </c>
      <c r="L115" s="230" t="s">
        <v>717</v>
      </c>
      <c r="M115" s="230" t="s">
        <v>867</v>
      </c>
      <c r="N115" s="230" t="s">
        <v>424</v>
      </c>
      <c r="O115" s="230">
        <v>2030</v>
      </c>
      <c r="P115" s="230" t="s">
        <v>3</v>
      </c>
      <c r="Q115" s="320" t="s">
        <v>1782</v>
      </c>
      <c r="R115" s="551">
        <v>44492</v>
      </c>
      <c r="S115" s="230" t="s">
        <v>717</v>
      </c>
      <c r="T115" s="456" t="s">
        <v>1785</v>
      </c>
      <c r="U115" s="230" t="s">
        <v>424</v>
      </c>
      <c r="V115" s="230" t="s">
        <v>1784</v>
      </c>
      <c r="W115" s="230" t="s">
        <v>3</v>
      </c>
      <c r="X115" s="495" t="s">
        <v>1783</v>
      </c>
      <c r="Y115" s="554" t="s">
        <v>1320</v>
      </c>
      <c r="Z115" s="555" t="s">
        <v>1320</v>
      </c>
      <c r="AA115" s="555" t="s">
        <v>1320</v>
      </c>
      <c r="AB115" s="555" t="s">
        <v>1320</v>
      </c>
      <c r="AC115" s="555" t="s">
        <v>1320</v>
      </c>
      <c r="AD115" s="555" t="s">
        <v>1320</v>
      </c>
      <c r="AE115" s="556" t="s">
        <v>1320</v>
      </c>
      <c r="AF115" s="554" t="s">
        <v>1320</v>
      </c>
      <c r="AG115" s="555" t="s">
        <v>1320</v>
      </c>
      <c r="AH115" s="555" t="s">
        <v>1320</v>
      </c>
      <c r="AI115" s="555" t="s">
        <v>1320</v>
      </c>
      <c r="AJ115" s="555" t="s">
        <v>1320</v>
      </c>
      <c r="AK115" s="555" t="s">
        <v>1320</v>
      </c>
      <c r="AL115" s="556" t="s">
        <v>1320</v>
      </c>
    </row>
    <row r="116" spans="1:38" s="471" customFormat="1" ht="81" customHeight="1">
      <c r="A116" s="31" t="s">
        <v>625</v>
      </c>
      <c r="B116" s="92" t="s">
        <v>180</v>
      </c>
      <c r="C116" s="383" t="s">
        <v>1321</v>
      </c>
      <c r="D116" s="479">
        <v>42273</v>
      </c>
      <c r="E116" s="293" t="s">
        <v>717</v>
      </c>
      <c r="F116" s="293" t="s">
        <v>1146</v>
      </c>
      <c r="G116" s="293" t="s">
        <v>1</v>
      </c>
      <c r="H116" s="293" t="s">
        <v>1128</v>
      </c>
      <c r="I116" s="293" t="s">
        <v>3</v>
      </c>
      <c r="J116" s="391" t="s">
        <v>1263</v>
      </c>
      <c r="K116" s="303">
        <v>44194</v>
      </c>
      <c r="L116" s="230" t="s">
        <v>717</v>
      </c>
      <c r="M116" s="456" t="s">
        <v>1262</v>
      </c>
      <c r="N116" s="230" t="s">
        <v>1</v>
      </c>
      <c r="O116" s="456" t="s">
        <v>1074</v>
      </c>
      <c r="P116" s="230" t="s">
        <v>3</v>
      </c>
      <c r="Q116" s="475" t="s">
        <v>1261</v>
      </c>
      <c r="R116" s="566" t="s">
        <v>1320</v>
      </c>
      <c r="S116" s="555" t="s">
        <v>1320</v>
      </c>
      <c r="T116" s="555" t="s">
        <v>1320</v>
      </c>
      <c r="U116" s="555" t="s">
        <v>1320</v>
      </c>
      <c r="V116" s="555" t="s">
        <v>1320</v>
      </c>
      <c r="W116" s="555" t="s">
        <v>1320</v>
      </c>
      <c r="X116" s="556" t="s">
        <v>1320</v>
      </c>
      <c r="Y116" s="554" t="s">
        <v>1320</v>
      </c>
      <c r="Z116" s="555" t="s">
        <v>1320</v>
      </c>
      <c r="AA116" s="555" t="s">
        <v>1320</v>
      </c>
      <c r="AB116" s="555" t="s">
        <v>1320</v>
      </c>
      <c r="AC116" s="555" t="s">
        <v>1320</v>
      </c>
      <c r="AD116" s="555" t="s">
        <v>1320</v>
      </c>
      <c r="AE116" s="556" t="s">
        <v>1320</v>
      </c>
      <c r="AF116" s="554" t="s">
        <v>1320</v>
      </c>
      <c r="AG116" s="555" t="s">
        <v>1320</v>
      </c>
      <c r="AH116" s="555" t="s">
        <v>1320</v>
      </c>
      <c r="AI116" s="555" t="s">
        <v>1320</v>
      </c>
      <c r="AJ116" s="555" t="s">
        <v>1320</v>
      </c>
      <c r="AK116" s="555" t="s">
        <v>1320</v>
      </c>
      <c r="AL116" s="556" t="s">
        <v>1320</v>
      </c>
    </row>
    <row r="117" spans="1:38" s="589" customFormat="1" ht="81" customHeight="1">
      <c r="A117" s="32" t="s">
        <v>626</v>
      </c>
      <c r="B117" s="93" t="s">
        <v>183</v>
      </c>
      <c r="C117" s="383" t="s">
        <v>1076</v>
      </c>
      <c r="D117" s="554" t="s">
        <v>1320</v>
      </c>
      <c r="E117" s="555" t="s">
        <v>1320</v>
      </c>
      <c r="F117" s="555" t="s">
        <v>1320</v>
      </c>
      <c r="G117" s="555" t="s">
        <v>1320</v>
      </c>
      <c r="H117" s="555" t="s">
        <v>1320</v>
      </c>
      <c r="I117" s="555" t="s">
        <v>1320</v>
      </c>
      <c r="J117" s="556" t="s">
        <v>1320</v>
      </c>
      <c r="K117" s="120">
        <v>42941</v>
      </c>
      <c r="L117" s="293" t="s">
        <v>186</v>
      </c>
      <c r="M117" s="345">
        <v>9.8000000000000004E-2</v>
      </c>
      <c r="N117" s="307">
        <v>1990</v>
      </c>
      <c r="O117" s="307">
        <v>2030</v>
      </c>
      <c r="P117" s="230" t="s">
        <v>3</v>
      </c>
      <c r="Q117" s="391" t="s">
        <v>62</v>
      </c>
      <c r="R117" s="321">
        <v>44797</v>
      </c>
      <c r="S117" s="293" t="s">
        <v>186</v>
      </c>
      <c r="T117" s="424" t="s">
        <v>1969</v>
      </c>
      <c r="U117" s="593" t="s">
        <v>1968</v>
      </c>
      <c r="V117" s="307">
        <v>2030</v>
      </c>
      <c r="W117" s="230" t="s">
        <v>3</v>
      </c>
      <c r="X117" s="473" t="s">
        <v>1970</v>
      </c>
      <c r="Y117" s="554" t="s">
        <v>1320</v>
      </c>
      <c r="Z117" s="555" t="s">
        <v>1320</v>
      </c>
      <c r="AA117" s="555" t="s">
        <v>1320</v>
      </c>
      <c r="AB117" s="555" t="s">
        <v>1320</v>
      </c>
      <c r="AC117" s="555" t="s">
        <v>1320</v>
      </c>
      <c r="AD117" s="555" t="s">
        <v>1320</v>
      </c>
      <c r="AE117" s="556" t="s">
        <v>1320</v>
      </c>
      <c r="AF117" s="554"/>
      <c r="AG117" s="555"/>
      <c r="AH117" s="555"/>
      <c r="AI117" s="555"/>
      <c r="AJ117" s="555"/>
      <c r="AK117" s="555"/>
      <c r="AL117" s="556"/>
    </row>
    <row r="118" spans="1:38" s="513" customFormat="1" ht="81" customHeight="1">
      <c r="A118" s="31" t="s">
        <v>627</v>
      </c>
      <c r="B118" s="92" t="s">
        <v>180</v>
      </c>
      <c r="C118" s="383" t="s">
        <v>1076</v>
      </c>
      <c r="D118" s="554" t="s">
        <v>1320</v>
      </c>
      <c r="E118" s="555" t="s">
        <v>1320</v>
      </c>
      <c r="F118" s="555" t="s">
        <v>1320</v>
      </c>
      <c r="G118" s="555" t="s">
        <v>1320</v>
      </c>
      <c r="H118" s="555" t="s">
        <v>1320</v>
      </c>
      <c r="I118" s="555" t="s">
        <v>1320</v>
      </c>
      <c r="J118" s="556" t="s">
        <v>1320</v>
      </c>
      <c r="K118" s="328">
        <v>42489</v>
      </c>
      <c r="L118" s="230" t="s">
        <v>185</v>
      </c>
      <c r="M118" s="230" t="s">
        <v>1052</v>
      </c>
      <c r="N118" s="230" t="s">
        <v>1</v>
      </c>
      <c r="O118" s="230" t="s">
        <v>6</v>
      </c>
      <c r="P118" s="230" t="s">
        <v>3</v>
      </c>
      <c r="Q118" s="46" t="s">
        <v>79</v>
      </c>
      <c r="R118" s="551">
        <v>44407</v>
      </c>
      <c r="S118" s="230" t="s">
        <v>1495</v>
      </c>
      <c r="T118" s="515">
        <v>0.26400000000000001</v>
      </c>
      <c r="U118" s="230" t="s">
        <v>1486</v>
      </c>
      <c r="V118" s="456">
        <v>2030</v>
      </c>
      <c r="W118" s="230" t="s">
        <v>3</v>
      </c>
      <c r="X118" s="475" t="s">
        <v>1494</v>
      </c>
      <c r="Y118" s="554" t="s">
        <v>1320</v>
      </c>
      <c r="Z118" s="555" t="s">
        <v>1320</v>
      </c>
      <c r="AA118" s="555" t="s">
        <v>1320</v>
      </c>
      <c r="AB118" s="555" t="s">
        <v>1320</v>
      </c>
      <c r="AC118" s="555" t="s">
        <v>1320</v>
      </c>
      <c r="AD118" s="555" t="s">
        <v>1320</v>
      </c>
      <c r="AE118" s="556" t="s">
        <v>1320</v>
      </c>
      <c r="AF118" s="554" t="s">
        <v>1320</v>
      </c>
      <c r="AG118" s="555" t="s">
        <v>1320</v>
      </c>
      <c r="AH118" s="555" t="s">
        <v>1320</v>
      </c>
      <c r="AI118" s="555" t="s">
        <v>1320</v>
      </c>
      <c r="AJ118" s="555" t="s">
        <v>1320</v>
      </c>
      <c r="AK118" s="555" t="s">
        <v>1320</v>
      </c>
      <c r="AL118" s="556" t="s">
        <v>1320</v>
      </c>
    </row>
    <row r="119" spans="1:38" s="517" customFormat="1" ht="81" customHeight="1">
      <c r="A119" s="31" t="s">
        <v>628</v>
      </c>
      <c r="B119" s="92" t="s">
        <v>180</v>
      </c>
      <c r="C119" s="383" t="s">
        <v>1076</v>
      </c>
      <c r="D119" s="554" t="s">
        <v>1320</v>
      </c>
      <c r="E119" s="555" t="s">
        <v>1320</v>
      </c>
      <c r="F119" s="555" t="s">
        <v>1320</v>
      </c>
      <c r="G119" s="555" t="s">
        <v>1320</v>
      </c>
      <c r="H119" s="555" t="s">
        <v>1320</v>
      </c>
      <c r="I119" s="555" t="s">
        <v>1320</v>
      </c>
      <c r="J119" s="556" t="s">
        <v>1320</v>
      </c>
      <c r="K119" s="303">
        <v>42675</v>
      </c>
      <c r="L119" s="230" t="s">
        <v>445</v>
      </c>
      <c r="M119" s="230" t="s">
        <v>8</v>
      </c>
      <c r="N119" s="230" t="s">
        <v>3</v>
      </c>
      <c r="O119" s="230">
        <v>2035</v>
      </c>
      <c r="P119" s="230" t="s">
        <v>3</v>
      </c>
      <c r="Q119" s="46" t="s">
        <v>105</v>
      </c>
      <c r="R119" s="551">
        <v>44408</v>
      </c>
      <c r="S119" s="456" t="s">
        <v>460</v>
      </c>
      <c r="T119" s="456" t="s">
        <v>1550</v>
      </c>
      <c r="U119" s="456">
        <v>2005</v>
      </c>
      <c r="V119" s="456" t="s">
        <v>1549</v>
      </c>
      <c r="W119" s="230" t="s">
        <v>3</v>
      </c>
      <c r="X119" s="475" t="s">
        <v>1552</v>
      </c>
      <c r="Y119" s="554" t="s">
        <v>1320</v>
      </c>
      <c r="Z119" s="555" t="s">
        <v>1320</v>
      </c>
      <c r="AA119" s="555" t="s">
        <v>1320</v>
      </c>
      <c r="AB119" s="555" t="s">
        <v>1320</v>
      </c>
      <c r="AC119" s="555" t="s">
        <v>1320</v>
      </c>
      <c r="AD119" s="555" t="s">
        <v>1320</v>
      </c>
      <c r="AE119" s="556" t="s">
        <v>1320</v>
      </c>
      <c r="AF119" s="554" t="s">
        <v>1320</v>
      </c>
      <c r="AG119" s="555" t="s">
        <v>1320</v>
      </c>
      <c r="AH119" s="555" t="s">
        <v>1320</v>
      </c>
      <c r="AI119" s="555" t="s">
        <v>1320</v>
      </c>
      <c r="AJ119" s="555" t="s">
        <v>1320</v>
      </c>
      <c r="AK119" s="555" t="s">
        <v>1320</v>
      </c>
      <c r="AL119" s="556" t="s">
        <v>1320</v>
      </c>
    </row>
    <row r="120" spans="1:38" s="419" customFormat="1" ht="56.55" customHeight="1">
      <c r="A120" s="31" t="s">
        <v>961</v>
      </c>
      <c r="B120" s="561" t="s">
        <v>23</v>
      </c>
      <c r="C120" s="383" t="s">
        <v>1076</v>
      </c>
      <c r="D120" s="554" t="s">
        <v>1320</v>
      </c>
      <c r="E120" s="555" t="s">
        <v>1320</v>
      </c>
      <c r="F120" s="555" t="s">
        <v>1320</v>
      </c>
      <c r="G120" s="555" t="s">
        <v>1320</v>
      </c>
      <c r="H120" s="555" t="s">
        <v>1320</v>
      </c>
      <c r="I120" s="555" t="s">
        <v>1320</v>
      </c>
      <c r="J120" s="556" t="s">
        <v>1320</v>
      </c>
      <c r="K120" s="303">
        <v>42634</v>
      </c>
      <c r="L120" s="230" t="s">
        <v>187</v>
      </c>
      <c r="M120" s="319">
        <v>0.36</v>
      </c>
      <c r="N120" s="230">
        <v>2005</v>
      </c>
      <c r="O120" s="230">
        <v>2030</v>
      </c>
      <c r="P120" s="230" t="s">
        <v>3</v>
      </c>
      <c r="Q120" s="22" t="s">
        <v>1105</v>
      </c>
      <c r="R120" s="551">
        <v>43921</v>
      </c>
      <c r="S120" s="54" t="s">
        <v>445</v>
      </c>
      <c r="T120" s="55" t="s">
        <v>962</v>
      </c>
      <c r="U120" s="54" t="s">
        <v>963</v>
      </c>
      <c r="V120" s="293">
        <v>2030</v>
      </c>
      <c r="W120" s="293" t="s">
        <v>3</v>
      </c>
      <c r="X120" s="435" t="s">
        <v>964</v>
      </c>
      <c r="Y120" s="554" t="s">
        <v>1320</v>
      </c>
      <c r="Z120" s="555" t="s">
        <v>1320</v>
      </c>
      <c r="AA120" s="555" t="s">
        <v>1320</v>
      </c>
      <c r="AB120" s="555" t="s">
        <v>1320</v>
      </c>
      <c r="AC120" s="555" t="s">
        <v>1320</v>
      </c>
      <c r="AD120" s="555" t="s">
        <v>1320</v>
      </c>
      <c r="AE120" s="556" t="s">
        <v>1320</v>
      </c>
      <c r="AF120" s="554" t="s">
        <v>1320</v>
      </c>
      <c r="AG120" s="555" t="s">
        <v>1320</v>
      </c>
      <c r="AH120" s="555" t="s">
        <v>1320</v>
      </c>
      <c r="AI120" s="555" t="s">
        <v>1320</v>
      </c>
      <c r="AJ120" s="555" t="s">
        <v>1320</v>
      </c>
      <c r="AK120" s="555" t="s">
        <v>1320</v>
      </c>
      <c r="AL120" s="556" t="s">
        <v>1320</v>
      </c>
    </row>
    <row r="121" spans="1:38" s="510" customFormat="1" ht="56.55" customHeight="1">
      <c r="A121" s="32" t="s">
        <v>630</v>
      </c>
      <c r="B121" s="560" t="s">
        <v>25</v>
      </c>
      <c r="C121" s="383" t="s">
        <v>1076</v>
      </c>
      <c r="D121" s="554" t="s">
        <v>1320</v>
      </c>
      <c r="E121" s="555" t="s">
        <v>1320</v>
      </c>
      <c r="F121" s="555" t="s">
        <v>1320</v>
      </c>
      <c r="G121" s="555" t="s">
        <v>1320</v>
      </c>
      <c r="H121" s="555" t="s">
        <v>1320</v>
      </c>
      <c r="I121" s="555" t="s">
        <v>1320</v>
      </c>
      <c r="J121" s="556" t="s">
        <v>1320</v>
      </c>
      <c r="K121" s="303">
        <v>42634</v>
      </c>
      <c r="L121" s="293" t="s">
        <v>186</v>
      </c>
      <c r="M121" s="293" t="s">
        <v>1053</v>
      </c>
      <c r="N121" s="293">
        <v>2015</v>
      </c>
      <c r="O121" s="293" t="s">
        <v>6</v>
      </c>
      <c r="P121" s="230" t="s">
        <v>3</v>
      </c>
      <c r="Q121" s="391" t="s">
        <v>277</v>
      </c>
      <c r="R121" s="489">
        <v>44396</v>
      </c>
      <c r="S121" s="293" t="s">
        <v>186</v>
      </c>
      <c r="T121" s="54" t="s">
        <v>1445</v>
      </c>
      <c r="U121" s="293">
        <v>2015</v>
      </c>
      <c r="V121" s="293" t="s">
        <v>6</v>
      </c>
      <c r="W121" s="230" t="s">
        <v>3</v>
      </c>
      <c r="X121" s="473" t="s">
        <v>1446</v>
      </c>
      <c r="Y121" s="554" t="s">
        <v>1320</v>
      </c>
      <c r="Z121" s="555" t="s">
        <v>1320</v>
      </c>
      <c r="AA121" s="555" t="s">
        <v>1320</v>
      </c>
      <c r="AB121" s="555" t="s">
        <v>1320</v>
      </c>
      <c r="AC121" s="555" t="s">
        <v>1320</v>
      </c>
      <c r="AD121" s="555" t="s">
        <v>1320</v>
      </c>
      <c r="AE121" s="556" t="s">
        <v>1320</v>
      </c>
      <c r="AF121" s="554" t="s">
        <v>1320</v>
      </c>
      <c r="AG121" s="555" t="s">
        <v>1320</v>
      </c>
      <c r="AH121" s="555" t="s">
        <v>1320</v>
      </c>
      <c r="AI121" s="555" t="s">
        <v>1320</v>
      </c>
      <c r="AJ121" s="555" t="s">
        <v>1320</v>
      </c>
      <c r="AK121" s="555" t="s">
        <v>1320</v>
      </c>
      <c r="AL121" s="556" t="s">
        <v>1320</v>
      </c>
    </row>
    <row r="122" spans="1:38" s="517" customFormat="1" ht="56.55" customHeight="1">
      <c r="A122" s="31" t="s">
        <v>631</v>
      </c>
      <c r="B122" s="92" t="s">
        <v>180</v>
      </c>
      <c r="C122" s="383" t="s">
        <v>1076</v>
      </c>
      <c r="D122" s="554" t="s">
        <v>1320</v>
      </c>
      <c r="E122" s="555" t="s">
        <v>1320</v>
      </c>
      <c r="F122" s="555" t="s">
        <v>1320</v>
      </c>
      <c r="G122" s="555" t="s">
        <v>1320</v>
      </c>
      <c r="H122" s="555" t="s">
        <v>1320</v>
      </c>
      <c r="I122" s="555" t="s">
        <v>1320</v>
      </c>
      <c r="J122" s="556" t="s">
        <v>1320</v>
      </c>
      <c r="K122" s="328">
        <v>42482</v>
      </c>
      <c r="L122" s="230" t="s">
        <v>189</v>
      </c>
      <c r="M122" s="230" t="s">
        <v>3</v>
      </c>
      <c r="N122" s="230" t="s">
        <v>3</v>
      </c>
      <c r="O122" s="230" t="s">
        <v>3</v>
      </c>
      <c r="P122" s="230" t="s">
        <v>3</v>
      </c>
      <c r="Q122" s="391" t="s">
        <v>106</v>
      </c>
      <c r="R122" s="489">
        <v>44408</v>
      </c>
      <c r="S122" s="456" t="s">
        <v>1535</v>
      </c>
      <c r="T122" s="474">
        <v>0.3</v>
      </c>
      <c r="U122" s="456" t="s">
        <v>1536</v>
      </c>
      <c r="V122" s="456">
        <v>2030</v>
      </c>
      <c r="W122" s="230" t="s">
        <v>3</v>
      </c>
      <c r="X122" s="475" t="s">
        <v>1546</v>
      </c>
      <c r="Y122" s="554" t="s">
        <v>1320</v>
      </c>
      <c r="Z122" s="555" t="s">
        <v>1320</v>
      </c>
      <c r="AA122" s="555" t="s">
        <v>1320</v>
      </c>
      <c r="AB122" s="555" t="s">
        <v>1320</v>
      </c>
      <c r="AC122" s="555" t="s">
        <v>1320</v>
      </c>
      <c r="AD122" s="555" t="s">
        <v>1320</v>
      </c>
      <c r="AE122" s="556" t="s">
        <v>1320</v>
      </c>
      <c r="AF122" s="554" t="s">
        <v>1320</v>
      </c>
      <c r="AG122" s="555" t="s">
        <v>1320</v>
      </c>
      <c r="AH122" s="555" t="s">
        <v>1320</v>
      </c>
      <c r="AI122" s="555" t="s">
        <v>1320</v>
      </c>
      <c r="AJ122" s="555" t="s">
        <v>1320</v>
      </c>
      <c r="AK122" s="555" t="s">
        <v>1320</v>
      </c>
      <c r="AL122" s="556" t="s">
        <v>1320</v>
      </c>
    </row>
    <row r="123" spans="1:38" s="524" customFormat="1" ht="76.5" customHeight="1">
      <c r="A123" s="31" t="s">
        <v>632</v>
      </c>
      <c r="B123" s="92" t="s">
        <v>180</v>
      </c>
      <c r="C123" s="383" t="s">
        <v>1076</v>
      </c>
      <c r="D123" s="554" t="s">
        <v>1320</v>
      </c>
      <c r="E123" s="555" t="s">
        <v>1320</v>
      </c>
      <c r="F123" s="555" t="s">
        <v>1320</v>
      </c>
      <c r="G123" s="555" t="s">
        <v>1320</v>
      </c>
      <c r="H123" s="555" t="s">
        <v>1320</v>
      </c>
      <c r="I123" s="555" t="s">
        <v>1320</v>
      </c>
      <c r="J123" s="556" t="s">
        <v>1320</v>
      </c>
      <c r="K123" s="303">
        <v>42675</v>
      </c>
      <c r="L123" s="230" t="s">
        <v>164</v>
      </c>
      <c r="M123" s="230" t="s">
        <v>1054</v>
      </c>
      <c r="N123" s="230" t="s">
        <v>3</v>
      </c>
      <c r="O123" s="230" t="s">
        <v>6</v>
      </c>
      <c r="P123" s="230" t="s">
        <v>3</v>
      </c>
      <c r="Q123" s="391" t="s">
        <v>140</v>
      </c>
      <c r="R123" s="489">
        <v>44466</v>
      </c>
      <c r="S123" s="230" t="s">
        <v>1609</v>
      </c>
      <c r="T123" s="456" t="s">
        <v>1610</v>
      </c>
      <c r="U123" s="230" t="s">
        <v>3</v>
      </c>
      <c r="V123" s="230" t="s">
        <v>6</v>
      </c>
      <c r="W123" s="230" t="s">
        <v>3</v>
      </c>
      <c r="X123" s="475" t="s">
        <v>1611</v>
      </c>
      <c r="Y123" s="554" t="s">
        <v>1320</v>
      </c>
      <c r="Z123" s="555" t="s">
        <v>1320</v>
      </c>
      <c r="AA123" s="555" t="s">
        <v>1320</v>
      </c>
      <c r="AB123" s="555" t="s">
        <v>1320</v>
      </c>
      <c r="AC123" s="555" t="s">
        <v>1320</v>
      </c>
      <c r="AD123" s="555" t="s">
        <v>1320</v>
      </c>
      <c r="AE123" s="556" t="s">
        <v>1320</v>
      </c>
      <c r="AF123" s="554" t="s">
        <v>1320</v>
      </c>
      <c r="AG123" s="555" t="s">
        <v>1320</v>
      </c>
      <c r="AH123" s="555" t="s">
        <v>1320</v>
      </c>
      <c r="AI123" s="555" t="s">
        <v>1320</v>
      </c>
      <c r="AJ123" s="555" t="s">
        <v>1320</v>
      </c>
      <c r="AK123" s="555" t="s">
        <v>1320</v>
      </c>
      <c r="AL123" s="556" t="s">
        <v>1320</v>
      </c>
    </row>
    <row r="124" spans="1:38" s="525" customFormat="1" ht="76.5" customHeight="1">
      <c r="A124" s="31" t="s">
        <v>671</v>
      </c>
      <c r="B124" s="92" t="s">
        <v>180</v>
      </c>
      <c r="C124" s="383" t="s">
        <v>1189</v>
      </c>
      <c r="D124" s="554" t="s">
        <v>1320</v>
      </c>
      <c r="E124" s="555" t="s">
        <v>1320</v>
      </c>
      <c r="F124" s="555" t="s">
        <v>1320</v>
      </c>
      <c r="G124" s="555" t="s">
        <v>1320</v>
      </c>
      <c r="H124" s="555" t="s">
        <v>1320</v>
      </c>
      <c r="I124" s="555" t="s">
        <v>1320</v>
      </c>
      <c r="J124" s="556" t="s">
        <v>1320</v>
      </c>
      <c r="K124" s="303">
        <v>44250</v>
      </c>
      <c r="L124" s="230" t="s">
        <v>189</v>
      </c>
      <c r="M124" s="230" t="s">
        <v>3</v>
      </c>
      <c r="N124" s="230" t="s">
        <v>3</v>
      </c>
      <c r="O124" s="230">
        <v>2030</v>
      </c>
      <c r="P124" s="230" t="s">
        <v>3</v>
      </c>
      <c r="Q124" s="391" t="s">
        <v>1327</v>
      </c>
      <c r="R124" s="489">
        <v>44460</v>
      </c>
      <c r="S124" s="230" t="s">
        <v>1628</v>
      </c>
      <c r="T124" s="456" t="s">
        <v>1629</v>
      </c>
      <c r="U124" s="230" t="s">
        <v>3</v>
      </c>
      <c r="V124" s="230">
        <v>2030</v>
      </c>
      <c r="W124" s="230" t="s">
        <v>3</v>
      </c>
      <c r="X124" s="475" t="s">
        <v>1630</v>
      </c>
      <c r="Y124" s="554" t="s">
        <v>1320</v>
      </c>
      <c r="Z124" s="555" t="s">
        <v>1320</v>
      </c>
      <c r="AA124" s="555" t="s">
        <v>1320</v>
      </c>
      <c r="AB124" s="555" t="s">
        <v>1320</v>
      </c>
      <c r="AC124" s="555" t="s">
        <v>1320</v>
      </c>
      <c r="AD124" s="555" t="s">
        <v>1320</v>
      </c>
      <c r="AE124" s="556" t="s">
        <v>1320</v>
      </c>
      <c r="AF124" s="554" t="s">
        <v>1320</v>
      </c>
      <c r="AG124" s="555" t="s">
        <v>1320</v>
      </c>
      <c r="AH124" s="555" t="s">
        <v>1320</v>
      </c>
      <c r="AI124" s="555" t="s">
        <v>1320</v>
      </c>
      <c r="AJ124" s="555" t="s">
        <v>1320</v>
      </c>
      <c r="AK124" s="555" t="s">
        <v>1320</v>
      </c>
      <c r="AL124" s="556" t="s">
        <v>1320</v>
      </c>
    </row>
    <row r="125" spans="1:38" s="516" customFormat="1" ht="145.05000000000001" customHeight="1">
      <c r="A125" s="31" t="s">
        <v>633</v>
      </c>
      <c r="B125" s="561" t="s">
        <v>23</v>
      </c>
      <c r="C125" s="383" t="s">
        <v>1076</v>
      </c>
      <c r="D125" s="554" t="s">
        <v>1320</v>
      </c>
      <c r="E125" s="555" t="s">
        <v>1320</v>
      </c>
      <c r="F125" s="555" t="s">
        <v>1320</v>
      </c>
      <c r="G125" s="555" t="s">
        <v>1320</v>
      </c>
      <c r="H125" s="555" t="s">
        <v>1320</v>
      </c>
      <c r="I125" s="555" t="s">
        <v>1320</v>
      </c>
      <c r="J125" s="556" t="s">
        <v>1320</v>
      </c>
      <c r="K125" s="571">
        <v>42680</v>
      </c>
      <c r="L125" s="230" t="s">
        <v>185</v>
      </c>
      <c r="M125" s="230" t="s">
        <v>1147</v>
      </c>
      <c r="N125" s="230" t="s">
        <v>1</v>
      </c>
      <c r="O125" s="230">
        <v>2030</v>
      </c>
      <c r="P125" s="230" t="s">
        <v>3</v>
      </c>
      <c r="Q125" s="460" t="s">
        <v>1575</v>
      </c>
      <c r="R125" s="489">
        <v>44463</v>
      </c>
      <c r="S125" s="230" t="s">
        <v>185</v>
      </c>
      <c r="T125" s="456" t="s">
        <v>1517</v>
      </c>
      <c r="U125" s="230" t="s">
        <v>1</v>
      </c>
      <c r="V125" s="230">
        <v>2030</v>
      </c>
      <c r="W125" s="230" t="s">
        <v>3</v>
      </c>
      <c r="X125" s="495" t="s">
        <v>1636</v>
      </c>
      <c r="Y125" s="554" t="s">
        <v>1320</v>
      </c>
      <c r="Z125" s="555" t="s">
        <v>1320</v>
      </c>
      <c r="AA125" s="555" t="s">
        <v>1320</v>
      </c>
      <c r="AB125" s="555" t="s">
        <v>1320</v>
      </c>
      <c r="AC125" s="555" t="s">
        <v>1320</v>
      </c>
      <c r="AD125" s="555" t="s">
        <v>1320</v>
      </c>
      <c r="AE125" s="556" t="s">
        <v>1320</v>
      </c>
      <c r="AF125" s="554" t="s">
        <v>1320</v>
      </c>
      <c r="AG125" s="555" t="s">
        <v>1320</v>
      </c>
      <c r="AH125" s="555" t="s">
        <v>1320</v>
      </c>
      <c r="AI125" s="555" t="s">
        <v>1320</v>
      </c>
      <c r="AJ125" s="555" t="s">
        <v>1320</v>
      </c>
      <c r="AK125" s="555" t="s">
        <v>1320</v>
      </c>
      <c r="AL125" s="556" t="s">
        <v>1320</v>
      </c>
    </row>
    <row r="126" spans="1:38" s="596" customFormat="1" ht="55.95" customHeight="1">
      <c r="A126" s="31" t="s">
        <v>2177</v>
      </c>
      <c r="B126" s="203" t="s">
        <v>182</v>
      </c>
      <c r="C126" s="124" t="s">
        <v>1076</v>
      </c>
      <c r="D126" s="554" t="s">
        <v>1320</v>
      </c>
      <c r="E126" s="555" t="s">
        <v>1320</v>
      </c>
      <c r="F126" s="555" t="s">
        <v>1320</v>
      </c>
      <c r="G126" s="555" t="s">
        <v>1320</v>
      </c>
      <c r="H126" s="555" t="s">
        <v>1320</v>
      </c>
      <c r="I126" s="555" t="s">
        <v>1320</v>
      </c>
      <c r="J126" s="556" t="s">
        <v>1320</v>
      </c>
      <c r="K126" s="571">
        <v>42968</v>
      </c>
      <c r="L126" s="230" t="s">
        <v>185</v>
      </c>
      <c r="M126" s="323" t="s">
        <v>1045</v>
      </c>
      <c r="N126" s="230" t="s">
        <v>1</v>
      </c>
      <c r="O126" s="230">
        <v>2040</v>
      </c>
      <c r="P126" s="230" t="s">
        <v>3</v>
      </c>
      <c r="Q126" s="460" t="s">
        <v>238</v>
      </c>
      <c r="R126" s="489">
        <v>44479</v>
      </c>
      <c r="S126" s="230" t="s">
        <v>185</v>
      </c>
      <c r="T126" s="515" t="s">
        <v>1661</v>
      </c>
      <c r="U126" s="230" t="s">
        <v>1</v>
      </c>
      <c r="V126" s="230">
        <v>2040</v>
      </c>
      <c r="W126" s="230" t="s">
        <v>3</v>
      </c>
      <c r="X126" s="495" t="s">
        <v>1660</v>
      </c>
      <c r="Y126" s="554" t="s">
        <v>1320</v>
      </c>
      <c r="Z126" s="555" t="s">
        <v>1320</v>
      </c>
      <c r="AA126" s="555" t="s">
        <v>1320</v>
      </c>
      <c r="AB126" s="555" t="s">
        <v>1320</v>
      </c>
      <c r="AC126" s="555" t="s">
        <v>1320</v>
      </c>
      <c r="AD126" s="555" t="s">
        <v>1320</v>
      </c>
      <c r="AE126" s="556" t="s">
        <v>1320</v>
      </c>
      <c r="AF126" s="554" t="s">
        <v>1320</v>
      </c>
      <c r="AG126" s="555" t="s">
        <v>1320</v>
      </c>
      <c r="AH126" s="555" t="s">
        <v>1320</v>
      </c>
      <c r="AI126" s="555" t="s">
        <v>1320</v>
      </c>
      <c r="AJ126" s="555" t="s">
        <v>1320</v>
      </c>
      <c r="AK126" s="555" t="s">
        <v>1320</v>
      </c>
      <c r="AL126" s="556" t="s">
        <v>1320</v>
      </c>
    </row>
    <row r="127" spans="1:38" s="508" customFormat="1" ht="145.05000000000001" customHeight="1">
      <c r="A127" s="31" t="s">
        <v>634</v>
      </c>
      <c r="B127" s="92" t="s">
        <v>180</v>
      </c>
      <c r="C127" s="383" t="s">
        <v>1076</v>
      </c>
      <c r="D127" s="554" t="s">
        <v>1320</v>
      </c>
      <c r="E127" s="555" t="s">
        <v>1320</v>
      </c>
      <c r="F127" s="555" t="s">
        <v>1320</v>
      </c>
      <c r="G127" s="555" t="s">
        <v>1320</v>
      </c>
      <c r="H127" s="555" t="s">
        <v>1320</v>
      </c>
      <c r="I127" s="555" t="s">
        <v>1320</v>
      </c>
      <c r="J127" s="556" t="s">
        <v>1320</v>
      </c>
      <c r="K127" s="120">
        <v>42949</v>
      </c>
      <c r="L127" s="230" t="s">
        <v>189</v>
      </c>
      <c r="M127" s="230" t="s">
        <v>311</v>
      </c>
      <c r="N127" s="230" t="s">
        <v>1</v>
      </c>
      <c r="O127" s="230">
        <v>2030</v>
      </c>
      <c r="P127" s="230" t="s">
        <v>3</v>
      </c>
      <c r="Q127" s="391" t="s">
        <v>310</v>
      </c>
      <c r="R127" s="489">
        <v>44347</v>
      </c>
      <c r="S127" s="230" t="s">
        <v>189</v>
      </c>
      <c r="T127" s="230" t="s">
        <v>1434</v>
      </c>
      <c r="U127" s="230" t="s">
        <v>1</v>
      </c>
      <c r="V127" s="230">
        <v>2030</v>
      </c>
      <c r="W127" s="230" t="s">
        <v>3</v>
      </c>
      <c r="X127" s="475" t="s">
        <v>1435</v>
      </c>
      <c r="Y127" s="579">
        <v>44826</v>
      </c>
      <c r="Z127" s="456" t="s">
        <v>1975</v>
      </c>
      <c r="AA127" s="456" t="s">
        <v>1976</v>
      </c>
      <c r="AB127" s="337" t="s">
        <v>1</v>
      </c>
      <c r="AC127" s="337">
        <v>2030</v>
      </c>
      <c r="AD127" s="230" t="s">
        <v>3</v>
      </c>
      <c r="AE127" s="475" t="s">
        <v>1977</v>
      </c>
      <c r="AF127" s="554" t="s">
        <v>1320</v>
      </c>
      <c r="AG127" s="555" t="s">
        <v>1320</v>
      </c>
      <c r="AH127" s="555" t="s">
        <v>1320</v>
      </c>
      <c r="AI127" s="555" t="s">
        <v>1320</v>
      </c>
      <c r="AJ127" s="555" t="s">
        <v>1320</v>
      </c>
      <c r="AK127" s="555" t="s">
        <v>1320</v>
      </c>
      <c r="AL127" s="556" t="s">
        <v>1320</v>
      </c>
    </row>
    <row r="128" spans="1:38" s="411" customFormat="1" ht="114.45" customHeight="1">
      <c r="A128" s="31" t="s">
        <v>922</v>
      </c>
      <c r="B128" s="95" t="s">
        <v>181</v>
      </c>
      <c r="C128" s="383" t="s">
        <v>1126</v>
      </c>
      <c r="D128" s="554" t="s">
        <v>1320</v>
      </c>
      <c r="E128" s="555" t="s">
        <v>1320</v>
      </c>
      <c r="F128" s="555" t="s">
        <v>1320</v>
      </c>
      <c r="G128" s="555" t="s">
        <v>1320</v>
      </c>
      <c r="H128" s="555" t="s">
        <v>1320</v>
      </c>
      <c r="I128" s="555" t="s">
        <v>1320</v>
      </c>
      <c r="J128" s="556" t="s">
        <v>1320</v>
      </c>
      <c r="K128" s="303">
        <v>43509</v>
      </c>
      <c r="L128" s="293" t="s">
        <v>189</v>
      </c>
      <c r="M128" s="293" t="s">
        <v>928</v>
      </c>
      <c r="N128" s="293" t="s">
        <v>929</v>
      </c>
      <c r="O128" s="293">
        <v>2025</v>
      </c>
      <c r="P128" s="230" t="s">
        <v>3</v>
      </c>
      <c r="Q128" s="24" t="s">
        <v>931</v>
      </c>
      <c r="R128" s="551">
        <v>43808</v>
      </c>
      <c r="S128" s="23" t="s">
        <v>924</v>
      </c>
      <c r="T128" s="55" t="s">
        <v>1124</v>
      </c>
      <c r="U128" s="293" t="s">
        <v>929</v>
      </c>
      <c r="V128" s="54" t="s">
        <v>1082</v>
      </c>
      <c r="W128" s="23" t="s">
        <v>925</v>
      </c>
      <c r="X128" s="435" t="s">
        <v>1109</v>
      </c>
      <c r="Y128" s="554" t="s">
        <v>1320</v>
      </c>
      <c r="Z128" s="555" t="s">
        <v>1320</v>
      </c>
      <c r="AA128" s="555" t="s">
        <v>1320</v>
      </c>
      <c r="AB128" s="555" t="s">
        <v>1320</v>
      </c>
      <c r="AC128" s="555" t="s">
        <v>1320</v>
      </c>
      <c r="AD128" s="555" t="s">
        <v>1320</v>
      </c>
      <c r="AE128" s="556" t="s">
        <v>1320</v>
      </c>
      <c r="AF128" s="554" t="s">
        <v>1320</v>
      </c>
      <c r="AG128" s="555" t="s">
        <v>1320</v>
      </c>
      <c r="AH128" s="555" t="s">
        <v>1320</v>
      </c>
      <c r="AI128" s="555" t="s">
        <v>1320</v>
      </c>
      <c r="AJ128" s="555" t="s">
        <v>1320</v>
      </c>
      <c r="AK128" s="555" t="s">
        <v>1320</v>
      </c>
      <c r="AL128" s="556" t="s">
        <v>1320</v>
      </c>
    </row>
    <row r="129" spans="1:38" s="455" customFormat="1" ht="150.44999999999999" customHeight="1">
      <c r="A129" s="32" t="s">
        <v>635</v>
      </c>
      <c r="B129" s="557" t="s">
        <v>76</v>
      </c>
      <c r="C129" s="383" t="s">
        <v>1076</v>
      </c>
      <c r="D129" s="554" t="s">
        <v>1320</v>
      </c>
      <c r="E129" s="555" t="s">
        <v>1320</v>
      </c>
      <c r="F129" s="555" t="s">
        <v>1320</v>
      </c>
      <c r="G129" s="555" t="s">
        <v>1320</v>
      </c>
      <c r="H129" s="555" t="s">
        <v>1320</v>
      </c>
      <c r="I129" s="555" t="s">
        <v>1320</v>
      </c>
      <c r="J129" s="556" t="s">
        <v>1320</v>
      </c>
      <c r="K129" s="303">
        <v>43014</v>
      </c>
      <c r="L129" s="293" t="s">
        <v>186</v>
      </c>
      <c r="M129" s="318" t="s">
        <v>1055</v>
      </c>
      <c r="N129" s="293">
        <v>1990</v>
      </c>
      <c r="O129" s="293" t="s">
        <v>6</v>
      </c>
      <c r="P129" s="230" t="s">
        <v>131</v>
      </c>
      <c r="Q129" s="24" t="s">
        <v>226</v>
      </c>
      <c r="R129" s="551">
        <v>44547</v>
      </c>
      <c r="S129" s="293" t="s">
        <v>186</v>
      </c>
      <c r="T129" s="55" t="s">
        <v>1206</v>
      </c>
      <c r="U129" s="293">
        <v>1990</v>
      </c>
      <c r="V129" s="293" t="s">
        <v>1204</v>
      </c>
      <c r="W129" s="293" t="s">
        <v>1169</v>
      </c>
      <c r="X129" s="56" t="s">
        <v>1193</v>
      </c>
      <c r="Y129" s="554" t="s">
        <v>1320</v>
      </c>
      <c r="Z129" s="555" t="s">
        <v>1320</v>
      </c>
      <c r="AA129" s="555" t="s">
        <v>1320</v>
      </c>
      <c r="AB129" s="555" t="s">
        <v>1320</v>
      </c>
      <c r="AC129" s="555" t="s">
        <v>1320</v>
      </c>
      <c r="AD129" s="555" t="s">
        <v>1320</v>
      </c>
      <c r="AE129" s="556" t="s">
        <v>1320</v>
      </c>
      <c r="AF129" s="554" t="s">
        <v>1320</v>
      </c>
      <c r="AG129" s="555" t="s">
        <v>1320</v>
      </c>
      <c r="AH129" s="555" t="s">
        <v>1320</v>
      </c>
      <c r="AI129" s="555" t="s">
        <v>1320</v>
      </c>
      <c r="AJ129" s="555" t="s">
        <v>1320</v>
      </c>
      <c r="AK129" s="555" t="s">
        <v>1320</v>
      </c>
      <c r="AL129" s="556" t="s">
        <v>1320</v>
      </c>
    </row>
    <row r="130" spans="1:38" s="532" customFormat="1" ht="150.44999999999999" customHeight="1">
      <c r="A130" s="31" t="s">
        <v>636</v>
      </c>
      <c r="B130" s="93" t="s">
        <v>183</v>
      </c>
      <c r="C130" s="383" t="s">
        <v>1076</v>
      </c>
      <c r="D130" s="554" t="s">
        <v>1320</v>
      </c>
      <c r="E130" s="555" t="s">
        <v>1320</v>
      </c>
      <c r="F130" s="555" t="s">
        <v>1320</v>
      </c>
      <c r="G130" s="555" t="s">
        <v>1320</v>
      </c>
      <c r="H130" s="555" t="s">
        <v>1320</v>
      </c>
      <c r="I130" s="555" t="s">
        <v>1320</v>
      </c>
      <c r="J130" s="556" t="s">
        <v>1320</v>
      </c>
      <c r="K130" s="120">
        <v>42816</v>
      </c>
      <c r="L130" s="230" t="s">
        <v>186</v>
      </c>
      <c r="M130" s="319" t="s">
        <v>1056</v>
      </c>
      <c r="N130" s="230">
        <v>1990</v>
      </c>
      <c r="O130" s="230">
        <v>2030</v>
      </c>
      <c r="P130" s="230" t="s">
        <v>3</v>
      </c>
      <c r="Q130" s="320" t="s">
        <v>198</v>
      </c>
      <c r="R130" s="551">
        <v>44481</v>
      </c>
      <c r="S130" s="230" t="s">
        <v>186</v>
      </c>
      <c r="T130" s="474" t="s">
        <v>1710</v>
      </c>
      <c r="U130" s="230">
        <v>1990</v>
      </c>
      <c r="V130" s="230">
        <v>2030</v>
      </c>
      <c r="W130" s="230" t="s">
        <v>3</v>
      </c>
      <c r="X130" s="495" t="s">
        <v>1709</v>
      </c>
      <c r="Y130" s="554" t="s">
        <v>1320</v>
      </c>
      <c r="Z130" s="555" t="s">
        <v>1320</v>
      </c>
      <c r="AA130" s="555" t="s">
        <v>1320</v>
      </c>
      <c r="AB130" s="555" t="s">
        <v>1320</v>
      </c>
      <c r="AC130" s="555" t="s">
        <v>1320</v>
      </c>
      <c r="AD130" s="555" t="s">
        <v>1320</v>
      </c>
      <c r="AE130" s="556" t="s">
        <v>1320</v>
      </c>
      <c r="AF130" s="554" t="s">
        <v>1320</v>
      </c>
      <c r="AG130" s="555" t="s">
        <v>1320</v>
      </c>
      <c r="AH130" s="555" t="s">
        <v>1320</v>
      </c>
      <c r="AI130" s="555" t="s">
        <v>1320</v>
      </c>
      <c r="AJ130" s="555" t="s">
        <v>1320</v>
      </c>
      <c r="AK130" s="555" t="s">
        <v>1320</v>
      </c>
      <c r="AL130" s="556" t="s">
        <v>1320</v>
      </c>
    </row>
    <row r="131" spans="1:38" s="455" customFormat="1" ht="114.45" customHeight="1">
      <c r="A131" s="31" t="s">
        <v>637</v>
      </c>
      <c r="B131" s="561" t="s">
        <v>23</v>
      </c>
      <c r="C131" s="383" t="s">
        <v>860</v>
      </c>
      <c r="D131" s="554" t="s">
        <v>1320</v>
      </c>
      <c r="E131" s="555" t="s">
        <v>1320</v>
      </c>
      <c r="F131" s="555" t="s">
        <v>1320</v>
      </c>
      <c r="G131" s="555" t="s">
        <v>1320</v>
      </c>
      <c r="H131" s="555" t="s">
        <v>1320</v>
      </c>
      <c r="I131" s="555" t="s">
        <v>1320</v>
      </c>
      <c r="J131" s="556" t="s">
        <v>1320</v>
      </c>
      <c r="K131" s="303">
        <v>42634</v>
      </c>
      <c r="L131" s="230" t="s">
        <v>185</v>
      </c>
      <c r="M131" s="319" t="s">
        <v>1057</v>
      </c>
      <c r="N131" s="230" t="s">
        <v>1</v>
      </c>
      <c r="O131" s="230">
        <v>2030</v>
      </c>
      <c r="P131" s="230" t="s">
        <v>3</v>
      </c>
      <c r="Q131" s="22" t="s">
        <v>78</v>
      </c>
      <c r="R131" s="551">
        <v>44130</v>
      </c>
      <c r="S131" s="293" t="s">
        <v>185</v>
      </c>
      <c r="T131" s="318" t="s">
        <v>1057</v>
      </c>
      <c r="U131" s="293" t="s">
        <v>1</v>
      </c>
      <c r="V131" s="293">
        <v>2030</v>
      </c>
      <c r="W131" s="293" t="s">
        <v>3</v>
      </c>
      <c r="X131" s="460" t="s">
        <v>1177</v>
      </c>
      <c r="Y131" s="554" t="s">
        <v>1320</v>
      </c>
      <c r="Z131" s="555" t="s">
        <v>1320</v>
      </c>
      <c r="AA131" s="555" t="s">
        <v>1320</v>
      </c>
      <c r="AB131" s="555" t="s">
        <v>1320</v>
      </c>
      <c r="AC131" s="555" t="s">
        <v>1320</v>
      </c>
      <c r="AD131" s="555" t="s">
        <v>1320</v>
      </c>
      <c r="AE131" s="556" t="s">
        <v>1320</v>
      </c>
      <c r="AF131" s="554" t="s">
        <v>1320</v>
      </c>
      <c r="AG131" s="555" t="s">
        <v>1320</v>
      </c>
      <c r="AH131" s="555" t="s">
        <v>1320</v>
      </c>
      <c r="AI131" s="555" t="s">
        <v>1320</v>
      </c>
      <c r="AJ131" s="555" t="s">
        <v>1320</v>
      </c>
      <c r="AK131" s="555" t="s">
        <v>1320</v>
      </c>
      <c r="AL131" s="556" t="s">
        <v>1320</v>
      </c>
    </row>
    <row r="132" spans="1:38" s="532" customFormat="1" ht="114.45" customHeight="1">
      <c r="A132" s="31" t="s">
        <v>639</v>
      </c>
      <c r="B132" s="92" t="s">
        <v>180</v>
      </c>
      <c r="C132" s="383" t="s">
        <v>1076</v>
      </c>
      <c r="D132" s="554" t="s">
        <v>1320</v>
      </c>
      <c r="E132" s="555" t="s">
        <v>1320</v>
      </c>
      <c r="F132" s="555" t="s">
        <v>1320</v>
      </c>
      <c r="G132" s="555" t="s">
        <v>1320</v>
      </c>
      <c r="H132" s="555" t="s">
        <v>1320</v>
      </c>
      <c r="I132" s="555" t="s">
        <v>1320</v>
      </c>
      <c r="J132" s="556" t="s">
        <v>1320</v>
      </c>
      <c r="K132" s="120">
        <v>42914</v>
      </c>
      <c r="L132" s="230" t="s">
        <v>185</v>
      </c>
      <c r="M132" s="230" t="s">
        <v>1058</v>
      </c>
      <c r="N132" s="230" t="s">
        <v>1</v>
      </c>
      <c r="O132" s="230">
        <v>2030</v>
      </c>
      <c r="P132" s="230" t="s">
        <v>3</v>
      </c>
      <c r="Q132" s="46" t="s">
        <v>83</v>
      </c>
      <c r="R132" s="551">
        <v>44481</v>
      </c>
      <c r="S132" s="230" t="s">
        <v>185</v>
      </c>
      <c r="T132" s="456" t="s">
        <v>1731</v>
      </c>
      <c r="U132" s="230" t="s">
        <v>1</v>
      </c>
      <c r="V132" s="230">
        <v>2030</v>
      </c>
      <c r="W132" s="230" t="s">
        <v>3</v>
      </c>
      <c r="X132" s="475" t="s">
        <v>1732</v>
      </c>
      <c r="Y132" s="554" t="s">
        <v>1320</v>
      </c>
      <c r="Z132" s="555" t="s">
        <v>1320</v>
      </c>
      <c r="AA132" s="555" t="s">
        <v>1320</v>
      </c>
      <c r="AB132" s="555" t="s">
        <v>1320</v>
      </c>
      <c r="AC132" s="555" t="s">
        <v>1320</v>
      </c>
      <c r="AD132" s="555" t="s">
        <v>1320</v>
      </c>
      <c r="AE132" s="556" t="s">
        <v>1320</v>
      </c>
      <c r="AF132" s="554" t="s">
        <v>1320</v>
      </c>
      <c r="AG132" s="555" t="s">
        <v>1320</v>
      </c>
      <c r="AH132" s="555" t="s">
        <v>1320</v>
      </c>
      <c r="AI132" s="555" t="s">
        <v>1320</v>
      </c>
      <c r="AJ132" s="555" t="s">
        <v>1320</v>
      </c>
      <c r="AK132" s="555" t="s">
        <v>1320</v>
      </c>
      <c r="AL132" s="556" t="s">
        <v>1320</v>
      </c>
    </row>
    <row r="133" spans="1:38" s="455" customFormat="1" ht="114.45" customHeight="1">
      <c r="A133" s="32" t="s">
        <v>640</v>
      </c>
      <c r="B133" s="560" t="s">
        <v>25</v>
      </c>
      <c r="C133" s="383" t="s">
        <v>1189</v>
      </c>
      <c r="D133" s="554" t="s">
        <v>1320</v>
      </c>
      <c r="E133" s="555" t="s">
        <v>1320</v>
      </c>
      <c r="F133" s="555" t="s">
        <v>1320</v>
      </c>
      <c r="G133" s="555" t="s">
        <v>1320</v>
      </c>
      <c r="H133" s="555" t="s">
        <v>1320</v>
      </c>
      <c r="I133" s="555" t="s">
        <v>1320</v>
      </c>
      <c r="J133" s="556" t="s">
        <v>1320</v>
      </c>
      <c r="K133" s="328">
        <v>42634</v>
      </c>
      <c r="L133" s="293" t="s">
        <v>189</v>
      </c>
      <c r="M133" s="293" t="s">
        <v>75</v>
      </c>
      <c r="N133" s="293" t="s">
        <v>3</v>
      </c>
      <c r="O133" s="293">
        <v>2020</v>
      </c>
      <c r="P133" s="230" t="s">
        <v>3</v>
      </c>
      <c r="Q133" s="360" t="s">
        <v>201</v>
      </c>
      <c r="R133" s="551">
        <v>44174</v>
      </c>
      <c r="S133" s="54" t="s">
        <v>1195</v>
      </c>
      <c r="T133" s="54" t="s">
        <v>1194</v>
      </c>
      <c r="U133" s="54">
        <v>2006</v>
      </c>
      <c r="V133" s="54">
        <v>2030</v>
      </c>
      <c r="W133" s="293" t="s">
        <v>3</v>
      </c>
      <c r="X133" s="461" t="s">
        <v>1196</v>
      </c>
      <c r="Y133" s="554" t="s">
        <v>1320</v>
      </c>
      <c r="Z133" s="555" t="s">
        <v>1320</v>
      </c>
      <c r="AA133" s="555" t="s">
        <v>1320</v>
      </c>
      <c r="AB133" s="555" t="s">
        <v>1320</v>
      </c>
      <c r="AC133" s="555" t="s">
        <v>1320</v>
      </c>
      <c r="AD133" s="555" t="s">
        <v>1320</v>
      </c>
      <c r="AE133" s="556" t="s">
        <v>1320</v>
      </c>
      <c r="AF133" s="554" t="s">
        <v>1320</v>
      </c>
      <c r="AG133" s="555" t="s">
        <v>1320</v>
      </c>
      <c r="AH133" s="555" t="s">
        <v>1320</v>
      </c>
      <c r="AI133" s="555" t="s">
        <v>1320</v>
      </c>
      <c r="AJ133" s="555" t="s">
        <v>1320</v>
      </c>
      <c r="AK133" s="555" t="s">
        <v>1320</v>
      </c>
      <c r="AL133" s="556" t="s">
        <v>1320</v>
      </c>
    </row>
    <row r="134" spans="1:38" s="526" customFormat="1" ht="114.45" customHeight="1">
      <c r="A134" s="31" t="s">
        <v>642</v>
      </c>
      <c r="B134" s="91" t="s">
        <v>182</v>
      </c>
      <c r="C134" s="383" t="s">
        <v>1076</v>
      </c>
      <c r="D134" s="554" t="s">
        <v>1320</v>
      </c>
      <c r="E134" s="555" t="s">
        <v>1320</v>
      </c>
      <c r="F134" s="555" t="s">
        <v>1320</v>
      </c>
      <c r="G134" s="555" t="s">
        <v>1320</v>
      </c>
      <c r="H134" s="555" t="s">
        <v>1320</v>
      </c>
      <c r="I134" s="555" t="s">
        <v>1320</v>
      </c>
      <c r="J134" s="556" t="s">
        <v>1320</v>
      </c>
      <c r="K134" s="120">
        <v>42776</v>
      </c>
      <c r="L134" s="230" t="s">
        <v>187</v>
      </c>
      <c r="M134" s="293" t="s">
        <v>1148</v>
      </c>
      <c r="N134" s="230">
        <v>2010</v>
      </c>
      <c r="O134" s="230">
        <v>2030</v>
      </c>
      <c r="P134" s="230" t="s">
        <v>3</v>
      </c>
      <c r="Q134" s="46" t="s">
        <v>32</v>
      </c>
      <c r="R134" s="551">
        <v>44479</v>
      </c>
      <c r="S134" s="230" t="s">
        <v>1667</v>
      </c>
      <c r="T134" s="54" t="s">
        <v>1668</v>
      </c>
      <c r="U134" s="230">
        <v>2010</v>
      </c>
      <c r="V134" s="230">
        <v>2030</v>
      </c>
      <c r="W134" s="230" t="s">
        <v>3</v>
      </c>
      <c r="X134" s="475" t="s">
        <v>1671</v>
      </c>
      <c r="Y134" s="554" t="s">
        <v>1320</v>
      </c>
      <c r="Z134" s="555" t="s">
        <v>1320</v>
      </c>
      <c r="AA134" s="555" t="s">
        <v>1320</v>
      </c>
      <c r="AB134" s="555" t="s">
        <v>1320</v>
      </c>
      <c r="AC134" s="555" t="s">
        <v>1320</v>
      </c>
      <c r="AD134" s="555" t="s">
        <v>1320</v>
      </c>
      <c r="AE134" s="556" t="s">
        <v>1320</v>
      </c>
      <c r="AF134" s="554" t="s">
        <v>1320</v>
      </c>
      <c r="AG134" s="555" t="s">
        <v>1320</v>
      </c>
      <c r="AH134" s="555" t="s">
        <v>1320</v>
      </c>
      <c r="AI134" s="555" t="s">
        <v>1320</v>
      </c>
      <c r="AJ134" s="555" t="s">
        <v>1320</v>
      </c>
      <c r="AK134" s="555" t="s">
        <v>1320</v>
      </c>
      <c r="AL134" s="556" t="s">
        <v>1320</v>
      </c>
    </row>
    <row r="135" spans="1:38" s="589" customFormat="1" ht="114.45" customHeight="1">
      <c r="A135" s="31" t="s">
        <v>653</v>
      </c>
      <c r="B135" s="92" t="s">
        <v>180</v>
      </c>
      <c r="C135" s="383" t="s">
        <v>1076</v>
      </c>
      <c r="D135" s="554" t="s">
        <v>1320</v>
      </c>
      <c r="E135" s="555" t="s">
        <v>1320</v>
      </c>
      <c r="F135" s="555" t="s">
        <v>1320</v>
      </c>
      <c r="G135" s="555" t="s">
        <v>1320</v>
      </c>
      <c r="H135" s="555" t="s">
        <v>1320</v>
      </c>
      <c r="I135" s="555" t="s">
        <v>1320</v>
      </c>
      <c r="J135" s="556" t="s">
        <v>1320</v>
      </c>
      <c r="K135" s="302">
        <v>42634</v>
      </c>
      <c r="L135" s="230" t="s">
        <v>185</v>
      </c>
      <c r="M135" s="319">
        <v>0.22</v>
      </c>
      <c r="N135" s="337" t="s">
        <v>1</v>
      </c>
      <c r="O135" s="337">
        <v>2030</v>
      </c>
      <c r="P135" s="230" t="s">
        <v>3</v>
      </c>
      <c r="Q135" s="46" t="s">
        <v>33</v>
      </c>
      <c r="R135" s="485">
        <v>44816</v>
      </c>
      <c r="S135" s="230" t="s">
        <v>185</v>
      </c>
      <c r="T135" s="474" t="s">
        <v>1960</v>
      </c>
      <c r="U135" s="337" t="s">
        <v>1</v>
      </c>
      <c r="V135" s="337">
        <v>2030</v>
      </c>
      <c r="W135" s="230" t="s">
        <v>3</v>
      </c>
      <c r="X135" s="475" t="s">
        <v>1959</v>
      </c>
      <c r="Y135" s="554"/>
      <c r="Z135" s="555"/>
      <c r="AA135" s="555"/>
      <c r="AB135" s="555"/>
      <c r="AC135" s="555"/>
      <c r="AD135" s="555"/>
      <c r="AE135" s="556"/>
      <c r="AF135" s="554"/>
      <c r="AG135" s="555"/>
      <c r="AH135" s="555"/>
      <c r="AI135" s="555"/>
      <c r="AJ135" s="555"/>
      <c r="AK135" s="555"/>
      <c r="AL135" s="556"/>
    </row>
    <row r="136" spans="1:38" s="517" customFormat="1" ht="114.45" customHeight="1">
      <c r="A136" s="32" t="s">
        <v>654</v>
      </c>
      <c r="B136" s="93" t="s">
        <v>183</v>
      </c>
      <c r="C136" s="383" t="s">
        <v>1076</v>
      </c>
      <c r="D136" s="554" t="s">
        <v>1320</v>
      </c>
      <c r="E136" s="555" t="s">
        <v>1320</v>
      </c>
      <c r="F136" s="555" t="s">
        <v>1320</v>
      </c>
      <c r="G136" s="555" t="s">
        <v>1320</v>
      </c>
      <c r="H136" s="555" t="s">
        <v>1320</v>
      </c>
      <c r="I136" s="555" t="s">
        <v>1320</v>
      </c>
      <c r="J136" s="556" t="s">
        <v>1320</v>
      </c>
      <c r="K136" s="303">
        <v>42632</v>
      </c>
      <c r="L136" s="293" t="s">
        <v>186</v>
      </c>
      <c r="M136" s="318">
        <v>0.6</v>
      </c>
      <c r="N136" s="293">
        <v>1990</v>
      </c>
      <c r="O136" s="293">
        <v>2030</v>
      </c>
      <c r="P136" s="230" t="s">
        <v>3</v>
      </c>
      <c r="Q136" s="24" t="s">
        <v>1098</v>
      </c>
      <c r="R136" s="551">
        <v>44408</v>
      </c>
      <c r="S136" s="293" t="s">
        <v>186</v>
      </c>
      <c r="T136" s="318">
        <v>0.65</v>
      </c>
      <c r="U136" s="293">
        <v>1990</v>
      </c>
      <c r="V136" s="293">
        <v>2030</v>
      </c>
      <c r="W136" s="230" t="s">
        <v>3</v>
      </c>
      <c r="X136" s="24" t="s">
        <v>1542</v>
      </c>
      <c r="Y136" s="554" t="s">
        <v>1320</v>
      </c>
      <c r="Z136" s="555" t="s">
        <v>1320</v>
      </c>
      <c r="AA136" s="555" t="s">
        <v>1320</v>
      </c>
      <c r="AB136" s="555" t="s">
        <v>1320</v>
      </c>
      <c r="AC136" s="555" t="s">
        <v>1320</v>
      </c>
      <c r="AD136" s="555" t="s">
        <v>1320</v>
      </c>
      <c r="AE136" s="556" t="s">
        <v>1320</v>
      </c>
      <c r="AF136" s="554" t="s">
        <v>1320</v>
      </c>
      <c r="AG136" s="555" t="s">
        <v>1320</v>
      </c>
      <c r="AH136" s="555" t="s">
        <v>1320</v>
      </c>
      <c r="AI136" s="555" t="s">
        <v>1320</v>
      </c>
      <c r="AJ136" s="555" t="s">
        <v>1320</v>
      </c>
      <c r="AK136" s="555" t="s">
        <v>1320</v>
      </c>
      <c r="AL136" s="556" t="s">
        <v>1320</v>
      </c>
    </row>
    <row r="137" spans="1:38" s="471" customFormat="1" ht="114.45" customHeight="1">
      <c r="A137" s="31" t="s">
        <v>2165</v>
      </c>
      <c r="B137" s="203" t="s">
        <v>182</v>
      </c>
      <c r="C137" s="383" t="s">
        <v>1189</v>
      </c>
      <c r="D137" s="554" t="s">
        <v>1320</v>
      </c>
      <c r="E137" s="555" t="s">
        <v>1320</v>
      </c>
      <c r="F137" s="555" t="s">
        <v>1320</v>
      </c>
      <c r="G137" s="555" t="s">
        <v>1320</v>
      </c>
      <c r="H137" s="555" t="s">
        <v>1320</v>
      </c>
      <c r="I137" s="555" t="s">
        <v>1320</v>
      </c>
      <c r="J137" s="556" t="s">
        <v>1320</v>
      </c>
      <c r="K137" s="328">
        <v>42634</v>
      </c>
      <c r="L137" s="230" t="s">
        <v>189</v>
      </c>
      <c r="M137" s="230" t="s">
        <v>191</v>
      </c>
      <c r="N137" s="230" t="s">
        <v>3</v>
      </c>
      <c r="O137" s="230">
        <v>2021</v>
      </c>
      <c r="P137" s="230" t="s">
        <v>3</v>
      </c>
      <c r="Q137" s="320" t="s">
        <v>26</v>
      </c>
      <c r="R137" s="551">
        <v>44194</v>
      </c>
      <c r="S137" s="54" t="s">
        <v>1270</v>
      </c>
      <c r="T137" s="424">
        <v>0.23499999999999999</v>
      </c>
      <c r="U137" s="54" t="s">
        <v>1269</v>
      </c>
      <c r="V137" s="54">
        <v>2030</v>
      </c>
      <c r="W137" s="293" t="s">
        <v>3</v>
      </c>
      <c r="X137" s="430" t="s">
        <v>1272</v>
      </c>
      <c r="Y137" s="579">
        <v>44818</v>
      </c>
      <c r="Z137" s="293" t="s">
        <v>717</v>
      </c>
      <c r="AA137" s="55">
        <v>0.31</v>
      </c>
      <c r="AB137" s="555" t="s">
        <v>727</v>
      </c>
      <c r="AC137" s="555">
        <v>2030</v>
      </c>
      <c r="AD137" s="555" t="s">
        <v>424</v>
      </c>
      <c r="AE137" s="591" t="s">
        <v>1956</v>
      </c>
      <c r="AF137" s="554" t="s">
        <v>1320</v>
      </c>
      <c r="AG137" s="555" t="s">
        <v>1320</v>
      </c>
      <c r="AH137" s="555" t="s">
        <v>1320</v>
      </c>
      <c r="AI137" s="555" t="s">
        <v>1320</v>
      </c>
      <c r="AJ137" s="555" t="s">
        <v>1320</v>
      </c>
      <c r="AK137" s="555" t="s">
        <v>1320</v>
      </c>
      <c r="AL137" s="556" t="s">
        <v>1320</v>
      </c>
    </row>
    <row r="138" spans="1:38" s="455" customFormat="1" ht="114.45" customHeight="1">
      <c r="A138" s="383" t="s">
        <v>2166</v>
      </c>
      <c r="B138" s="557" t="s">
        <v>76</v>
      </c>
      <c r="C138" s="383" t="s">
        <v>1076</v>
      </c>
      <c r="D138" s="554" t="s">
        <v>1320</v>
      </c>
      <c r="E138" s="555" t="s">
        <v>1320</v>
      </c>
      <c r="F138" s="555" t="s">
        <v>1320</v>
      </c>
      <c r="G138" s="555" t="s">
        <v>1320</v>
      </c>
      <c r="H138" s="555" t="s">
        <v>1320</v>
      </c>
      <c r="I138" s="555" t="s">
        <v>1320</v>
      </c>
      <c r="J138" s="556" t="s">
        <v>1320</v>
      </c>
      <c r="K138" s="303">
        <v>42692</v>
      </c>
      <c r="L138" s="293" t="s">
        <v>186</v>
      </c>
      <c r="M138" s="318" t="s">
        <v>11</v>
      </c>
      <c r="N138" s="293">
        <v>1990</v>
      </c>
      <c r="O138" s="293">
        <v>2030</v>
      </c>
      <c r="P138" s="230" t="s">
        <v>3</v>
      </c>
      <c r="Q138" s="24" t="s">
        <v>1163</v>
      </c>
      <c r="R138" s="551">
        <v>44177</v>
      </c>
      <c r="S138" s="293" t="s">
        <v>186</v>
      </c>
      <c r="T138" s="55" t="s">
        <v>1202</v>
      </c>
      <c r="U138" s="293">
        <v>1990</v>
      </c>
      <c r="V138" s="293">
        <v>2030</v>
      </c>
      <c r="W138" s="293" t="s">
        <v>3</v>
      </c>
      <c r="X138" s="56" t="s">
        <v>1203</v>
      </c>
      <c r="Y138" s="579">
        <v>44826</v>
      </c>
      <c r="Z138" s="293" t="s">
        <v>186</v>
      </c>
      <c r="AA138" s="318" t="s">
        <v>1202</v>
      </c>
      <c r="AB138" s="307">
        <v>1990</v>
      </c>
      <c r="AC138" s="307">
        <v>2030</v>
      </c>
      <c r="AD138" s="230" t="s">
        <v>3</v>
      </c>
      <c r="AE138" s="24" t="s">
        <v>1981</v>
      </c>
      <c r="AF138" s="554" t="s">
        <v>1320</v>
      </c>
      <c r="AG138" s="555" t="s">
        <v>1320</v>
      </c>
      <c r="AH138" s="555" t="s">
        <v>1320</v>
      </c>
      <c r="AI138" s="555" t="s">
        <v>1320</v>
      </c>
      <c r="AJ138" s="555" t="s">
        <v>1320</v>
      </c>
      <c r="AK138" s="555" t="s">
        <v>1320</v>
      </c>
      <c r="AL138" s="556" t="s">
        <v>1320</v>
      </c>
    </row>
    <row r="139" spans="1:38" s="513" customFormat="1" ht="150.44999999999999" customHeight="1">
      <c r="A139" s="31" t="s">
        <v>2164</v>
      </c>
      <c r="B139" s="92" t="s">
        <v>180</v>
      </c>
      <c r="C139" s="383" t="s">
        <v>1076</v>
      </c>
      <c r="D139" s="554" t="s">
        <v>1320</v>
      </c>
      <c r="E139" s="555" t="s">
        <v>1320</v>
      </c>
      <c r="F139" s="555" t="s">
        <v>1320</v>
      </c>
      <c r="G139" s="555" t="s">
        <v>1320</v>
      </c>
      <c r="H139" s="555" t="s">
        <v>1320</v>
      </c>
      <c r="I139" s="555" t="s">
        <v>1320</v>
      </c>
      <c r="J139" s="556" t="s">
        <v>1320</v>
      </c>
      <c r="K139" s="303">
        <v>43238</v>
      </c>
      <c r="L139" s="230" t="s">
        <v>185</v>
      </c>
      <c r="M139" s="230" t="s">
        <v>9</v>
      </c>
      <c r="N139" s="230" t="s">
        <v>1</v>
      </c>
      <c r="O139" s="230">
        <v>2030</v>
      </c>
      <c r="P139" s="230" t="s">
        <v>3</v>
      </c>
      <c r="Q139" s="46" t="s">
        <v>31</v>
      </c>
      <c r="R139" s="551">
        <v>44407</v>
      </c>
      <c r="S139" s="230" t="s">
        <v>185</v>
      </c>
      <c r="T139" s="456" t="s">
        <v>1487</v>
      </c>
      <c r="U139" s="230" t="s">
        <v>1486</v>
      </c>
      <c r="V139" s="230">
        <v>2030</v>
      </c>
      <c r="W139" s="230" t="s">
        <v>3</v>
      </c>
      <c r="X139" s="475" t="s">
        <v>1490</v>
      </c>
      <c r="Y139" s="554" t="s">
        <v>1320</v>
      </c>
      <c r="Z139" s="555" t="s">
        <v>1320</v>
      </c>
      <c r="AA139" s="555" t="s">
        <v>1320</v>
      </c>
      <c r="AB139" s="555" t="s">
        <v>1320</v>
      </c>
      <c r="AC139" s="555" t="s">
        <v>1320</v>
      </c>
      <c r="AD139" s="555" t="s">
        <v>1320</v>
      </c>
      <c r="AE139" s="556" t="s">
        <v>1320</v>
      </c>
      <c r="AF139" s="554" t="s">
        <v>1320</v>
      </c>
      <c r="AG139" s="555" t="s">
        <v>1320</v>
      </c>
      <c r="AH139" s="555" t="s">
        <v>1320</v>
      </c>
      <c r="AI139" s="555" t="s">
        <v>1320</v>
      </c>
      <c r="AJ139" s="555" t="s">
        <v>1320</v>
      </c>
      <c r="AK139" s="555" t="s">
        <v>1320</v>
      </c>
      <c r="AL139" s="556" t="s">
        <v>1320</v>
      </c>
    </row>
    <row r="140" spans="1:38" s="500" customFormat="1" ht="114.45" customHeight="1">
      <c r="A140" s="32" t="s">
        <v>644</v>
      </c>
      <c r="B140" s="208" t="s">
        <v>459</v>
      </c>
      <c r="C140" s="383" t="s">
        <v>1321</v>
      </c>
      <c r="D140" s="554" t="s">
        <v>1320</v>
      </c>
      <c r="E140" s="555" t="s">
        <v>1320</v>
      </c>
      <c r="F140" s="555" t="s">
        <v>1320</v>
      </c>
      <c r="G140" s="555" t="s">
        <v>1320</v>
      </c>
      <c r="H140" s="555" t="s">
        <v>1320</v>
      </c>
      <c r="I140" s="555" t="s">
        <v>1320</v>
      </c>
      <c r="J140" s="556" t="s">
        <v>1320</v>
      </c>
      <c r="K140" s="303">
        <v>42616</v>
      </c>
      <c r="L140" s="293" t="s">
        <v>186</v>
      </c>
      <c r="M140" s="293" t="s">
        <v>14</v>
      </c>
      <c r="N140" s="293">
        <v>2005</v>
      </c>
      <c r="O140" s="293">
        <v>2025</v>
      </c>
      <c r="P140" s="230" t="s">
        <v>3</v>
      </c>
      <c r="Q140" s="24" t="s">
        <v>45</v>
      </c>
      <c r="R140" s="551">
        <v>44308</v>
      </c>
      <c r="S140" s="293" t="s">
        <v>186</v>
      </c>
      <c r="T140" s="54" t="s">
        <v>1385</v>
      </c>
      <c r="U140" s="293">
        <v>2005</v>
      </c>
      <c r="V140" s="54">
        <v>2030</v>
      </c>
      <c r="W140" s="230" t="s">
        <v>3</v>
      </c>
      <c r="X140" s="473" t="s">
        <v>1386</v>
      </c>
      <c r="Y140" s="554" t="s">
        <v>1320</v>
      </c>
      <c r="Z140" s="555" t="s">
        <v>1320</v>
      </c>
      <c r="AA140" s="555" t="s">
        <v>1320</v>
      </c>
      <c r="AB140" s="555" t="s">
        <v>1320</v>
      </c>
      <c r="AC140" s="555" t="s">
        <v>1320</v>
      </c>
      <c r="AD140" s="555" t="s">
        <v>1320</v>
      </c>
      <c r="AE140" s="556" t="s">
        <v>1320</v>
      </c>
      <c r="AF140" s="554" t="s">
        <v>1320</v>
      </c>
      <c r="AG140" s="555" t="s">
        <v>1320</v>
      </c>
      <c r="AH140" s="555" t="s">
        <v>1320</v>
      </c>
      <c r="AI140" s="555" t="s">
        <v>1320</v>
      </c>
      <c r="AJ140" s="555" t="s">
        <v>1320</v>
      </c>
      <c r="AK140" s="555" t="s">
        <v>1320</v>
      </c>
      <c r="AL140" s="556" t="s">
        <v>1320</v>
      </c>
    </row>
    <row r="141" spans="1:38" ht="216">
      <c r="A141" s="32" t="s">
        <v>660</v>
      </c>
      <c r="B141" s="95" t="s">
        <v>181</v>
      </c>
      <c r="C141" s="383" t="s">
        <v>1362</v>
      </c>
      <c r="D141" s="572">
        <v>42276</v>
      </c>
      <c r="E141" s="23" t="s">
        <v>187</v>
      </c>
      <c r="F141" s="23" t="s">
        <v>4</v>
      </c>
      <c r="G141" s="23">
        <v>1990</v>
      </c>
      <c r="H141" s="23">
        <v>2030</v>
      </c>
      <c r="I141" s="23" t="s">
        <v>3</v>
      </c>
      <c r="J141" s="48" t="s">
        <v>280</v>
      </c>
      <c r="K141" s="303">
        <v>43049</v>
      </c>
      <c r="L141" s="23" t="s">
        <v>187</v>
      </c>
      <c r="M141" s="52" t="s">
        <v>282</v>
      </c>
      <c r="N141" s="23">
        <v>1990</v>
      </c>
      <c r="O141" s="52">
        <v>2025</v>
      </c>
      <c r="P141" s="23" t="s">
        <v>3</v>
      </c>
      <c r="Q141" s="482" t="s">
        <v>281</v>
      </c>
      <c r="R141" s="566" t="s">
        <v>1320</v>
      </c>
      <c r="S141" s="555" t="s">
        <v>1320</v>
      </c>
      <c r="T141" s="555" t="s">
        <v>1320</v>
      </c>
      <c r="U141" s="555" t="s">
        <v>1320</v>
      </c>
      <c r="V141" s="555" t="s">
        <v>1320</v>
      </c>
      <c r="W141" s="555" t="s">
        <v>1320</v>
      </c>
      <c r="X141" s="556" t="s">
        <v>1320</v>
      </c>
      <c r="Y141" s="554" t="s">
        <v>1320</v>
      </c>
      <c r="Z141" s="555" t="s">
        <v>1320</v>
      </c>
      <c r="AA141" s="555" t="s">
        <v>1320</v>
      </c>
      <c r="AB141" s="555" t="s">
        <v>1320</v>
      </c>
      <c r="AC141" s="555" t="s">
        <v>1320</v>
      </c>
      <c r="AD141" s="555" t="s">
        <v>1320</v>
      </c>
      <c r="AE141" s="556" t="s">
        <v>1320</v>
      </c>
      <c r="AF141" s="554" t="s">
        <v>1320</v>
      </c>
      <c r="AG141" s="555" t="s">
        <v>1320</v>
      </c>
      <c r="AH141" s="555" t="s">
        <v>1320</v>
      </c>
      <c r="AI141" s="555" t="s">
        <v>1320</v>
      </c>
      <c r="AJ141" s="555" t="s">
        <v>1320</v>
      </c>
      <c r="AK141" s="555" t="s">
        <v>1320</v>
      </c>
      <c r="AL141" s="556" t="s">
        <v>1320</v>
      </c>
    </row>
    <row r="142" spans="1:38" s="539" customFormat="1" ht="72.45" customHeight="1">
      <c r="A142" s="31" t="s">
        <v>646</v>
      </c>
      <c r="B142" s="93" t="s">
        <v>183</v>
      </c>
      <c r="C142" s="383" t="s">
        <v>1076</v>
      </c>
      <c r="D142" s="554" t="s">
        <v>1320</v>
      </c>
      <c r="E142" s="555" t="s">
        <v>1320</v>
      </c>
      <c r="F142" s="555" t="s">
        <v>1320</v>
      </c>
      <c r="G142" s="555" t="s">
        <v>1320</v>
      </c>
      <c r="H142" s="555" t="s">
        <v>1320</v>
      </c>
      <c r="I142" s="555" t="s">
        <v>1320</v>
      </c>
      <c r="J142" s="556" t="s">
        <v>1320</v>
      </c>
      <c r="K142" s="303">
        <v>43413</v>
      </c>
      <c r="L142" s="230" t="s">
        <v>186</v>
      </c>
      <c r="M142" s="319">
        <v>0.1</v>
      </c>
      <c r="N142" s="230">
        <v>2010</v>
      </c>
      <c r="O142" s="230">
        <v>2030</v>
      </c>
      <c r="P142" s="230" t="s">
        <v>3</v>
      </c>
      <c r="Q142" s="460" t="s">
        <v>276</v>
      </c>
      <c r="R142" s="567">
        <v>44499</v>
      </c>
      <c r="S142" s="456" t="s">
        <v>1801</v>
      </c>
      <c r="T142" s="474">
        <v>0.35</v>
      </c>
      <c r="U142" s="230">
        <v>2010</v>
      </c>
      <c r="V142" s="230">
        <v>2030</v>
      </c>
      <c r="W142" s="230" t="s">
        <v>3</v>
      </c>
      <c r="X142" s="495" t="s">
        <v>1800</v>
      </c>
      <c r="Y142" s="554" t="s">
        <v>1320</v>
      </c>
      <c r="Z142" s="555" t="s">
        <v>1320</v>
      </c>
      <c r="AA142" s="555" t="s">
        <v>1320</v>
      </c>
      <c r="AB142" s="555" t="s">
        <v>1320</v>
      </c>
      <c r="AC142" s="555" t="s">
        <v>1320</v>
      </c>
      <c r="AD142" s="555" t="s">
        <v>1320</v>
      </c>
      <c r="AE142" s="556" t="s">
        <v>1320</v>
      </c>
      <c r="AF142" s="554" t="s">
        <v>1320</v>
      </c>
      <c r="AG142" s="555" t="s">
        <v>1320</v>
      </c>
      <c r="AH142" s="555" t="s">
        <v>1320</v>
      </c>
      <c r="AI142" s="555" t="s">
        <v>1320</v>
      </c>
      <c r="AJ142" s="555" t="s">
        <v>1320</v>
      </c>
      <c r="AK142" s="555" t="s">
        <v>1320</v>
      </c>
      <c r="AL142" s="556" t="s">
        <v>1320</v>
      </c>
    </row>
    <row r="143" spans="1:38" s="491" customFormat="1" ht="152.55000000000001" customHeight="1">
      <c r="A143" s="32" t="s">
        <v>647</v>
      </c>
      <c r="B143" s="560" t="s">
        <v>25</v>
      </c>
      <c r="C143" s="383" t="s">
        <v>1076</v>
      </c>
      <c r="D143" s="554" t="s">
        <v>1320</v>
      </c>
      <c r="E143" s="555" t="s">
        <v>1320</v>
      </c>
      <c r="F143" s="555" t="s">
        <v>1320</v>
      </c>
      <c r="G143" s="555" t="s">
        <v>1320</v>
      </c>
      <c r="H143" s="555" t="s">
        <v>1320</v>
      </c>
      <c r="I143" s="555" t="s">
        <v>1320</v>
      </c>
      <c r="J143" s="556" t="s">
        <v>1320</v>
      </c>
      <c r="K143" s="303">
        <v>42634</v>
      </c>
      <c r="L143" s="23" t="s">
        <v>717</v>
      </c>
      <c r="M143" s="318" t="s">
        <v>1060</v>
      </c>
      <c r="N143" s="293" t="s">
        <v>1</v>
      </c>
      <c r="O143" s="293">
        <v>2030</v>
      </c>
      <c r="P143" s="23" t="s">
        <v>3</v>
      </c>
      <c r="Q143" s="460" t="s">
        <v>49</v>
      </c>
      <c r="R143" s="489">
        <v>44278</v>
      </c>
      <c r="S143" s="54" t="s">
        <v>1333</v>
      </c>
      <c r="T143" s="318" t="s">
        <v>1337</v>
      </c>
      <c r="U143" s="54">
        <v>2010</v>
      </c>
      <c r="V143" s="293">
        <v>2030</v>
      </c>
      <c r="W143" s="293" t="s">
        <v>3</v>
      </c>
      <c r="X143" s="22" t="s">
        <v>1334</v>
      </c>
      <c r="Y143" s="579">
        <v>44782</v>
      </c>
      <c r="Z143" s="293" t="s">
        <v>873</v>
      </c>
      <c r="AA143" s="318" t="s">
        <v>1971</v>
      </c>
      <c r="AB143" s="293">
        <v>2010</v>
      </c>
      <c r="AC143" s="293">
        <v>2030</v>
      </c>
      <c r="AD143" s="293" t="s">
        <v>3</v>
      </c>
      <c r="AE143" s="22" t="s">
        <v>1334</v>
      </c>
      <c r="AF143" s="554" t="s">
        <v>1320</v>
      </c>
      <c r="AG143" s="555" t="s">
        <v>1320</v>
      </c>
      <c r="AH143" s="555" t="s">
        <v>1320</v>
      </c>
      <c r="AI143" s="555" t="s">
        <v>1320</v>
      </c>
      <c r="AJ143" s="555" t="s">
        <v>1320</v>
      </c>
      <c r="AK143" s="555" t="s">
        <v>1320</v>
      </c>
      <c r="AL143" s="556" t="s">
        <v>1320</v>
      </c>
    </row>
    <row r="144" spans="1:38" s="540" customFormat="1" ht="152.55000000000001" customHeight="1">
      <c r="A144" s="32" t="s">
        <v>2163</v>
      </c>
      <c r="B144" s="95" t="s">
        <v>439</v>
      </c>
      <c r="C144" s="383" t="s">
        <v>1822</v>
      </c>
      <c r="D144" s="554" t="s">
        <v>1320</v>
      </c>
      <c r="E144" s="555" t="s">
        <v>1320</v>
      </c>
      <c r="F144" s="555" t="s">
        <v>1320</v>
      </c>
      <c r="G144" s="555" t="s">
        <v>1320</v>
      </c>
      <c r="H144" s="555" t="s">
        <v>1320</v>
      </c>
      <c r="I144" s="555" t="s">
        <v>1320</v>
      </c>
      <c r="J144" s="556" t="s">
        <v>1320</v>
      </c>
      <c r="K144" s="303">
        <v>42937</v>
      </c>
      <c r="L144" s="293" t="s">
        <v>185</v>
      </c>
      <c r="M144" s="318">
        <v>0.2</v>
      </c>
      <c r="N144" s="293" t="s">
        <v>1</v>
      </c>
      <c r="O144" s="293">
        <v>2030</v>
      </c>
      <c r="P144" s="230" t="s">
        <v>3</v>
      </c>
      <c r="Q144" s="391" t="s">
        <v>256</v>
      </c>
      <c r="R144" s="489">
        <v>44509</v>
      </c>
      <c r="S144" s="293" t="s">
        <v>185</v>
      </c>
      <c r="T144" s="318">
        <v>0.2</v>
      </c>
      <c r="U144" s="293" t="s">
        <v>1</v>
      </c>
      <c r="V144" s="293">
        <v>2030</v>
      </c>
      <c r="W144" s="230" t="s">
        <v>3</v>
      </c>
      <c r="X144" s="473" t="s">
        <v>1817</v>
      </c>
      <c r="Y144" s="554" t="s">
        <v>1320</v>
      </c>
      <c r="Z144" s="555" t="s">
        <v>1320</v>
      </c>
      <c r="AA144" s="555" t="s">
        <v>1320</v>
      </c>
      <c r="AB144" s="555" t="s">
        <v>1320</v>
      </c>
      <c r="AC144" s="555" t="s">
        <v>1320</v>
      </c>
      <c r="AD144" s="555" t="s">
        <v>1320</v>
      </c>
      <c r="AE144" s="556" t="s">
        <v>1320</v>
      </c>
      <c r="AF144" s="554" t="s">
        <v>1320</v>
      </c>
      <c r="AG144" s="555" t="s">
        <v>1320</v>
      </c>
      <c r="AH144" s="555" t="s">
        <v>1320</v>
      </c>
      <c r="AI144" s="555" t="s">
        <v>1320</v>
      </c>
      <c r="AJ144" s="555" t="s">
        <v>1320</v>
      </c>
      <c r="AK144" s="555" t="s">
        <v>1320</v>
      </c>
      <c r="AL144" s="556" t="s">
        <v>1320</v>
      </c>
    </row>
    <row r="145" spans="1:38" s="426" customFormat="1" ht="152.55000000000001" customHeight="1">
      <c r="A145" s="32" t="s">
        <v>648</v>
      </c>
      <c r="B145" s="561" t="s">
        <v>23</v>
      </c>
      <c r="C145" s="383" t="s">
        <v>1076</v>
      </c>
      <c r="D145" s="554" t="s">
        <v>1320</v>
      </c>
      <c r="E145" s="555" t="s">
        <v>1320</v>
      </c>
      <c r="F145" s="555" t="s">
        <v>1320</v>
      </c>
      <c r="G145" s="555" t="s">
        <v>1320</v>
      </c>
      <c r="H145" s="555" t="s">
        <v>1320</v>
      </c>
      <c r="I145" s="555" t="s">
        <v>1320</v>
      </c>
      <c r="J145" s="556" t="s">
        <v>1320</v>
      </c>
      <c r="K145" s="303">
        <v>42677</v>
      </c>
      <c r="L145" s="23" t="s">
        <v>1016</v>
      </c>
      <c r="M145" s="318" t="s">
        <v>1080</v>
      </c>
      <c r="N145" s="293" t="s">
        <v>1</v>
      </c>
      <c r="O145" s="293">
        <v>2030</v>
      </c>
      <c r="P145" s="23" t="s">
        <v>3</v>
      </c>
      <c r="Q145" s="22" t="s">
        <v>1106</v>
      </c>
      <c r="R145" s="551">
        <v>44085</v>
      </c>
      <c r="S145" s="293" t="s">
        <v>185</v>
      </c>
      <c r="T145" s="55" t="s">
        <v>1075</v>
      </c>
      <c r="U145" s="293" t="s">
        <v>1</v>
      </c>
      <c r="V145" s="54" t="s">
        <v>1023</v>
      </c>
      <c r="W145" s="293" t="s">
        <v>3</v>
      </c>
      <c r="X145" s="435" t="s">
        <v>1152</v>
      </c>
      <c r="Y145" s="554" t="s">
        <v>1320</v>
      </c>
      <c r="Z145" s="555" t="s">
        <v>1320</v>
      </c>
      <c r="AA145" s="555" t="s">
        <v>1320</v>
      </c>
      <c r="AB145" s="555" t="s">
        <v>1320</v>
      </c>
      <c r="AC145" s="555" t="s">
        <v>1320</v>
      </c>
      <c r="AD145" s="555" t="s">
        <v>1320</v>
      </c>
      <c r="AE145" s="556" t="s">
        <v>1320</v>
      </c>
      <c r="AF145" s="554" t="s">
        <v>1320</v>
      </c>
      <c r="AG145" s="555" t="s">
        <v>1320</v>
      </c>
      <c r="AH145" s="555" t="s">
        <v>1320</v>
      </c>
      <c r="AI145" s="555" t="s">
        <v>1320</v>
      </c>
      <c r="AJ145" s="555" t="s">
        <v>1320</v>
      </c>
      <c r="AK145" s="555" t="s">
        <v>1320</v>
      </c>
      <c r="AL145" s="556" t="s">
        <v>1320</v>
      </c>
    </row>
    <row r="146" spans="1:38" s="476" customFormat="1" ht="152.55000000000001" customHeight="1">
      <c r="A146" s="32" t="s">
        <v>650</v>
      </c>
      <c r="B146" s="92" t="s">
        <v>180</v>
      </c>
      <c r="C146" s="383" t="s">
        <v>860</v>
      </c>
      <c r="D146" s="554" t="s">
        <v>1320</v>
      </c>
      <c r="E146" s="555" t="s">
        <v>1320</v>
      </c>
      <c r="F146" s="555" t="s">
        <v>1320</v>
      </c>
      <c r="G146" s="555" t="s">
        <v>1320</v>
      </c>
      <c r="H146" s="555" t="s">
        <v>1320</v>
      </c>
      <c r="I146" s="555" t="s">
        <v>1320</v>
      </c>
      <c r="J146" s="556" t="s">
        <v>1320</v>
      </c>
      <c r="K146" s="303">
        <v>42713</v>
      </c>
      <c r="L146" s="293" t="s">
        <v>1294</v>
      </c>
      <c r="M146" s="293" t="s">
        <v>1293</v>
      </c>
      <c r="N146" s="293" t="s">
        <v>1295</v>
      </c>
      <c r="O146" s="293">
        <v>2030</v>
      </c>
      <c r="P146" s="293" t="s">
        <v>3</v>
      </c>
      <c r="Q146" s="24" t="s">
        <v>1296</v>
      </c>
      <c r="R146" s="551" t="s">
        <v>1483</v>
      </c>
      <c r="S146" s="293" t="s">
        <v>717</v>
      </c>
      <c r="T146" s="293" t="s">
        <v>1479</v>
      </c>
      <c r="U146" s="293" t="s">
        <v>727</v>
      </c>
      <c r="V146" s="293">
        <v>2030</v>
      </c>
      <c r="W146" s="293" t="s">
        <v>3</v>
      </c>
      <c r="X146" s="391" t="s">
        <v>1484</v>
      </c>
      <c r="Y146" s="554" t="s">
        <v>1320</v>
      </c>
      <c r="Z146" s="555" t="s">
        <v>1320</v>
      </c>
      <c r="AA146" s="555" t="s">
        <v>1320</v>
      </c>
      <c r="AB146" s="555" t="s">
        <v>1320</v>
      </c>
      <c r="AC146" s="555" t="s">
        <v>1320</v>
      </c>
      <c r="AD146" s="555" t="s">
        <v>1320</v>
      </c>
      <c r="AE146" s="556" t="s">
        <v>1320</v>
      </c>
      <c r="AF146" s="554" t="s">
        <v>1320</v>
      </c>
      <c r="AG146" s="555" t="s">
        <v>1320</v>
      </c>
      <c r="AH146" s="555" t="s">
        <v>1320</v>
      </c>
      <c r="AI146" s="555" t="s">
        <v>1320</v>
      </c>
      <c r="AJ146" s="555" t="s">
        <v>1320</v>
      </c>
      <c r="AK146" s="555" t="s">
        <v>1320</v>
      </c>
      <c r="AL146" s="556" t="s">
        <v>1320</v>
      </c>
    </row>
    <row r="147" spans="1:38" s="525" customFormat="1" ht="152.55000000000001" customHeight="1">
      <c r="A147" s="33" t="s">
        <v>651</v>
      </c>
      <c r="B147" s="483" t="s">
        <v>180</v>
      </c>
      <c r="C147" s="528" t="s">
        <v>1076</v>
      </c>
      <c r="D147" s="573"/>
      <c r="E147" s="574" t="s">
        <v>1320</v>
      </c>
      <c r="F147" s="574" t="s">
        <v>1320</v>
      </c>
      <c r="G147" s="574" t="s">
        <v>1320</v>
      </c>
      <c r="H147" s="574" t="s">
        <v>1320</v>
      </c>
      <c r="I147" s="574" t="s">
        <v>1320</v>
      </c>
      <c r="J147" s="575" t="s">
        <v>1320</v>
      </c>
      <c r="K147" s="373">
        <v>42954</v>
      </c>
      <c r="L147" s="362" t="s">
        <v>187</v>
      </c>
      <c r="M147" s="429">
        <v>0.33</v>
      </c>
      <c r="N147" s="362" t="s">
        <v>1</v>
      </c>
      <c r="O147" s="362">
        <v>2030</v>
      </c>
      <c r="P147" s="362" t="s">
        <v>3</v>
      </c>
      <c r="Q147" s="484" t="s">
        <v>1637</v>
      </c>
      <c r="R147" s="576">
        <v>44463</v>
      </c>
      <c r="S147" s="362" t="s">
        <v>1638</v>
      </c>
      <c r="T147" s="530">
        <v>0.4</v>
      </c>
      <c r="U147" s="362" t="s">
        <v>1</v>
      </c>
      <c r="V147" s="362">
        <v>2030</v>
      </c>
      <c r="W147" s="362" t="s">
        <v>3</v>
      </c>
      <c r="X147" s="529" t="s">
        <v>1639</v>
      </c>
      <c r="Y147" s="573" t="s">
        <v>1320</v>
      </c>
      <c r="Z147" s="574" t="s">
        <v>1320</v>
      </c>
      <c r="AA147" s="574" t="s">
        <v>1320</v>
      </c>
      <c r="AB147" s="574" t="s">
        <v>1320</v>
      </c>
      <c r="AC147" s="574" t="s">
        <v>1320</v>
      </c>
      <c r="AD147" s="574" t="s">
        <v>1320</v>
      </c>
      <c r="AE147" s="575" t="s">
        <v>1320</v>
      </c>
      <c r="AF147" s="573" t="s">
        <v>1320</v>
      </c>
      <c r="AG147" s="574" t="s">
        <v>1320</v>
      </c>
      <c r="AH147" s="574" t="s">
        <v>1320</v>
      </c>
      <c r="AI147" s="574" t="s">
        <v>1320</v>
      </c>
      <c r="AJ147" s="574" t="s">
        <v>1320</v>
      </c>
      <c r="AK147" s="574" t="s">
        <v>1320</v>
      </c>
      <c r="AL147" s="575" t="s">
        <v>1320</v>
      </c>
    </row>
    <row r="148" spans="1:38">
      <c r="A148" s="32"/>
      <c r="B148" s="428"/>
      <c r="C148" s="32"/>
      <c r="D148" s="32"/>
      <c r="E148" s="23"/>
      <c r="F148" s="5"/>
      <c r="G148" s="3"/>
      <c r="H148" s="3"/>
      <c r="I148" s="3"/>
      <c r="J148" s="6"/>
      <c r="K148" s="6"/>
      <c r="L148" s="23"/>
      <c r="M148" s="5"/>
      <c r="N148" s="3"/>
      <c r="O148" s="3"/>
      <c r="P148" s="3"/>
      <c r="Q148" s="6"/>
    </row>
    <row r="149" spans="1:38">
      <c r="B149" s="35"/>
      <c r="J149" s="8"/>
      <c r="K149" s="8"/>
      <c r="Q149" s="8"/>
      <c r="X149" s="49"/>
    </row>
    <row r="150" spans="1:38">
      <c r="B150" s="60" t="s">
        <v>302</v>
      </c>
      <c r="F150" s="194"/>
      <c r="I150" s="52"/>
      <c r="J150" s="8"/>
      <c r="K150" s="8"/>
      <c r="Q150" s="8"/>
      <c r="X150" s="192"/>
    </row>
    <row r="151" spans="1:38">
      <c r="J151" s="8"/>
      <c r="K151" s="8"/>
      <c r="Q151" s="8"/>
      <c r="X151" s="192"/>
    </row>
    <row r="152" spans="1:38" ht="15.75" customHeight="1"/>
    <row r="154" spans="1:38">
      <c r="J154" s="13"/>
      <c r="K154" s="13"/>
      <c r="Q154" s="13"/>
    </row>
  </sheetData>
  <autoFilter ref="A3:AF147" xr:uid="{00000000-0009-0000-0000-000002000000}"/>
  <sortState ref="A4:AJ207">
    <sortCondition ref="C4:C207"/>
  </sortState>
  <mergeCells count="23">
    <mergeCell ref="AF1:AL1"/>
    <mergeCell ref="AF2:AF3"/>
    <mergeCell ref="AG2:AK2"/>
    <mergeCell ref="AL2:AL3"/>
    <mergeCell ref="A1:A3"/>
    <mergeCell ref="D1:J1"/>
    <mergeCell ref="C1:C3"/>
    <mergeCell ref="D2:D3"/>
    <mergeCell ref="E2:I2"/>
    <mergeCell ref="J2:J3"/>
    <mergeCell ref="B1:B3"/>
    <mergeCell ref="K2:K3"/>
    <mergeCell ref="L2:P2"/>
    <mergeCell ref="Q2:Q3"/>
    <mergeCell ref="K1:Q1"/>
    <mergeCell ref="Y1:AE1"/>
    <mergeCell ref="R1:X1"/>
    <mergeCell ref="Y2:Y3"/>
    <mergeCell ref="Z2:AD2"/>
    <mergeCell ref="AE2:AE3"/>
    <mergeCell ref="R2:R3"/>
    <mergeCell ref="S2:W2"/>
    <mergeCell ref="X2:X3"/>
  </mergeCells>
  <phoneticPr fontId="7"/>
  <conditionalFormatting sqref="B135">
    <cfRule type="expression" dxfId="3" priority="4">
      <formula xml:space="preserve"> Asia</formula>
    </cfRule>
  </conditionalFormatting>
  <conditionalFormatting sqref="B61">
    <cfRule type="expression" dxfId="2" priority="3">
      <formula xml:space="preserve"> Asia</formula>
    </cfRule>
  </conditionalFormatting>
  <conditionalFormatting sqref="B117">
    <cfRule type="expression" dxfId="1" priority="2">
      <formula xml:space="preserve"> Asia</formula>
    </cfRule>
  </conditionalFormatting>
  <conditionalFormatting sqref="B83">
    <cfRule type="expression" dxfId="0" priority="1">
      <formula xml:space="preserve"> Asia</formula>
    </cfRule>
  </conditionalFormatting>
  <dataValidations count="2">
    <dataValidation type="list" allowBlank="1" showInputMessage="1" showErrorMessage="1" sqref="B15:B16 B8 B85:B97 B27 B30 B49:B60 B118:B124 B44:B47 B136:B147 B126:B134 B42 B35:B39 B33 B99:B116 B62:B82" xr:uid="{00000000-0002-0000-0200-000000000000}">
      <formula1>Regions</formula1>
    </dataValidation>
    <dataValidation type="list" allowBlank="1" showInputMessage="1" showErrorMessage="1" sqref="B135 B61 B117 B83" xr:uid="{182FAADE-6E28-4DE1-B647-06C93F98C861}">
      <formula1>"Asia, Europe, Eastern Europe &amp; Central Asia, North Africa &amp; the Middle East, Sub-Saharan Africa, Latin America &amp; the Caribbean, Oceania, Northern America"</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24851"/>
  </sheetPr>
  <dimension ref="A1:AI289"/>
  <sheetViews>
    <sheetView zoomScaleNormal="100" workbookViewId="0">
      <selection sqref="A1:R1"/>
    </sheetView>
  </sheetViews>
  <sheetFormatPr defaultRowHeight="13.2"/>
  <cols>
    <col min="1" max="1" width="28.21875" customWidth="1"/>
    <col min="2" max="10" width="9.77734375" customWidth="1"/>
    <col min="11" max="12" width="10.77734375" customWidth="1"/>
    <col min="13" max="13" width="9.21875" bestFit="1" customWidth="1"/>
    <col min="14" max="17" width="9.109375" bestFit="1" customWidth="1"/>
    <col min="18" max="19" width="8.88671875" customWidth="1"/>
    <col min="20" max="20" width="8.77734375" customWidth="1"/>
    <col min="21" max="21" width="10.109375" bestFit="1" customWidth="1"/>
    <col min="22" max="22" width="9.109375" bestFit="1" customWidth="1"/>
    <col min="23" max="25" width="9.44140625" bestFit="1" customWidth="1"/>
    <col min="26" max="26" width="9.44140625" customWidth="1"/>
    <col min="27" max="29" width="9.6640625" bestFit="1" customWidth="1"/>
    <col min="30" max="32" width="9.44140625" bestFit="1" customWidth="1"/>
  </cols>
  <sheetData>
    <row r="1" spans="1:18" ht="29.25" customHeight="1">
      <c r="A1" s="732" t="s">
        <v>419</v>
      </c>
      <c r="B1" s="732"/>
      <c r="C1" s="732"/>
      <c r="D1" s="732"/>
      <c r="E1" s="732"/>
      <c r="F1" s="732"/>
      <c r="G1" s="732"/>
      <c r="H1" s="732"/>
      <c r="I1" s="732"/>
      <c r="J1" s="732"/>
      <c r="K1" s="732"/>
      <c r="L1" s="732"/>
      <c r="M1" s="732"/>
      <c r="N1" s="732"/>
      <c r="O1" s="732"/>
      <c r="P1" s="732"/>
      <c r="Q1" s="732"/>
      <c r="R1" s="732"/>
    </row>
    <row r="3" spans="1:18" ht="28.5" customHeight="1">
      <c r="A3" s="730" t="s">
        <v>340</v>
      </c>
      <c r="B3" s="730"/>
      <c r="C3" s="730"/>
      <c r="D3" s="730"/>
      <c r="E3" s="730"/>
      <c r="F3" s="730"/>
      <c r="H3" s="731" t="s">
        <v>339</v>
      </c>
      <c r="I3" s="731"/>
      <c r="J3" s="731"/>
      <c r="K3" s="731"/>
      <c r="L3" s="731"/>
      <c r="M3" s="731"/>
    </row>
    <row r="4" spans="1:18">
      <c r="N4" s="291"/>
    </row>
    <row r="22" spans="1:18">
      <c r="G22" s="260"/>
    </row>
    <row r="26" spans="1:18" ht="19.5" customHeight="1">
      <c r="K26" s="292"/>
    </row>
    <row r="27" spans="1:18" ht="22.5" customHeight="1">
      <c r="A27" s="759" t="s">
        <v>418</v>
      </c>
      <c r="B27" s="760"/>
      <c r="C27" s="760"/>
      <c r="D27" s="760"/>
      <c r="E27" s="760"/>
      <c r="F27" s="760"/>
      <c r="G27" s="760"/>
      <c r="H27" s="760"/>
      <c r="I27" s="760"/>
      <c r="J27" s="760"/>
      <c r="K27" s="760"/>
      <c r="L27" s="760"/>
      <c r="M27" s="760"/>
      <c r="N27" s="760"/>
      <c r="O27" s="760"/>
      <c r="P27" s="760"/>
      <c r="Q27" s="761"/>
      <c r="R27" s="627"/>
    </row>
    <row r="28" spans="1:18" ht="66" customHeight="1">
      <c r="A28" s="41"/>
      <c r="B28" s="290" t="s">
        <v>23</v>
      </c>
      <c r="C28" s="290" t="s">
        <v>486</v>
      </c>
      <c r="D28" s="99" t="s">
        <v>437</v>
      </c>
      <c r="E28" s="99" t="s">
        <v>438</v>
      </c>
      <c r="F28" s="99" t="s">
        <v>852</v>
      </c>
      <c r="G28" s="99" t="s">
        <v>439</v>
      </c>
      <c r="H28" s="99" t="s">
        <v>487</v>
      </c>
      <c r="I28" s="99" t="s">
        <v>488</v>
      </c>
      <c r="J28" s="74" t="s">
        <v>170</v>
      </c>
      <c r="K28" s="733" t="s">
        <v>1318</v>
      </c>
      <c r="L28" s="734"/>
      <c r="M28" s="734"/>
      <c r="N28" s="734"/>
      <c r="O28" s="734"/>
      <c r="P28" s="734"/>
      <c r="Q28" s="735"/>
      <c r="R28" s="289"/>
    </row>
    <row r="29" spans="1:18" ht="18" customHeight="1">
      <c r="A29" s="70" t="s">
        <v>321</v>
      </c>
      <c r="B29" s="67"/>
      <c r="C29" s="68"/>
      <c r="D29" s="68"/>
      <c r="E29" s="68"/>
      <c r="F29" s="68"/>
      <c r="G29" s="68"/>
      <c r="H29" s="68"/>
      <c r="I29" s="82"/>
      <c r="J29" s="81"/>
      <c r="K29" s="73"/>
      <c r="L29" s="73"/>
      <c r="M29" s="73"/>
      <c r="N29" s="73"/>
      <c r="O29" s="73"/>
      <c r="P29" s="73"/>
      <c r="Q29" s="267"/>
    </row>
    <row r="30" spans="1:18" ht="18.600000000000001" customHeight="1">
      <c r="A30" s="69" t="s">
        <v>244</v>
      </c>
      <c r="B30" s="185">
        <f>COUNTIF('NDC MASTER SHEET'!B:B,"Asia")</f>
        <v>24</v>
      </c>
      <c r="C30" s="218">
        <f>COUNTIF('NDC MASTER SHEET'!B:B,"North Africa &amp; the Middle East")</f>
        <v>20</v>
      </c>
      <c r="D30" s="218">
        <f>COUNTIF('NDC MASTER SHEET'!B:B,"Sub-Saharan Africa")</f>
        <v>49</v>
      </c>
      <c r="E30" s="218">
        <f>COUNTIF('NDC MASTER SHEET'!B:B,"Eastern Europe &amp; Central Asia")</f>
        <v>17</v>
      </c>
      <c r="F30" s="218">
        <f>COUNTIF('NDC MASTER SHEET'!B:B,"Europe")</f>
        <v>36</v>
      </c>
      <c r="G30" s="218">
        <f>COUNTIF('NDC MASTER SHEET'!B:B,"Latin America &amp; the Caribbean")</f>
        <v>33</v>
      </c>
      <c r="H30" s="218">
        <f>COUNTIF('NDC MASTER SHEET'!B:B,"Northern America")</f>
        <v>2</v>
      </c>
      <c r="I30" s="219">
        <f>COUNTIF('NDC MASTER SHEET'!B:B,"Oceania")</f>
        <v>16</v>
      </c>
      <c r="J30" s="233">
        <f t="shared" ref="J30:J45" si="0">SUM(B30:I30)</f>
        <v>197</v>
      </c>
      <c r="K30" s="745" t="s">
        <v>424</v>
      </c>
      <c r="L30" s="746"/>
      <c r="M30" s="746"/>
      <c r="N30" s="746"/>
      <c r="O30" s="746"/>
      <c r="P30" s="746"/>
      <c r="Q30" s="747"/>
      <c r="R30" s="292"/>
    </row>
    <row r="31" spans="1:18" ht="16.8" customHeight="1">
      <c r="A31" s="61" t="s">
        <v>322</v>
      </c>
      <c r="B31" s="185">
        <f>COUNTIFS('NDC MASTER SHEET'!$B$5:$B$201,"Asia", 'NDC MASTER SHEET'!$AY$5:$AY$201,"&lt;&gt;*N/A*")</f>
        <v>24</v>
      </c>
      <c r="C31" s="185">
        <f>COUNTIFS('NDC MASTER SHEET'!$B$5:$B$201,"North Africa &amp; the Middle East", 'NDC MASTER SHEET'!$AY$5:$AY$201,"&lt;&gt;*N/A*")</f>
        <v>17</v>
      </c>
      <c r="D31" s="185">
        <f>COUNTIFS('NDC MASTER SHEET'!$B$5:$B$201,"Sub-Saharan Africa", 'NDC MASTER SHEET'!$AY$5:$AY$201,"&lt;&gt;*N/A*")</f>
        <v>49</v>
      </c>
      <c r="E31" s="185">
        <f>COUNTIFS('NDC MASTER SHEET'!$B$5:$B$201,"Eastern Europe &amp; Central Asia", 'NDC MASTER SHEET'!$AY$5:$AY$201,"&lt;&gt;*N/A*")</f>
        <v>17</v>
      </c>
      <c r="F31" s="185">
        <f>COUNTIFS('NDC MASTER SHEET'!$B$5:$B$201,"Europe", 'NDC MASTER SHEET'!$AY$5:$AY$201,"&lt;&gt;*N/A*")</f>
        <v>36</v>
      </c>
      <c r="G31" s="185">
        <f>COUNTIFS('NDC MASTER SHEET'!$B$5:$B$201,"Latin America &amp; the Caribbean", 'NDC MASTER SHEET'!$AY$5:$AY$201,"&lt;&gt;*N/A*")</f>
        <v>32</v>
      </c>
      <c r="H31" s="185">
        <f>COUNTIFS('NDC MASTER SHEET'!$B$5:$B$201,"Northern America", 'NDC MASTER SHEET'!$AY$5:$AY$201,"&lt;&gt;*N/A*")</f>
        <v>2</v>
      </c>
      <c r="I31" s="185">
        <f>COUNTIFS('NDC MASTER SHEET'!$B$5:$B$201,"Oceania", 'NDC MASTER SHEET'!$AY$5:$AY$201,"&lt;&gt;*N/A*")</f>
        <v>16</v>
      </c>
      <c r="J31" s="236">
        <f t="shared" si="0"/>
        <v>193</v>
      </c>
      <c r="K31" s="739" t="s">
        <v>2188</v>
      </c>
      <c r="L31" s="740"/>
      <c r="M31" s="740"/>
      <c r="N31" s="740"/>
      <c r="O31" s="740"/>
      <c r="P31" s="740"/>
      <c r="Q31" s="741"/>
    </row>
    <row r="32" spans="1:18" ht="29.4" customHeight="1">
      <c r="A32" s="62" t="s">
        <v>2174</v>
      </c>
      <c r="B32" s="235">
        <f>COUNTIFS('NDC MASTER SHEET'!$B$5:$B$201,"Asia",'NDC MASTER SHEET'!$BA$5:$BA$201,"&lt;&gt;*N/A*")</f>
        <v>24</v>
      </c>
      <c r="C32" s="235">
        <f>COUNTIFS('NDC MASTER SHEET'!$B$5:$B$201,"North Africa &amp; the Middle East",'NDC MASTER SHEET'!$BA$5:$BA$201,"&lt;&gt;*N/A*")</f>
        <v>17</v>
      </c>
      <c r="D32" s="235">
        <f>COUNTIFS('NDC MASTER SHEET'!$B$5:$B$201,"Sub-Saharan Africa",'NDC MASTER SHEET'!$BA$5:$BA$201,"&lt;&gt;*N/A*")</f>
        <v>49</v>
      </c>
      <c r="E32" s="235">
        <f>COUNTIFS('NDC MASTER SHEET'!$B$5:$B$201,"Eastern Europe &amp; Central Asia",'NDC MASTER SHEET'!$BA$5:$BA$201,"&lt;&gt;*N/A*")</f>
        <v>17</v>
      </c>
      <c r="F32" s="235">
        <f>COUNTIFS('NDC MASTER SHEET'!$B$5:$B$201,"Europe",'NDC MASTER SHEET'!$BA$5:$BA$201,"&lt;&gt;*N/A*")</f>
        <v>36</v>
      </c>
      <c r="G32" s="235">
        <f>COUNTIFS('NDC MASTER SHEET'!$B$5:$B$201,"Latin America &amp; the Caribbean",'NDC MASTER SHEET'!$BA$5:$BA$201,"&lt;&gt;*N/A*")</f>
        <v>33</v>
      </c>
      <c r="H32" s="235">
        <f>COUNTIFS('NDC MASTER SHEET'!$B$5:$B$201,"Northern America",'NDC MASTER SHEET'!$BA$5:$BA$201,"&lt;&gt;*N/A*")</f>
        <v>2</v>
      </c>
      <c r="I32" s="235">
        <f>COUNTIFS('NDC MASTER SHEET'!$B$5:$B$201,"Oceania",'NDC MASTER SHEET'!$BA$5:$BA$201,"&lt;&gt;*N/A*")</f>
        <v>16</v>
      </c>
      <c r="J32" s="233">
        <f>SUM(B32:I32)</f>
        <v>194</v>
      </c>
      <c r="K32" s="739" t="s">
        <v>1768</v>
      </c>
      <c r="L32" s="740"/>
      <c r="M32" s="740"/>
      <c r="N32" s="740"/>
      <c r="O32" s="740"/>
      <c r="P32" s="740"/>
      <c r="Q32" s="741"/>
    </row>
    <row r="33" spans="1:35" s="202" customFormat="1" ht="28.8" customHeight="1">
      <c r="A33" s="62" t="s">
        <v>2175</v>
      </c>
      <c r="B33" s="235">
        <f>COUNTIFS('NDC MASTER SHEET'!$B$5:$B$201,"Asia",'NDC MASTER SHEET'!$BC$5:$BC$201,"&lt;&gt;*N/A*")</f>
        <v>2</v>
      </c>
      <c r="C33" s="235">
        <f>COUNTIFS('NDC MASTER SHEET'!$B$5:$B$201,"North Africa &amp; the Middle East",'NDC MASTER SHEET'!$BC$5:$BC$201,"&lt;&gt;*N/A*")</f>
        <v>2</v>
      </c>
      <c r="D33" s="235">
        <f>COUNTIFS('NDC MASTER SHEET'!$B$5:$B$201,"Sub-Saharan Africa",'NDC MASTER SHEET'!$BC$5:$BC$201,"&lt;&gt;*N/A*")</f>
        <v>2</v>
      </c>
      <c r="E33" s="235">
        <f>COUNTIFS('NDC MASTER SHEET'!$B$5:$B$201,"Eastern Europe &amp; Central Asia",'NDC MASTER SHEET'!$BC$5:$BC$201,"&lt;&gt;*N/A*")</f>
        <v>0</v>
      </c>
      <c r="F33" s="235">
        <f>COUNTIFS('NDC MASTER SHEET'!$B$5:$B$201,"Europe",'NDC MASTER SHEET'!$BC$5:$BC$201,"&lt;&gt;*N/A*")</f>
        <v>0</v>
      </c>
      <c r="G33" s="235">
        <f>COUNTIFS('NDC MASTER SHEET'!$B$5:$B$201,"Latin America &amp; the Caribbean",'NDC MASTER SHEET'!$BC$5:$BC$201,"&lt;&gt;*N/A*")</f>
        <v>3</v>
      </c>
      <c r="H33" s="235">
        <f>COUNTIFS('NDC MASTER SHEET'!$B$5:$B$201,"Northern America",'NDC MASTER SHEET'!$BC$5:$BC$201,"&lt;&gt;*N/A*")</f>
        <v>0</v>
      </c>
      <c r="I33" s="235">
        <f>COUNTIFS('NDC MASTER SHEET'!$B$5:$B$201,"Oceania",'NDC MASTER SHEET'!$BC$5:$BC$201,"&lt;&gt;*N/A*")</f>
        <v>4</v>
      </c>
      <c r="J33" s="233">
        <f t="shared" si="0"/>
        <v>13</v>
      </c>
      <c r="K33" s="739" t="s">
        <v>2176</v>
      </c>
      <c r="L33" s="740"/>
      <c r="M33" s="740"/>
      <c r="N33" s="740"/>
      <c r="O33" s="740"/>
      <c r="P33" s="740"/>
      <c r="Q33" s="741"/>
      <c r="S33" s="14"/>
      <c r="T33" s="31"/>
    </row>
    <row r="34" spans="1:35" s="243" customFormat="1" ht="14.4">
      <c r="A34" s="62" t="s">
        <v>484</v>
      </c>
      <c r="B34" s="235">
        <f>COUNTIFS('NDC MASTER SHEET'!$B$5:$B$201,"Asia",'NDC MASTER SHEET'!$BA$5:$BA$201,"&lt;&gt;*N/A*",'NDC MASTER SHEET'!$AY$5:$AY$201,"&lt;&gt;*N/A*")</f>
        <v>24</v>
      </c>
      <c r="C34" s="235">
        <f>COUNTIFS('NDC MASTER SHEET'!$B$5:$B$201,"North Africa &amp; the Middle East",'NDC MASTER SHEET'!$BA$5:$BA$201,"&lt;&gt;*N/A*",'NDC MASTER SHEET'!$AY$5:$AY$201,"&lt;&gt;*N/A*")</f>
        <v>15</v>
      </c>
      <c r="D34" s="235">
        <f>COUNTIFS('NDC MASTER SHEET'!$B$5:$B$201,"Sub-Saharan Africa",'NDC MASTER SHEET'!$BA$5:$BA$201,"&lt;&gt;*N/A*",'NDC MASTER SHEET'!$AY$5:$AY$201,"&lt;&gt;*N/A*")</f>
        <v>49</v>
      </c>
      <c r="E34" s="235">
        <f>COUNTIFS('NDC MASTER SHEET'!$B$5:$B$201,"Eastern Europe &amp; Central Asia",'NDC MASTER SHEET'!$BA$5:$BA$201,"&lt;&gt;*N/A*",'NDC MASTER SHEET'!$AY$5:$AY$201,"&lt;&gt;*N/A*")</f>
        <v>17</v>
      </c>
      <c r="F34" s="235">
        <f>COUNTIFS('NDC MASTER SHEET'!$B$5:$B$201,"Europe",'NDC MASTER SHEET'!$BA$5:$BA$201,"&lt;&gt;*N/A*",'NDC MASTER SHEET'!$AY$5:$AY$201,"&lt;&gt;*N/A*")</f>
        <v>36</v>
      </c>
      <c r="G34" s="235">
        <f>COUNTIFS('NDC MASTER SHEET'!$B$5:$B$201,"Latin America &amp; the Caribbean",'NDC MASTER SHEET'!$BA$5:$BA$201,"&lt;&gt;*N/A*",'NDC MASTER SHEET'!$AY$5:$AY$201,"&lt;&gt;*N/A*")</f>
        <v>32</v>
      </c>
      <c r="H34" s="235">
        <f>COUNTIFS('NDC MASTER SHEET'!$B$5:$B$201,"Northern America",'NDC MASTER SHEET'!$BA$5:$BA$201,"&lt;&gt;*N/A*",'NDC MASTER SHEET'!$AY$5:$AY$201,"&lt;&gt;*N/A*")</f>
        <v>2</v>
      </c>
      <c r="I34" s="235">
        <f>COUNTIFS('NDC MASTER SHEET'!$B$5:$B$201,"Oceania",'NDC MASTER SHEET'!$BA$5:$BA$201,"&lt;&gt;*N/A*",'NDC MASTER SHEET'!$AY$5:$AY$201,"&lt;&gt;*N/A*")</f>
        <v>16</v>
      </c>
      <c r="J34" s="233">
        <f t="shared" si="0"/>
        <v>191</v>
      </c>
      <c r="K34" s="268" t="s">
        <v>424</v>
      </c>
      <c r="L34" s="269"/>
      <c r="M34" s="270"/>
      <c r="N34" s="269"/>
      <c r="O34" s="269"/>
      <c r="P34" s="269"/>
      <c r="Q34" s="271"/>
      <c r="R34" s="284"/>
      <c r="T34" s="31"/>
    </row>
    <row r="35" spans="1:35" s="243" customFormat="1" ht="14.4">
      <c r="A35" s="62" t="s">
        <v>482</v>
      </c>
      <c r="B35" s="235">
        <f>COUNTIFS('NDC MASTER SHEET'!$B$5:$B$201,"Asia",'NDC MASTER SHEET'!$BA$5:$BA$201,"&lt;&gt;*N/A",'NDC MASTER SHEET'!$AY$5:$AY$201,"N/A")</f>
        <v>0</v>
      </c>
      <c r="C35" s="235">
        <f>COUNTIFS('NDC MASTER SHEET'!$B$5:$B$201,"North Africa &amp; the Middle East",'NDC MASTER SHEET'!$BA$5:$BA$201,"&lt;&gt;*N/A*",'NDC MASTER SHEET'!$AY$5:$AY$201,"N/A")</f>
        <v>2</v>
      </c>
      <c r="D35" s="235">
        <f>COUNTIFS('NDC MASTER SHEET'!$B$5:$B$201,"Asia",'NDC MASTER SHEET'!$BA$5:$BA$201,"&lt;&gt;*N/A",'NDC MASTER SHEET'!$AY$5:$AY$201,"N/A")</f>
        <v>0</v>
      </c>
      <c r="E35" s="235">
        <f>COUNTIFS('NDC MASTER SHEET'!$B$5:$B$201,"Eastern Europe &amp; Central Asia",'NDC MASTER SHEET'!$BA$5:$BA$201,"&lt;&gt;*N/A",'NDC MASTER SHEET'!$AY$5:$AY$201,"N/A")</f>
        <v>0</v>
      </c>
      <c r="F35" s="235">
        <f>COUNTIFS('NDC MASTER SHEET'!$B$5:$B$201,"Europe",'NDC MASTER SHEET'!$BA$5:$BA$201,"&lt;&gt;*N/A",'NDC MASTER SHEET'!$AY$5:$AY$201,"N/A")</f>
        <v>0</v>
      </c>
      <c r="G35" s="235">
        <f>COUNTIFS('NDC MASTER SHEET'!$B$5:$B$201,"Latin America &amp; the Caribbean",'NDC MASTER SHEET'!$BA$5:$BA$201,"&lt;&gt;*N/A",'NDC MASTER SHEET'!$AY$5:$AY$201,"N/A")</f>
        <v>1</v>
      </c>
      <c r="H35" s="235">
        <f>COUNTIFS('NDC MASTER SHEET'!$B$5:$B$201,"Northern America",'NDC MASTER SHEET'!$BA$5:$BA$201,"&lt;&gt;*N/A",'NDC MASTER SHEET'!$AY$5:$AY$201,"N/A")</f>
        <v>0</v>
      </c>
      <c r="I35" s="235">
        <f>COUNTIFS('NDC MASTER SHEET'!$B$5:$B$201,"Oceania",'NDC MASTER SHEET'!$BA$5:$BA$201,"&lt;&gt;*N/A",'NDC MASTER SHEET'!$AY$5:$AY$201,"N/A")</f>
        <v>0</v>
      </c>
      <c r="J35" s="233">
        <f t="shared" si="0"/>
        <v>3</v>
      </c>
      <c r="K35" s="736" t="s">
        <v>853</v>
      </c>
      <c r="L35" s="737"/>
      <c r="M35" s="737"/>
      <c r="N35" s="737"/>
      <c r="O35" s="737"/>
      <c r="P35" s="737"/>
      <c r="Q35" s="738"/>
      <c r="T35" s="31"/>
    </row>
    <row r="36" spans="1:35" s="243" customFormat="1" ht="28.2" customHeight="1">
      <c r="A36" s="62" t="s">
        <v>483</v>
      </c>
      <c r="B36" s="235">
        <f>COUNTIFS('NDC MASTER SHEET'!$B$5:$B$201,"Asia",'NDC MASTER SHEET'!$BA$5:$BA$201,"N/A",'NDC MASTER SHEET'!$AY$5:$AY$201,"&lt;&gt;*N/A*")</f>
        <v>0</v>
      </c>
      <c r="C36" s="235">
        <f>COUNTIFS('NDC MASTER SHEET'!$B$5:$B$201,"North Africa &amp; the Middle East",'NDC MASTER SHEET'!$BA$5:$BA$201,"N/A",'NDC MASTER SHEET'!$AY$5:$AY$201,"&lt;&gt;*N/A*")</f>
        <v>2</v>
      </c>
      <c r="D36" s="235">
        <f>COUNTIFS('NDC MASTER SHEET'!$B$5:$B$201,"Sub-Saharan Africa",'NDC MASTER SHEET'!$BA$5:$BA$201,"N/A",'NDC MASTER SHEET'!$AY$5:$AY$201,"&lt;&gt;*N/A*")</f>
        <v>0</v>
      </c>
      <c r="E36" s="235">
        <f>COUNTIFS('NDC MASTER SHEET'!$B$5:$B$201,"Eastern Europe &amp; Central Asia",'NDC MASTER SHEET'!$BA$5:$BA$201,"N/A",'NDC MASTER SHEET'!$AY$5:$AY$201,"&lt;&gt;*N/A*")</f>
        <v>0</v>
      </c>
      <c r="F36" s="235">
        <f>COUNTIFS('NDC MASTER SHEET'!$B$5:$B$201,"Europe",'NDC MASTER SHEET'!$BA$5:$BA$201,"N/A",'NDC MASTER SHEET'!$AY$5:$AY$201,"&lt;&gt;*N/A*")</f>
        <v>0</v>
      </c>
      <c r="G36" s="235">
        <f>COUNTIFS('NDC MASTER SHEET'!$B$5:$B$201,"Latin America &amp; the Caribbean",'NDC MASTER SHEET'!$BA$5:$BA$201,"N/A",'NDC MASTER SHEET'!$AY$5:$AY$201,"&lt;&gt;*N/A*")</f>
        <v>0</v>
      </c>
      <c r="H36" s="235">
        <f>COUNTIFS('NDC MASTER SHEET'!$B$5:$B$201,"Northern America",'NDC MASTER SHEET'!$BA$5:$BA$201,"N/A",'NDC MASTER SHEET'!$AY$5:$AY$201,"&lt;&gt;*N/A*")</f>
        <v>0</v>
      </c>
      <c r="I36" s="235">
        <f>COUNTIFS('NDC MASTER SHEET'!$B$5:$B$201,"Oceania",'NDC MASTER SHEET'!$BA$5:$BA$201,"N/A",'NDC MASTER SHEET'!$AY$5:$AY$201,"&lt;&gt;*N/A*")</f>
        <v>0</v>
      </c>
      <c r="J36" s="233">
        <f t="shared" si="0"/>
        <v>2</v>
      </c>
      <c r="K36" s="739" t="s">
        <v>1761</v>
      </c>
      <c r="L36" s="740"/>
      <c r="M36" s="740"/>
      <c r="N36" s="740"/>
      <c r="O36" s="740"/>
      <c r="P36" s="740"/>
      <c r="Q36" s="741"/>
      <c r="R36" s="289"/>
      <c r="T36" s="31"/>
    </row>
    <row r="37" spans="1:35" s="243" customFormat="1" ht="26.4" customHeight="1">
      <c r="A37" s="62" t="s">
        <v>485</v>
      </c>
      <c r="B37" s="235">
        <f>COUNTIFS('NDC MASTER SHEET'!$B$5:$B$201,"Asia",'NDC MASTER SHEET'!$BA$5:$BA$201,"N/A",'NDC MASTER SHEET'!$AY$5:$AY$201,"N/A")</f>
        <v>0</v>
      </c>
      <c r="C37" s="235">
        <f>COUNTIFS('NDC MASTER SHEET'!$B$5:$B$201,"North Africa &amp; the Middle East",'NDC MASTER SHEET'!$BA$5:$BA$201,"N/A",'NDC MASTER SHEET'!$AY$5:$AY$201,"N/A")</f>
        <v>1</v>
      </c>
      <c r="D37" s="235">
        <f>COUNTIFS('NDC MASTER SHEET'!$B$5:$B$201,"Sub-Saharan Africa",'NDC MASTER SHEET'!$BA$5:$BA$201,"N/A",'NDC MASTER SHEET'!$AY$5:$AY$201,"N/A")</f>
        <v>0</v>
      </c>
      <c r="E37" s="235">
        <f>COUNTIFS('NDC MASTER SHEET'!$B$5:$B$201,"Eastern Europe &amp; Central Asia",'NDC MASTER SHEET'!$BA$5:$BA$201,"N/A",'NDC MASTER SHEET'!$AY$5:$AY$201,"N/A")</f>
        <v>0</v>
      </c>
      <c r="F37" s="235">
        <f>COUNTIFS('NDC MASTER SHEET'!$B$5:$B$201,"Europe",'NDC MASTER SHEET'!$BA$5:$BA$201,"N/A",'NDC MASTER SHEET'!$AY$5:$AY$201,"N/A")</f>
        <v>0</v>
      </c>
      <c r="G37" s="235">
        <f>COUNTIFS('NDC MASTER SHEET'!$B$5:$B$201,"Latin America &amp; the Caribbean",'NDC MASTER SHEET'!$BA$5:$BA$201,"N/A",'NDC MASTER SHEET'!$AY$5:$AY$201,"N/A")</f>
        <v>0</v>
      </c>
      <c r="H37" s="235">
        <f>COUNTIFS('NDC MASTER SHEET'!$B$5:$B$201,"Northern America",'NDC MASTER SHEET'!$BA$5:$BA$201,"N/A",'NDC MASTER SHEET'!$AY$5:$AY$201,"N/A")</f>
        <v>0</v>
      </c>
      <c r="I37" s="235">
        <f>COUNTIFS('NDC MASTER SHEET'!$B$5:$B$201,"Oceania",'NDC MASTER SHEET'!$BA$5:$BA$201,"N/A",'NDC MASTER SHEET'!$AY$5:$AY$201,"N/A")</f>
        <v>0</v>
      </c>
      <c r="J37" s="233">
        <f t="shared" si="0"/>
        <v>1</v>
      </c>
      <c r="K37" s="742" t="s">
        <v>854</v>
      </c>
      <c r="L37" s="743"/>
      <c r="M37" s="743"/>
      <c r="N37" s="743"/>
      <c r="O37" s="743"/>
      <c r="P37" s="743"/>
      <c r="Q37" s="744"/>
      <c r="R37" s="289"/>
      <c r="T37" s="31"/>
    </row>
    <row r="38" spans="1:35" ht="27" customHeight="1">
      <c r="A38" s="62" t="s">
        <v>416</v>
      </c>
      <c r="B38" s="102">
        <f>COUNTIFS('NDC Change Tracker'!$B$8:$B$148,"Asia",'NDC Change Tracker'!$C$8:$C$148,"Yes")</f>
        <v>0</v>
      </c>
      <c r="C38" s="102">
        <f>COUNTIFS('NDC Change Tracker'!$B$8:$B$148,"North Africa &amp; the Middle East",'NDC Change Tracker'!$C$8:$C$148,"Yes")</f>
        <v>0</v>
      </c>
      <c r="D38" s="102">
        <f>COUNTIFS('NDC Change Tracker'!$B$8:$B$148,"Sub-Saharan Africa",'NDC Change Tracker'!$C$8:$C$148,"Yes")</f>
        <v>0</v>
      </c>
      <c r="E38" s="102">
        <f>COUNTIFS('NDC Change Tracker'!$B$8:$B$148,"Eastern Europe &amp; Central Asia",'NDC Change Tracker'!$C$8:$C$148,"Yes")</f>
        <v>0</v>
      </c>
      <c r="F38" s="102">
        <f>COUNTIFS('NDC Change Tracker'!$B$8:$B$148,"Europe",'NDC Change Tracker'!$C$8:$C$148,"Yes")</f>
        <v>0</v>
      </c>
      <c r="G38" s="102">
        <f>COUNTIFS('NDC Change Tracker'!$B$8:$B$148,"Latin America &amp; the Caribbean",'NDC Change Tracker'!$C$8:$C$148,"Yes")</f>
        <v>0</v>
      </c>
      <c r="H38" s="102">
        <f>COUNTIFS('NDC Change Tracker'!$B$8:$B$148,"Northern America",'NDC Change Tracker'!$C$8:$C$148,"Yes")</f>
        <v>0</v>
      </c>
      <c r="I38" s="102">
        <f>COUNTIFS('NDC Change Tracker'!$B$8:$B$148,"Oceania",'NDC Change Tracker'!$C$8:$C$148,"Yes")</f>
        <v>0</v>
      </c>
      <c r="J38" s="233">
        <f t="shared" si="0"/>
        <v>0</v>
      </c>
      <c r="K38" s="417" t="s">
        <v>424</v>
      </c>
      <c r="L38" s="269"/>
      <c r="M38" s="270"/>
      <c r="N38" s="269"/>
      <c r="O38" s="269"/>
      <c r="P38" s="269"/>
      <c r="Q38" s="271"/>
      <c r="R38" s="289"/>
      <c r="T38" s="32"/>
    </row>
    <row r="39" spans="1:35" ht="16.5" customHeight="1">
      <c r="A39" s="72" t="s">
        <v>851</v>
      </c>
      <c r="B39" s="106"/>
      <c r="C39" s="106"/>
      <c r="D39" s="106"/>
      <c r="E39" s="106"/>
      <c r="F39" s="106"/>
      <c r="G39" s="106"/>
      <c r="H39" s="106"/>
      <c r="I39" s="106"/>
      <c r="J39" s="104"/>
      <c r="K39" s="280"/>
      <c r="L39" s="280"/>
      <c r="M39" s="280"/>
      <c r="N39" s="280"/>
      <c r="O39" s="280"/>
      <c r="P39" s="280"/>
      <c r="Q39" s="281"/>
      <c r="R39" s="12"/>
      <c r="T39" s="32"/>
    </row>
    <row r="40" spans="1:35">
      <c r="A40" s="69" t="s">
        <v>413</v>
      </c>
      <c r="B40" s="107">
        <f>COUNTIFS('NDC MASTER SHEET'!$B$5:$B$201,"Asia", 'NDC MASTER SHEET'!$AW$5:$AW$201,"N/A")</f>
        <v>0</v>
      </c>
      <c r="C40" s="107">
        <f>COUNTIFS('NDC MASTER SHEET'!$B$5:$B$201,"North Africa &amp; the Middle East", 'NDC MASTER SHEET'!$AW$5:$AW$201,"N/A")</f>
        <v>1</v>
      </c>
      <c r="D40" s="107">
        <f>COUNTIFS('NDC MASTER SHEET'!$B$5:$B$201,"Sub-Saharan Africa", 'NDC MASTER SHEET'!$AW$5:$AW$201,"N/A")</f>
        <v>0</v>
      </c>
      <c r="E40" s="107">
        <f>COUNTIFS('NDC MASTER SHEET'!$B$5:$B$201,"Eastern Europe &amp; Central Asia", 'NDC MASTER SHEET'!$AW$5:$AW$201,"N/A")</f>
        <v>0</v>
      </c>
      <c r="F40" s="107">
        <f>COUNTIFS('NDC MASTER SHEET'!$B$5:$B$201,"Europe", 'NDC MASTER SHEET'!$AW$5:$AW$201,"N/A")</f>
        <v>0</v>
      </c>
      <c r="G40" s="107">
        <f>COUNTIFS('NDC MASTER SHEET'!$B$5:$B$201,"Latin America &amp; the Caribbean", 'NDC MASTER SHEET'!$AW$5:$AW$201,"N/A")</f>
        <v>1</v>
      </c>
      <c r="H40" s="107">
        <f>COUNTIFS('NDC MASTER SHEET'!$B$5:$B$201,"Northern America", 'NDC MASTER SHEET'!$AW$5:$AW$201,"N/A")</f>
        <v>0</v>
      </c>
      <c r="I40" s="245">
        <f>COUNTIFS('NDC MASTER SHEET'!$B$5:$B$201,"Oceania", 'NDC MASTER SHEET'!$AW$5:$AW$201,"N/A")</f>
        <v>0</v>
      </c>
      <c r="J40" s="277">
        <f t="shared" si="0"/>
        <v>2</v>
      </c>
      <c r="K40" s="272" t="s">
        <v>855</v>
      </c>
      <c r="L40" s="269"/>
      <c r="M40" s="270"/>
      <c r="N40" s="269"/>
      <c r="O40" s="269"/>
      <c r="P40" s="269"/>
      <c r="Q40" s="271"/>
      <c r="R40" s="12"/>
      <c r="W40" s="255"/>
      <c r="X40" s="255"/>
    </row>
    <row r="41" spans="1:35" ht="15.6" customHeight="1">
      <c r="A41" s="62" t="s">
        <v>414</v>
      </c>
      <c r="B41" s="101">
        <f>COUNTIFS('NDC MASTER SHEET'!$B$5:$B$201,"Asia",'NDC MASTER SHEET'!$AW$5:$AW$201,"&lt;&gt;N/A",'NDC MASTER SHEET'!$AX$5:$AX$201,"N/A")</f>
        <v>0</v>
      </c>
      <c r="C41" s="101">
        <f>COUNTIFS('NDC MASTER SHEET'!$B$5:$B$201,"North Africa &amp; the Middle East",'NDC MASTER SHEET'!$AW$5:$AW$201,"&lt;&gt;N/A",'NDC MASTER SHEET'!$AX$5:$AX$201,"N/A")</f>
        <v>3</v>
      </c>
      <c r="D41" s="101">
        <f>COUNTIFS('NDC MASTER SHEET'!$B$5:$B$201,"Sub-Saharan Africa",'NDC MASTER SHEET'!$AW$5:$AW$201,"&lt;&gt;N/A",'NDC MASTER SHEET'!$AX$5:$AX$201,"N/A")</f>
        <v>1</v>
      </c>
      <c r="E41" s="101">
        <f>COUNTIFS('NDC MASTER SHEET'!$B$5:$B$201,"Eastern Europe &amp; Central Asia",'NDC MASTER SHEET'!$AW$5:$AW$201,"&lt;&gt;N/A",'NDC MASTER SHEET'!$AX$5:$AX$201,"N/A")</f>
        <v>0</v>
      </c>
      <c r="F41" s="101">
        <f>COUNTIFS('NDC MASTER SHEET'!$B$5:$B$201,"Europe",'NDC MASTER SHEET'!$AW$5:$AW$201,"&lt;&gt;N/A",'NDC MASTER SHEET'!$AX$5:$AX$201,"N/A")</f>
        <v>0</v>
      </c>
      <c r="G41" s="101">
        <f>COUNTIFS('NDC MASTER SHEET'!$B$5:$B$201,"Latin America &amp; the Caribbean",'NDC MASTER SHEET'!$AW$5:$AW$201,"&lt;&gt;N/A",'NDC MASTER SHEET'!$AX$5:$AX$201,"N/A")</f>
        <v>0</v>
      </c>
      <c r="H41" s="101">
        <f>COUNTIFS('NDC MASTER SHEET'!$B$5:$B$201,"Northern America",'NDC MASTER SHEET'!$AW$5:$AW$201,"&lt;&gt;N/A",'NDC MASTER SHEET'!$AX$5:$AX$201,"N/A")</f>
        <v>0</v>
      </c>
      <c r="I41" s="185">
        <f>COUNTIFS('NDC MASTER SHEET'!$B$5:$B$201,"Oceania",'NDC MASTER SHEET'!$AW$5:$AW$201,"&lt;&gt;N/A",'NDC MASTER SHEET'!$AX$5:$AX$201,"N/A")</f>
        <v>0</v>
      </c>
      <c r="J41" s="233">
        <f>SUM(B41:I41)</f>
        <v>4</v>
      </c>
      <c r="K41" s="745" t="s">
        <v>2187</v>
      </c>
      <c r="L41" s="746"/>
      <c r="M41" s="746"/>
      <c r="N41" s="746"/>
      <c r="O41" s="746"/>
      <c r="P41" s="746"/>
      <c r="Q41" s="747"/>
      <c r="W41" s="255"/>
      <c r="X41" s="255"/>
    </row>
    <row r="42" spans="1:35" s="160" customFormat="1">
      <c r="A42" s="62" t="s">
        <v>415</v>
      </c>
      <c r="B42" s="101">
        <f>COUNTIFS('NDC MASTER SHEET'!$B$5:$B$201,"Asia",'NDC MASTER SHEET'!$AX$5:$AX$201,"&lt;&gt;*N/A*")</f>
        <v>24</v>
      </c>
      <c r="C42" s="101">
        <f>COUNTIFS('NDC MASTER SHEET'!$B$5:$B$201,"North Africa &amp; the Middle East",'NDC MASTER SHEET'!$AX$5:$AX$201,"&lt;&gt;*N/A*")</f>
        <v>17</v>
      </c>
      <c r="D42" s="101">
        <f>COUNTIFS('NDC MASTER SHEET'!$B$5:$B$201,"Sub-Saharan Africa",'NDC MASTER SHEET'!$AX$5:$AX$201,"&lt;&gt;*N/A*")</f>
        <v>48</v>
      </c>
      <c r="E42" s="101">
        <f>COUNTIFS('NDC MASTER SHEET'!$B$5:$B$201,"Eastern Europe &amp; Central Asia",'NDC MASTER SHEET'!$AX$5:$AX$201,"&lt;&gt;*N/A*")</f>
        <v>17</v>
      </c>
      <c r="F42" s="101">
        <f>COUNTIFS('NDC MASTER SHEET'!$B$5:$B$201,"Europe",'NDC MASTER SHEET'!$AX$5:$AX$201,"&lt;&gt;*N/A*")</f>
        <v>36</v>
      </c>
      <c r="G42" s="101">
        <f>COUNTIFS('NDC MASTER SHEET'!$B$5:$B$201,"Latin America &amp; the Caribbean",'NDC MASTER SHEET'!$AX$5:$AX$201,"&lt;&gt;*N/A*")</f>
        <v>33</v>
      </c>
      <c r="H42" s="101">
        <f>COUNTIFS('NDC MASTER SHEET'!$B$5:$B$201,"Northern America",'NDC MASTER SHEET'!$AX$5:$AX$201,"&lt;&gt;*N/A*")</f>
        <v>2</v>
      </c>
      <c r="I42" s="185">
        <f>COUNTIFS('NDC MASTER SHEET'!$B$5:$B$201,"Oceania",'NDC MASTER SHEET'!$AX$5:$AX$201,"&lt;&gt;*N/A*")</f>
        <v>16</v>
      </c>
      <c r="J42" s="233">
        <f t="shared" si="0"/>
        <v>193</v>
      </c>
      <c r="K42" s="272" t="s">
        <v>424</v>
      </c>
      <c r="L42" s="269"/>
      <c r="M42" s="270"/>
      <c r="N42" s="269"/>
      <c r="O42" s="269"/>
      <c r="P42" s="269"/>
      <c r="Q42" s="271"/>
      <c r="R42"/>
      <c r="S42"/>
      <c r="T42"/>
      <c r="U42"/>
      <c r="V42"/>
      <c r="W42" s="255"/>
      <c r="X42" s="255"/>
    </row>
    <row r="43" spans="1:35" ht="17.25" customHeight="1">
      <c r="A43" s="72" t="s">
        <v>328</v>
      </c>
      <c r="B43" s="106"/>
      <c r="C43" s="106"/>
      <c r="D43" s="106"/>
      <c r="E43" s="106"/>
      <c r="F43" s="106"/>
      <c r="G43" s="106"/>
      <c r="H43" s="106"/>
      <c r="I43" s="106"/>
      <c r="J43" s="106"/>
      <c r="K43" s="106"/>
      <c r="L43" s="106"/>
      <c r="M43" s="106"/>
      <c r="N43" s="106"/>
      <c r="O43" s="106"/>
      <c r="P43" s="106"/>
      <c r="Q43" s="281"/>
      <c r="R43" s="160"/>
      <c r="S43" s="160"/>
      <c r="T43" s="160"/>
      <c r="U43" s="160"/>
      <c r="V43" s="160"/>
      <c r="W43" s="255"/>
      <c r="X43" s="255"/>
    </row>
    <row r="44" spans="1:35">
      <c r="A44" s="71" t="s">
        <v>334</v>
      </c>
      <c r="B44" s="107">
        <f>COUNTIFS('NDC MASTER SHEET'!$B$5:$B$201,"Asia",'NDC MASTER SHEET'!$K$5:$K$201,"&lt;&gt;*N/A*")</f>
        <v>23</v>
      </c>
      <c r="C44" s="107">
        <f>COUNTIFS('NDC MASTER SHEET'!$B$5:$B$201,"North Africa &amp; the Middle East",'NDC MASTER SHEET'!$K$5:$K$201,"&lt;&gt;*N/A*")</f>
        <v>16</v>
      </c>
      <c r="D44" s="107">
        <f>COUNTIFS('NDC MASTER SHEET'!$B$5:$B$201,"Sub-Saharan Africa",'NDC MASTER SHEET'!$K$5:$K$201,"&lt;&gt;*N/A*")</f>
        <v>49</v>
      </c>
      <c r="E44" s="107">
        <f>COUNTIFS('NDC MASTER SHEET'!$B$5:$B$201,"Eastern Europe &amp; Central Asia",'NDC MASTER SHEET'!$K$5:$K$201,"&lt;&gt;*N/A*")</f>
        <v>10</v>
      </c>
      <c r="F44" s="107">
        <f>COUNTIFS('NDC MASTER SHEET'!$B$5:$B$201,"Europe",'NDC MASTER SHEET'!$K$5:$K$201,"&lt;&gt;*N/A*")</f>
        <v>0</v>
      </c>
      <c r="G44" s="107">
        <f>COUNTIFS('NDC MASTER SHEET'!$B$5:$B$201,"Latin America &amp; the Caribbean",'NDC MASTER SHEET'!$K$5:$K$201,"&lt;&gt;*N/A*")</f>
        <v>29</v>
      </c>
      <c r="H44" s="107">
        <f>COUNTIFS('NDC MASTER SHEET'!$B$5:$B$201,"Northern America",'NDC MASTER SHEET'!$K$5:$K$201,"&lt;&gt;*N/A*")</f>
        <v>0</v>
      </c>
      <c r="I44" s="245">
        <f>COUNTIFS('NDC MASTER SHEET'!$B$5:$B$201,"Oceania",'NDC MASTER SHEET'!$K$5:$K$201,"&lt;&gt;*N/A*")</f>
        <v>12</v>
      </c>
      <c r="J44" s="233">
        <f t="shared" si="0"/>
        <v>139</v>
      </c>
      <c r="K44" s="272" t="s">
        <v>424</v>
      </c>
      <c r="L44" s="269"/>
      <c r="M44" s="270"/>
      <c r="N44" s="269"/>
      <c r="O44" s="269"/>
      <c r="P44" s="269"/>
      <c r="Q44" s="271"/>
      <c r="W44" s="255"/>
      <c r="X44" s="255"/>
    </row>
    <row r="45" spans="1:35">
      <c r="A45" s="65" t="s">
        <v>335</v>
      </c>
      <c r="B45" s="108">
        <f>COUNTIFS('NDC MASTER SHEET'!$B$5:$B$201,"Asia",'NDC MASTER SHEET'!$AK$5:$AK$201,"&lt;&gt;*N/A*")</f>
        <v>12</v>
      </c>
      <c r="C45" s="108">
        <f>COUNTIFS('NDC MASTER SHEET'!$B$5:$B$201,"North Africa &amp; the Middle East",'NDC MASTER SHEET'!$AK$5:$AK$201,"&lt;&gt;*N/A*")</f>
        <v>8</v>
      </c>
      <c r="D45" s="108">
        <f>COUNTIFS('NDC MASTER SHEET'!$B$5:$B$201,"Sub-Saharan Africa",'NDC MASTER SHEET'!$AK$5:$AK$201,"&lt;&gt;*N/A*")</f>
        <v>26</v>
      </c>
      <c r="E45" s="108">
        <f>COUNTIFS('NDC MASTER SHEET'!$B$5:$B$201,"Eastern Europe &amp; Central Asia",'NDC MASTER SHEET'!$AK$5:$AK$201,"&lt;&gt;*N/A*")</f>
        <v>3</v>
      </c>
      <c r="F45" s="108">
        <f>COUNTIFS('NDC MASTER SHEET'!$B$5:$B$201,"Europe",'NDC MASTER SHEET'!$AK$5:$AK$201,"&lt;&gt;*N/A*")</f>
        <v>2</v>
      </c>
      <c r="G45" s="108">
        <f>COUNTIFS('NDC MASTER SHEET'!$B$5:$B$201,"Latin America &amp; the Caribbean",'NDC MASTER SHEET'!$AK$5:$AK$201,"&lt;&gt;*N/A*")</f>
        <v>11</v>
      </c>
      <c r="H45" s="108">
        <f>COUNTIFS('NDC MASTER SHEET'!$B$5:$B$201,"Northern America",'NDC MASTER SHEET'!$AK$5:$AK$201,"&lt;&gt;*N/A*")</f>
        <v>0</v>
      </c>
      <c r="I45" s="278">
        <f>COUNTIFS('NDC MASTER SHEET'!$B$5:$B$201,"Oceania",'NDC MASTER SHEET'!$AK$5:$AK$201,"&lt;&gt;*N/A*")</f>
        <v>3</v>
      </c>
      <c r="J45" s="279">
        <f t="shared" si="0"/>
        <v>65</v>
      </c>
      <c r="K45" s="273" t="s">
        <v>424</v>
      </c>
      <c r="L45" s="274"/>
      <c r="M45" s="275"/>
      <c r="N45" s="274"/>
      <c r="O45" s="274"/>
      <c r="P45" s="274"/>
      <c r="Q45" s="276"/>
      <c r="V45" s="266"/>
      <c r="W45" s="266"/>
      <c r="X45" s="266"/>
    </row>
    <row r="46" spans="1:35" s="266" customFormat="1">
      <c r="A46" s="288"/>
      <c r="B46" s="258"/>
      <c r="C46" s="258"/>
      <c r="D46" s="258"/>
      <c r="E46" s="258"/>
      <c r="F46" s="258"/>
      <c r="G46" s="258"/>
      <c r="H46" s="258"/>
      <c r="I46" s="258"/>
      <c r="J46" s="258"/>
      <c r="K46" s="258"/>
      <c r="L46" s="258"/>
      <c r="M46" s="258"/>
      <c r="N46" s="258"/>
      <c r="O46" s="258"/>
      <c r="P46" s="258"/>
      <c r="Q46" s="258"/>
      <c r="R46" s="227"/>
      <c r="S46" s="229"/>
      <c r="T46" s="229"/>
      <c r="U46" s="287"/>
      <c r="V46" s="286"/>
      <c r="W46" s="286"/>
    </row>
    <row r="47" spans="1:35" s="256" customFormat="1" ht="30.75" customHeight="1">
      <c r="A47" s="748" t="s">
        <v>2189</v>
      </c>
      <c r="B47" s="749"/>
      <c r="C47" s="749"/>
      <c r="D47" s="749"/>
      <c r="E47" s="749"/>
      <c r="F47" s="749"/>
      <c r="G47" s="749"/>
      <c r="H47" s="749"/>
      <c r="I47" s="749"/>
      <c r="J47" s="749"/>
      <c r="K47" s="749"/>
      <c r="L47" s="749"/>
      <c r="M47" s="749"/>
      <c r="N47" s="749"/>
      <c r="O47" s="749"/>
      <c r="P47" s="749"/>
      <c r="Q47" s="749"/>
      <c r="R47" s="749"/>
      <c r="S47" s="749"/>
      <c r="T47" s="749"/>
      <c r="U47" s="749"/>
      <c r="V47" s="749"/>
      <c r="W47" s="749"/>
      <c r="X47" s="749"/>
      <c r="Y47" s="749"/>
      <c r="Z47" s="750"/>
      <c r="AA47" s="260"/>
      <c r="AB47" s="260"/>
      <c r="AC47" s="260"/>
      <c r="AD47" s="260"/>
      <c r="AE47" s="260"/>
      <c r="AF47" s="260"/>
      <c r="AG47" s="260"/>
      <c r="AH47" s="260"/>
      <c r="AI47" s="260"/>
    </row>
    <row r="48" spans="1:35" s="256" customFormat="1" ht="50.25" customHeight="1">
      <c r="A48" s="41"/>
      <c r="B48" s="757" t="s">
        <v>489</v>
      </c>
      <c r="C48" s="758"/>
      <c r="D48" s="757" t="s">
        <v>247</v>
      </c>
      <c r="E48" s="758"/>
      <c r="F48" s="757" t="s">
        <v>437</v>
      </c>
      <c r="G48" s="758"/>
      <c r="H48" s="757" t="s">
        <v>438</v>
      </c>
      <c r="I48" s="758"/>
      <c r="J48" s="757" t="s">
        <v>249</v>
      </c>
      <c r="K48" s="758"/>
      <c r="L48" s="757" t="s">
        <v>439</v>
      </c>
      <c r="M48" s="758"/>
      <c r="N48" s="757" t="s">
        <v>459</v>
      </c>
      <c r="O48" s="758"/>
      <c r="P48" s="757" t="s">
        <v>454</v>
      </c>
      <c r="Q48" s="758"/>
      <c r="R48" s="751" t="s">
        <v>857</v>
      </c>
      <c r="S48" s="752"/>
      <c r="T48" s="753"/>
      <c r="U48" s="751" t="s">
        <v>859</v>
      </c>
      <c r="V48" s="752"/>
      <c r="W48" s="753"/>
      <c r="X48" s="751" t="s">
        <v>858</v>
      </c>
      <c r="Y48" s="752"/>
      <c r="Z48" s="753"/>
      <c r="AA48" s="260"/>
      <c r="AB48" s="260"/>
      <c r="AC48" s="260"/>
      <c r="AD48" s="260"/>
      <c r="AE48" s="260"/>
      <c r="AF48" s="260"/>
      <c r="AG48" s="260"/>
      <c r="AH48" s="260"/>
      <c r="AI48" s="260"/>
    </row>
    <row r="49" spans="1:35" s="256" customFormat="1" ht="38.25" customHeight="1">
      <c r="A49" s="41"/>
      <c r="B49" s="98" t="s">
        <v>461</v>
      </c>
      <c r="C49" s="98" t="s">
        <v>462</v>
      </c>
      <c r="D49" s="98" t="s">
        <v>461</v>
      </c>
      <c r="E49" s="98" t="s">
        <v>462</v>
      </c>
      <c r="F49" s="98" t="s">
        <v>461</v>
      </c>
      <c r="G49" s="98" t="s">
        <v>462</v>
      </c>
      <c r="H49" s="98" t="s">
        <v>461</v>
      </c>
      <c r="I49" s="98" t="s">
        <v>462</v>
      </c>
      <c r="J49" s="98" t="s">
        <v>461</v>
      </c>
      <c r="K49" s="98" t="s">
        <v>462</v>
      </c>
      <c r="L49" s="98" t="s">
        <v>461</v>
      </c>
      <c r="M49" s="98" t="s">
        <v>462</v>
      </c>
      <c r="N49" s="98" t="s">
        <v>461</v>
      </c>
      <c r="O49" s="98" t="s">
        <v>462</v>
      </c>
      <c r="P49" s="98" t="s">
        <v>461</v>
      </c>
      <c r="Q49" s="98" t="s">
        <v>462</v>
      </c>
      <c r="R49" s="613" t="s">
        <v>461</v>
      </c>
      <c r="S49" s="613" t="s">
        <v>462</v>
      </c>
      <c r="T49" s="613" t="s">
        <v>470</v>
      </c>
      <c r="U49" s="613" t="s">
        <v>461</v>
      </c>
      <c r="V49" s="613" t="s">
        <v>462</v>
      </c>
      <c r="W49" s="613" t="s">
        <v>470</v>
      </c>
      <c r="X49" s="613" t="s">
        <v>461</v>
      </c>
      <c r="Y49" s="613" t="s">
        <v>462</v>
      </c>
      <c r="Z49" s="613" t="s">
        <v>470</v>
      </c>
      <c r="AA49" s="260"/>
      <c r="AB49" s="260"/>
      <c r="AC49" s="260"/>
      <c r="AD49" s="260"/>
      <c r="AE49" s="260"/>
      <c r="AF49" s="260"/>
      <c r="AG49" s="260"/>
      <c r="AH49" s="260"/>
      <c r="AI49" s="260"/>
    </row>
    <row r="50" spans="1:35" s="256" customFormat="1">
      <c r="A50" s="72" t="s">
        <v>475</v>
      </c>
      <c r="B50" s="224"/>
      <c r="C50" s="198"/>
      <c r="D50" s="198"/>
      <c r="E50" s="198"/>
      <c r="F50" s="198"/>
      <c r="G50" s="198"/>
      <c r="H50" s="198"/>
      <c r="I50" s="198"/>
      <c r="J50" s="198"/>
      <c r="K50" s="198"/>
      <c r="L50" s="198"/>
      <c r="M50" s="198"/>
      <c r="N50" s="198"/>
      <c r="O50" s="198"/>
      <c r="P50" s="199"/>
      <c r="Q50" s="198"/>
      <c r="R50" s="619"/>
      <c r="S50" s="620"/>
      <c r="T50" s="620"/>
      <c r="U50" s="619"/>
      <c r="V50" s="620"/>
      <c r="W50" s="620"/>
      <c r="X50" s="619"/>
      <c r="Y50" s="620"/>
      <c r="Z50" s="620"/>
      <c r="AA50" s="260"/>
      <c r="AB50" s="260"/>
      <c r="AC50" s="260"/>
      <c r="AD50" s="260"/>
      <c r="AE50" s="260"/>
      <c r="AF50" s="260"/>
      <c r="AG50" s="260"/>
      <c r="AH50" s="260"/>
      <c r="AI50" s="260"/>
    </row>
    <row r="51" spans="1:35" s="256" customFormat="1">
      <c r="A51" s="221" t="s">
        <v>463</v>
      </c>
      <c r="B51" s="257">
        <f>COUNTIFS('NDC MASTER SHEET'!$BA$5:$BA$201,"&lt;&gt;*N/A*", 'NDC MASTER SHEET'!$AT$5:$AT$201,"&lt;&gt;Non-Annex I", 'NDC MASTER SHEET'!$B$5:$B$201, "Asia", 'NDC MASTER SHEET'!$S$5:$S$201, "Yes")</f>
        <v>1</v>
      </c>
      <c r="C51" s="257">
        <f>COUNTIFS('NDC MASTER SHEET'!$BA$5:$BA$201,"&lt;&gt;*N/A*", 'NDC MASTER SHEET'!$AT$5:$AT$201,"Non-Annex I", 'NDC MASTER SHEET'!$B$5:$B$201, "Asia", 'NDC MASTER SHEET'!$S$5:$S$201, "Yes")</f>
        <v>21</v>
      </c>
      <c r="D51" s="257">
        <f>COUNTIFS('NDC MASTER SHEET'!$BA$5:$BA$201,"&lt;&gt;*N/A*", 'NDC MASTER SHEET'!$AT$5:$AT$201,"&lt;&gt;Non-Annex I", 'NDC MASTER SHEET'!$B$5:$B$201, "North Africa &amp; the Middle East", 'NDC MASTER SHEET'!$S$5:$S$201, "Yes")</f>
        <v>1</v>
      </c>
      <c r="E51" s="257">
        <f>COUNTIFS('NDC MASTER SHEET'!$BA$5:$BA$201,"&lt;&gt;*N/A*", 'NDC MASTER SHEET'!$AT$5:$AT$201,"Non-Annex I", 'NDC MASTER SHEET'!$B$5:$B$201, "North Africa &amp; the Middle East", 'NDC MASTER SHEET'!$S$5:$S$201, "Yes")</f>
        <v>14</v>
      </c>
      <c r="F51" s="257">
        <f>COUNTIFS('NDC MASTER SHEET'!$BA$5:$BA$201,"&lt;&gt;*N/A*", 'NDC MASTER SHEET'!$AT$5:$AT$201,"&lt;&gt;Non-Annex I", 'NDC MASTER SHEET'!$B$5:$B$201, "Sub-Saharan Africa", 'NDC MASTER SHEET'!$S$5:$S$201, "Yes")</f>
        <v>0</v>
      </c>
      <c r="G51" s="257">
        <f>COUNTIFS('NDC MASTER SHEET'!$BA$5:$BA$201,"&lt;&gt;*N/A*", 'NDC MASTER SHEET'!$AT$5:$AT$201,"Non-Annex I", 'NDC MASTER SHEET'!$B$5:$B$201, "Sub-Saharan Africa", 'NDC MASTER SHEET'!$S$5:$S$201, "Yes")</f>
        <v>49</v>
      </c>
      <c r="H51" s="257">
        <f>COUNTIFS('NDC MASTER SHEET'!$BA$5:$BA$201,"&lt;&gt;*N/A*", 'NDC MASTER SHEET'!$AT$5:$AT$201,"&lt;&gt;Non-Annex I", 'NDC MASTER SHEET'!$B$5:$B$201, "Eastern Europe &amp; Central Asia", 'NDC MASTER SHEET'!$S$5:$S$201, "Yes")</f>
        <v>3</v>
      </c>
      <c r="I51" s="257">
        <f>COUNTIFS('NDC MASTER SHEET'!$BA$5:$BA$201,"&lt;&gt;*N/A*", 'NDC MASTER SHEET'!$AT$5:$AT$201,"Non-Annex I", 'NDC MASTER SHEET'!$B$5:$B$201, "Eastern Europe &amp; Central Asia", 'NDC MASTER SHEET'!$S$5:$S$201, "Yes")</f>
        <v>14</v>
      </c>
      <c r="J51" s="257">
        <f>COUNTIFS('NDC MASTER SHEET'!$BA$5:$BA$201,"&lt;&gt;*N/A*", 'NDC MASTER SHEET'!$AT$5:$AT$201,"&lt;&gt;Non-Annex I", 'NDC MASTER SHEET'!$B$5:$B$201, "Europe", 'NDC MASTER SHEET'!$S$5:$S$201, "Yes")</f>
        <v>34</v>
      </c>
      <c r="K51" s="257">
        <f>COUNTIFS('NDC MASTER SHEET'!$BA$5:$BA$201,"&lt;&gt;*N/A*", 'NDC MASTER SHEET'!$AT$5:$AT$201,"Non-Annex I", 'NDC MASTER SHEET'!$B$5:$B$201, "Europe", 'NDC MASTER SHEET'!$S$5:$S$201, "Yes")</f>
        <v>2</v>
      </c>
      <c r="L51" s="257">
        <f>COUNTIFS('NDC MASTER SHEET'!$BA$5:$BA$201,"&lt;&gt;*N/A*", 'NDC MASTER SHEET'!$AT$5:$AT$201,"&lt;&gt;Non-Annex I", 'NDC MASTER SHEET'!$B$5:$B$201, "Latin America &amp; the Caribbean", 'NDC MASTER SHEET'!$S$5:$S$201, "Yes")</f>
        <v>0</v>
      </c>
      <c r="M51" s="257">
        <f>COUNTIFS('NDC MASTER SHEET'!$BA$5:$BA$201,"&lt;&gt;*N/A*", 'NDC MASTER SHEET'!$AT$5:$AT$201,"Non-Annex I", 'NDC MASTER SHEET'!$B$5:$B$201, "Latin America &amp; the Caribbean", 'NDC MASTER SHEET'!$S$5:$S$201, "Yes")</f>
        <v>33</v>
      </c>
      <c r="N51" s="257">
        <f>COUNTIFS('NDC MASTER SHEET'!$BA$5:$BA$201,"&lt;&gt;*N/A*", 'NDC MASTER SHEET'!$AT$5:$AT$201,"&lt;&gt;Non-Annex I", 'NDC MASTER SHEET'!$B$5:$B$201, "Northern America", 'NDC MASTER SHEET'!$S$5:$S$201, "Yes")</f>
        <v>2</v>
      </c>
      <c r="O51" s="257">
        <f>COUNTIFS('NDC MASTER SHEET'!$BA$5:$BA$201,"&lt;&gt;*N/A*", 'NDC MASTER SHEET'!$AT$5:$AT$201,"Non-Annex I", 'NDC MASTER SHEET'!$B$5:$B$201, "Northern America", 'NDC MASTER SHEET'!$S$5:$S$201, "Yes")</f>
        <v>0</v>
      </c>
      <c r="P51" s="257">
        <f>COUNTIFS('NDC MASTER SHEET'!$BA$5:$BA$201,"&lt;&gt;*N/A*", 'NDC MASTER SHEET'!$AT$5:$AT$201,"&lt;&gt;Non-Annex I", 'NDC MASTER SHEET'!$B$5:$B$201, "Oceania", 'NDC MASTER SHEET'!$S$5:$S$201, "Yes")</f>
        <v>2</v>
      </c>
      <c r="Q51" s="257">
        <f>COUNTIFS('NDC MASTER SHEET'!$BA$5:$BA$201,"&lt;&gt;*N/A*", 'NDC MASTER SHEET'!$AT$5:$AT$201,"Non-Annex I", 'NDC MASTER SHEET'!$B$5:$B$201, "Oceania", 'NDC MASTER SHEET'!$S$5:$S$201, "Yes")</f>
        <v>13</v>
      </c>
      <c r="R51" s="621">
        <f>B51+D51+F51+H51+J51+L51+N51+P51</f>
        <v>43</v>
      </c>
      <c r="S51" s="621">
        <f>C51+E51+G51+I51+K51+M51+O51+Q51</f>
        <v>146</v>
      </c>
      <c r="T51" s="621">
        <f>R51+S51</f>
        <v>189</v>
      </c>
      <c r="U51" s="614">
        <f>R51/(COUNTIFS('NDC MASTER SHEET'!$AT$5:$AT$201,"&lt;&gt;Non-Annex I",'NDC MASTER SHEET'!$BA$5:$BA$201,"&lt;&gt;*N/A*"))</f>
        <v>1</v>
      </c>
      <c r="V51" s="615">
        <f>S51/(COUNTIFS('NDC MASTER SHEET'!$AT$5:$AT$201,"Non-Annex I",'NDC MASTER SHEET'!$BA$5:$BA$201,"&lt;&gt;*N/A*"))</f>
        <v>0.9668874172185431</v>
      </c>
      <c r="W51" s="615">
        <f t="shared" ref="W51:W57" si="1">T51/$J$32</f>
        <v>0.97422680412371132</v>
      </c>
      <c r="X51" s="615">
        <f>R51/(COUNTIFS('NDC MASTER SHEET'!$AT$5:$AT$201,"&lt;&gt;Non-Annex I"))</f>
        <v>1</v>
      </c>
      <c r="Y51" s="615">
        <f>S51/(COUNTIFS('NDC MASTER SHEET'!$AT$5:$AT$201,"Non-Annex I"))</f>
        <v>0.94805194805194803</v>
      </c>
      <c r="Z51" s="616">
        <f t="shared" ref="Z51:Z57" si="2">T51/$J$30</f>
        <v>0.95939086294416243</v>
      </c>
      <c r="AA51" s="260"/>
      <c r="AB51" s="260"/>
      <c r="AC51" s="260"/>
      <c r="AD51" s="260"/>
      <c r="AE51" s="260"/>
      <c r="AF51" s="260"/>
      <c r="AG51" s="260"/>
      <c r="AH51" s="260"/>
      <c r="AI51" s="260"/>
    </row>
    <row r="52" spans="1:35" s="256" customFormat="1">
      <c r="A52" s="222" t="s">
        <v>464</v>
      </c>
      <c r="B52" s="258">
        <f>COUNTIFS('NDC MASTER SHEET'!$BA$5:$BA$201,"&lt;&gt;*N/A*", 'NDC MASTER SHEET'!$AT$5:$AT$201,"&lt;&gt;Non-Annex I", 'NDC MASTER SHEET'!$B$5:$B$201, "Asia", 'NDC MASTER SHEET'!$T$5:$T$201, "Yes")</f>
        <v>1</v>
      </c>
      <c r="C52" s="258">
        <f>COUNTIFS('NDC MASTER SHEET'!$BA$5:$BA$201,"&lt;&gt;*N/A*", 'NDC MASTER SHEET'!$AT$5:$AT$201,"Non-Annex I", 'NDC MASTER SHEET'!$B$5:$B$201, "Asia", 'NDC MASTER SHEET'!$T$5:$T$201, "Yes")</f>
        <v>17</v>
      </c>
      <c r="D52" s="258">
        <f>COUNTIFS('NDC MASTER SHEET'!$BA$5:$BA$201,"&lt;&gt;*N/A*", 'NDC MASTER SHEET'!$AT$5:$AT$201,"&lt;&gt;Non-Annex I", 'NDC MASTER SHEET'!$B$5:$B$201, "North Africa &amp; the Middle East", 'NDC MASTER SHEET'!$T$5:$T$201, "Yes")</f>
        <v>1</v>
      </c>
      <c r="E52" s="258">
        <f>COUNTIFS('NDC MASTER SHEET'!$BA$5:$BA$201,"&lt;&gt;*N/A*", 'NDC MASTER SHEET'!$AT$5:$AT$201,"Non-Annex I", 'NDC MASTER SHEET'!$B$5:$B$201, "North Africa &amp; the Middle East", 'NDC MASTER SHEET'!$T$5:$T$201, "Yes")</f>
        <v>14</v>
      </c>
      <c r="F52" s="258">
        <f>COUNTIFS('NDC MASTER SHEET'!$BA$5:$BA$201,"&lt;&gt;*N/A*", 'NDC MASTER SHEET'!$AT$5:$AT$201,"&lt;&gt;Non-Annex I", 'NDC MASTER SHEET'!$B$5:$B$201, "Sub-Saharan Africa", 'NDC MASTER SHEET'!$T$5:$T$201, "Yes")</f>
        <v>0</v>
      </c>
      <c r="G52" s="258">
        <f>COUNTIFS('NDC MASTER SHEET'!$BA$5:$BA$201,"&lt;&gt;*N/A*", 'NDC MASTER SHEET'!$AT$5:$AT$201,"Non-Annex I", 'NDC MASTER SHEET'!$B$5:$B$201, "Sub-Saharan Africa", 'NDC MASTER SHEET'!$T$5:$T$201, "Yes")</f>
        <v>47</v>
      </c>
      <c r="H52" s="258">
        <f>COUNTIFS('NDC MASTER SHEET'!$BA$5:$BA$201,"&lt;&gt;*N/A*", 'NDC MASTER SHEET'!$AT$5:$AT$201,"&lt;&gt;Non-Annex I", 'NDC MASTER SHEET'!$B$5:$B$201, "Eastern Europe &amp; Central Asia", 'NDC MASTER SHEET'!$T$5:$T$201, "Yes")</f>
        <v>3</v>
      </c>
      <c r="I52" s="258">
        <f>COUNTIFS('NDC MASTER SHEET'!$BA$5:$BA$201,"&lt;&gt;*N/A*", 'NDC MASTER SHEET'!$AT$5:$AT$201,"Non-Annex I", 'NDC MASTER SHEET'!$B$5:$B$201, "Eastern Europe &amp; Central Asia", 'NDC MASTER SHEET'!$T$5:$T$201, "Yes")</f>
        <v>13</v>
      </c>
      <c r="J52" s="258">
        <f>COUNTIFS('NDC MASTER SHEET'!$BA$5:$BA$201,"&lt;&gt;*N/A*", 'NDC MASTER SHEET'!$AT$5:$AT$201,"&lt;&gt;Non-Annex I", 'NDC MASTER SHEET'!$B$5:$B$201, "Europe", 'NDC MASTER SHEET'!$T$5:$T$201, "Yes")</f>
        <v>34</v>
      </c>
      <c r="K52" s="258">
        <f>COUNTIFS('NDC MASTER SHEET'!$BA$5:$BA$201,"&lt;&gt;*N/A*", 'NDC MASTER SHEET'!$AT$5:$AT$201,"Non-Annex I", 'NDC MASTER SHEET'!$B$5:$B$201, "Europe", 'NDC MASTER SHEET'!$T$5:$T$201, "Yes")</f>
        <v>2</v>
      </c>
      <c r="L52" s="258">
        <f>COUNTIFS('NDC MASTER SHEET'!$BA$5:$BA$201,"&lt;&gt;*N/A*", 'NDC MASTER SHEET'!$AT$5:$AT$201,"&lt;&gt;Non-Annex I", 'NDC MASTER SHEET'!$B$5:$B$201, "Latin America &amp; the Caribbean", 'NDC MASTER SHEET'!$T$5:$T$201, "Yes")</f>
        <v>0</v>
      </c>
      <c r="M52" s="258">
        <f>COUNTIFS('NDC MASTER SHEET'!$BA$5:$BA$201,"&lt;&gt;*N/A*", 'NDC MASTER SHEET'!$AT$5:$AT$201,"Non-Annex I", 'NDC MASTER SHEET'!$B$5:$B$201, "Latin America &amp; the Caribbean", 'NDC MASTER SHEET'!$T$5:$T$201, "Yes")</f>
        <v>30</v>
      </c>
      <c r="N52" s="258">
        <f>COUNTIFS('NDC MASTER SHEET'!$BA$5:$BA$201,"&lt;&gt;*N/A*", 'NDC MASTER SHEET'!$AT$5:$AT$201,"&lt;&gt;Non-Annex I", 'NDC MASTER SHEET'!$B$5:$B$201, "Northern America", 'NDC MASTER SHEET'!$T$5:$T$201, "Yes")</f>
        <v>2</v>
      </c>
      <c r="O52" s="258">
        <f>COUNTIFS('NDC MASTER SHEET'!$BA$5:$BA$201,"&lt;&gt;*N/A*", 'NDC MASTER SHEET'!$AT$5:$AT$201,"Non-Annex I", 'NDC MASTER SHEET'!$B$5:$B$201, "Northern America", 'NDC MASTER SHEET'!$T$5:$T$201, "Yes")</f>
        <v>0</v>
      </c>
      <c r="P52" s="258">
        <f>COUNTIFS('NDC MASTER SHEET'!$BA$5:$BA$201,"&lt;&gt;*N/A*", 'NDC MASTER SHEET'!$AT$5:$AT$201,"&lt;&gt;Non-Annex I", 'NDC MASTER SHEET'!$B$5:$B$201, "Oceania", 'NDC MASTER SHEET'!$T$5:$T$201, "Yes")</f>
        <v>2</v>
      </c>
      <c r="Q52" s="258">
        <f>COUNTIFS('NDC MASTER SHEET'!$BA$5:$BA$201,"&lt;&gt;*N/A*", 'NDC MASTER SHEET'!$AT$5:$AT$201,"Non-Annex I", 'NDC MASTER SHEET'!$B$5:$B$201, "Oceania", 'NDC MASTER SHEET'!$T$5:$T$201, "Yes")</f>
        <v>8</v>
      </c>
      <c r="R52" s="622">
        <f t="shared" ref="R52:S57" si="3">B52+D52+F52+H52+J52+L52+N52+P52</f>
        <v>43</v>
      </c>
      <c r="S52" s="622">
        <f t="shared" si="3"/>
        <v>131</v>
      </c>
      <c r="T52" s="622">
        <f t="shared" ref="T52:T57" si="4">R52+S52</f>
        <v>174</v>
      </c>
      <c r="U52" s="617">
        <f>R52/(COUNTIFS('NDC MASTER SHEET'!$AT$5:$AT$201,"&lt;&gt;Non-Annex I",'NDC MASTER SHEET'!$BA$5:$BA$201,"&lt;&gt;*N/A*"))</f>
        <v>1</v>
      </c>
      <c r="V52" s="375">
        <f>S52/(COUNTIFS('NDC MASTER SHEET'!$AT$5:$AT$201,"Non-Annex I",'NDC MASTER SHEET'!$BA$5:$BA$201,"&lt;&gt;*N/A*"))</f>
        <v>0.86754966887417218</v>
      </c>
      <c r="W52" s="375">
        <f t="shared" si="1"/>
        <v>0.89690721649484539</v>
      </c>
      <c r="X52" s="375">
        <f>R52/(COUNTIFS('NDC MASTER SHEET'!$AT$5:$AT$201,"&lt;&gt;Non-Annex I"))</f>
        <v>1</v>
      </c>
      <c r="Y52" s="375">
        <f>S52/(COUNTIFS('NDC MASTER SHEET'!$AT$5:$AT$201,"Non-Annex I"))</f>
        <v>0.85064935064935066</v>
      </c>
      <c r="Z52" s="618">
        <f t="shared" si="2"/>
        <v>0.88324873096446699</v>
      </c>
      <c r="AA52" s="260"/>
      <c r="AB52" s="260"/>
      <c r="AC52" s="260"/>
      <c r="AD52" s="260"/>
      <c r="AE52" s="260"/>
      <c r="AF52" s="260"/>
      <c r="AG52" s="260"/>
      <c r="AH52" s="260"/>
      <c r="AI52" s="260"/>
    </row>
    <row r="53" spans="1:35" s="256" customFormat="1">
      <c r="A53" s="223" t="s">
        <v>465</v>
      </c>
      <c r="B53" s="258">
        <f>COUNTIFS('NDC MASTER SHEET'!$BA$5:$BA$201,"&lt;&gt;*N/A*", 'NDC MASTER SHEET'!$AT$5:$AT$201,"&lt;&gt;Non-Annex I", 'NDC MASTER SHEET'!$B$5:$B$201, "Asia", 'NDC MASTER SHEET'!$U$5:$U$201, "Yes")</f>
        <v>1</v>
      </c>
      <c r="C53" s="258">
        <f>COUNTIFS('NDC MASTER SHEET'!$BA$5:$BA$201,"&lt;&gt;*N/A*", 'NDC MASTER SHEET'!$AT$5:$AT$201,"Non-Annex I", 'NDC MASTER SHEET'!$B$5:$B$201, "Asia", 'NDC MASTER SHEET'!$U$5:$U$201, "Yes")</f>
        <v>17</v>
      </c>
      <c r="D53" s="258">
        <f>COUNTIFS('NDC MASTER SHEET'!$BA$5:$BA$201,"&lt;&gt;*N/A*", 'NDC MASTER SHEET'!$AT$5:$AT$201,"&lt;&gt;Non-Annex I", 'NDC MASTER SHEET'!$B$5:$B$201, "North Africa &amp; the Middle East", 'NDC MASTER SHEET'!$U$5:$U$201, "Yes")</f>
        <v>1</v>
      </c>
      <c r="E53" s="258">
        <f>COUNTIFS('NDC MASTER SHEET'!$BA$5:$BA$201,"&lt;&gt;*N/A*", 'NDC MASTER SHEET'!$AT$5:$AT$201,"Non-Annex I", 'NDC MASTER SHEET'!$B$5:$B$201, "North Africa &amp; the Middle East", 'NDC MASTER SHEET'!$U$5:$U$201, "Yes")</f>
        <v>13</v>
      </c>
      <c r="F53" s="258">
        <f>COUNTIFS('NDC MASTER SHEET'!$BA$5:$BA$201,"&lt;&gt;*N/A*", 'NDC MASTER SHEET'!$AT$5:$AT$201,"&lt;&gt;Non-Annex I", 'NDC MASTER SHEET'!$B$5:$B$201, "Sub-Saharan Africa", 'NDC MASTER SHEET'!$U$5:$U$201, "Yes")</f>
        <v>0</v>
      </c>
      <c r="G53" s="258">
        <f>COUNTIFS('NDC MASTER SHEET'!$BA$5:$BA$201,"&lt;&gt;*N/A*", 'NDC MASTER SHEET'!$AT$5:$AT$201,"Non-Annex I", 'NDC MASTER SHEET'!$B$5:$B$201, "Sub-Saharan Africa", 'NDC MASTER SHEET'!$U$5:$U$201, "Yes")</f>
        <v>45</v>
      </c>
      <c r="H53" s="258">
        <f>COUNTIFS('NDC MASTER SHEET'!$BA$5:$BA$201,"&lt;&gt;*N/A*", 'NDC MASTER SHEET'!$AT$5:$AT$201,"&lt;&gt;Non-Annex I", 'NDC MASTER SHEET'!$B$5:$B$201, "Eastern Europe &amp; Central Asia", 'NDC MASTER SHEET'!$U$5:$U$201, "Yes")</f>
        <v>3</v>
      </c>
      <c r="I53" s="258">
        <f>COUNTIFS('NDC MASTER SHEET'!$BA$5:$BA$201,"&lt;&gt;*N/A*", 'NDC MASTER SHEET'!$AT$5:$AT$201,"Non-Annex I", 'NDC MASTER SHEET'!$B$5:$B$201, "Eastern Europe &amp; Central Asia", 'NDC MASTER SHEET'!$U$5:$U$201, "Yes")</f>
        <v>13</v>
      </c>
      <c r="J53" s="258">
        <f>COUNTIFS('NDC MASTER SHEET'!$BA$5:$BA$201,"&lt;&gt;*N/A*", 'NDC MASTER SHEET'!$AT$5:$AT$201,"&lt;&gt;Non-Annex I", 'NDC MASTER SHEET'!$B$5:$B$201, "Europe", 'NDC MASTER SHEET'!$U$5:$U$201, "Yes")</f>
        <v>34</v>
      </c>
      <c r="K53" s="258">
        <f>COUNTIFS('NDC MASTER SHEET'!$BA$5:$BA$201,"&lt;&gt;*N/A*", 'NDC MASTER SHEET'!$AT$5:$AT$201,"Non-Annex I", 'NDC MASTER SHEET'!$B$5:$B$201, "Europe", 'NDC MASTER SHEET'!$U$5:$U$201, "Yes")</f>
        <v>2</v>
      </c>
      <c r="L53" s="258">
        <f>COUNTIFS('NDC MASTER SHEET'!$BA$5:$BA$201,"&lt;&gt;*N/A*", 'NDC MASTER SHEET'!$AT$5:$AT$201,"&lt;&gt;Non-Annex I", 'NDC MASTER SHEET'!$B$5:$B$201, "Latin America &amp; the Caribbean", 'NDC MASTER SHEET'!$U$5:$U$201, "Yes")</f>
        <v>0</v>
      </c>
      <c r="M53" s="258">
        <f>COUNTIFS('NDC MASTER SHEET'!$BA$5:$BA$201,"&lt;&gt;*N/A*", 'NDC MASTER SHEET'!$AT$5:$AT$201,"Non-Annex I", 'NDC MASTER SHEET'!$B$5:$B$201, "Latin America &amp; the Caribbean", 'NDC MASTER SHEET'!$U$5:$U$201, "Yes")</f>
        <v>28</v>
      </c>
      <c r="N53" s="258">
        <f>COUNTIFS('NDC MASTER SHEET'!$BA$5:$BA$201,"&lt;&gt;*N/A*", 'NDC MASTER SHEET'!$AT$5:$AT$201,"&lt;&gt;Non-Annex I", 'NDC MASTER SHEET'!$B$5:$B$201, "Northern America", 'NDC MASTER SHEET'!$U$5:$U$201, "Yes")</f>
        <v>2</v>
      </c>
      <c r="O53" s="258">
        <f>COUNTIFS('NDC MASTER SHEET'!$BA$5:$BA$201,"&lt;&gt;*N/A*", 'NDC MASTER SHEET'!$AT$5:$AT$201,"Non-Annex I", 'NDC MASTER SHEET'!$B$5:$B$201, "Northern America", 'NDC MASTER SHEET'!$U$5:$U$201, "Yes")</f>
        <v>0</v>
      </c>
      <c r="P53" s="258">
        <f>COUNTIFS('NDC MASTER SHEET'!$BA$5:$BA$201,"&lt;&gt;*N/A*", 'NDC MASTER SHEET'!$AT$5:$AT$201,"&lt;&gt;Non-Annex I", 'NDC MASTER SHEET'!$B$5:$B$201, "Oceania", 'NDC MASTER SHEET'!$U$5:$U$201, "Yes")</f>
        <v>2</v>
      </c>
      <c r="Q53" s="258">
        <f>COUNTIFS('NDC MASTER SHEET'!$BA$5:$BA$201,"&lt;&gt;*N/A*", 'NDC MASTER SHEET'!$AT$5:$AT$201,"Non-Annex I", 'NDC MASTER SHEET'!$B$5:$B$201, "Oceania", 'NDC MASTER SHEET'!$U$5:$U$201, "Yes")</f>
        <v>5</v>
      </c>
      <c r="R53" s="622">
        <f t="shared" si="3"/>
        <v>43</v>
      </c>
      <c r="S53" s="622">
        <f t="shared" si="3"/>
        <v>123</v>
      </c>
      <c r="T53" s="622">
        <f t="shared" si="4"/>
        <v>166</v>
      </c>
      <c r="U53" s="617">
        <f>R53/(COUNTIFS('NDC MASTER SHEET'!$AT$5:$AT$201,"&lt;&gt;Non-Annex I",'NDC MASTER SHEET'!$BA$5:$BA$201,"&lt;&gt;*N/A*"))</f>
        <v>1</v>
      </c>
      <c r="V53" s="375">
        <f>S53/(COUNTIFS('NDC MASTER SHEET'!$AT$5:$AT$201,"Non-Annex I",'NDC MASTER SHEET'!$BA$5:$BA$201,"&lt;&gt;*N/A*"))</f>
        <v>0.81456953642384111</v>
      </c>
      <c r="W53" s="375">
        <f t="shared" si="1"/>
        <v>0.85567010309278346</v>
      </c>
      <c r="X53" s="375">
        <f>R53/(COUNTIFS('NDC MASTER SHEET'!$AT$5:$AT$201,"&lt;&gt;Non-Annex I"))</f>
        <v>1</v>
      </c>
      <c r="Y53" s="375">
        <f>S53/(COUNTIFS('NDC MASTER SHEET'!$AT$5:$AT$201,"Non-Annex I"))</f>
        <v>0.79870129870129869</v>
      </c>
      <c r="Z53" s="618">
        <f t="shared" si="2"/>
        <v>0.84263959390862941</v>
      </c>
      <c r="AA53" s="260"/>
      <c r="AB53" s="260"/>
      <c r="AC53" s="260"/>
      <c r="AD53" s="260"/>
      <c r="AE53" s="260"/>
      <c r="AF53" s="260"/>
      <c r="AG53" s="260"/>
      <c r="AH53" s="260"/>
      <c r="AI53" s="260"/>
    </row>
    <row r="54" spans="1:35" s="256" customFormat="1">
      <c r="A54" s="223" t="s">
        <v>466</v>
      </c>
      <c r="B54" s="258">
        <f>COUNTIFS('NDC MASTER SHEET'!$BA$5:$BA$201,"&lt;&gt;*N/A*", 'NDC MASTER SHEET'!$AT$5:$AT$201,"&lt;&gt;Non-Annex I", 'NDC MASTER SHEET'!$B$5:$B$201, "Asia", 'NDC MASTER SHEET'!$V$5:$V$201, "Yes")</f>
        <v>1</v>
      </c>
      <c r="C54" s="258">
        <f>COUNTIFS('NDC MASTER SHEET'!$BA$5:$BA$201,"&lt;&gt;*N/A*", 'NDC MASTER SHEET'!$AT$5:$AT$201,"Non-Annex I", 'NDC MASTER SHEET'!$B$5:$B$201, "Asia", 'NDC MASTER SHEET'!$V$5:$V$201, "Yes")</f>
        <v>9</v>
      </c>
      <c r="D54" s="258">
        <f>COUNTIFS('NDC MASTER SHEET'!$BA$5:$BA$201,"&lt;&gt;*N/A*", 'NDC MASTER SHEET'!$AT$5:$AT$201,"&lt;&gt;Non-Annex I", 'NDC MASTER SHEET'!$B$5:$B$201, "North Africa &amp; the Middle East", 'NDC MASTER SHEET'!$V$5:$V$201, "Yes")</f>
        <v>1</v>
      </c>
      <c r="E54" s="258">
        <f>COUNTIFS('NDC MASTER SHEET'!$BA$5:$BA$201,"&lt;&gt;*N/A*", 'NDC MASTER SHEET'!$AT$5:$AT$201,"Non-Annex I", 'NDC MASTER SHEET'!$B$5:$B$201, "North Africa &amp; the Middle East", 'NDC MASTER SHEET'!$V$5:$V$201, "Yes")</f>
        <v>4</v>
      </c>
      <c r="F54" s="258">
        <f>COUNTIFS('NDC MASTER SHEET'!$BA$5:$BA$201,"&lt;&gt;*N/A*", 'NDC MASTER SHEET'!$AT$5:$AT$201,"&lt;&gt;Non-Annex I", 'NDC MASTER SHEET'!$B$5:$B$201, "Sub-Saharan Africa", 'NDC MASTER SHEET'!$V$5:$V$201, "Yes")</f>
        <v>0</v>
      </c>
      <c r="G54" s="258">
        <f>COUNTIFS('NDC MASTER SHEET'!$BA$5:$BA$201,"&lt;&gt;*N/A*", 'NDC MASTER SHEET'!$AT$5:$AT$201,"Non-Annex I", 'NDC MASTER SHEET'!$B$5:$B$201, "Sub-Saharan Africa", 'NDC MASTER SHEET'!$V$5:$V$201, "Yes")</f>
        <v>17</v>
      </c>
      <c r="H54" s="258">
        <f>COUNTIFS('NDC MASTER SHEET'!$BA$5:$BA$201,"&lt;&gt;*N/A*", 'NDC MASTER SHEET'!$AT$5:$AT$201,"&lt;&gt;Non-Annex I", 'NDC MASTER SHEET'!$B$5:$B$201, "Eastern Europe &amp; Central Asia", 'NDC MASTER SHEET'!$V$5:$V$201, "Yes")</f>
        <v>3</v>
      </c>
      <c r="I54" s="258">
        <f>COUNTIFS('NDC MASTER SHEET'!$BA$5:$BA$201,"&lt;&gt;*N/A*", 'NDC MASTER SHEET'!$AT$5:$AT$201,"Non-Annex I", 'NDC MASTER SHEET'!$B$5:$B$201, "Eastern Europe &amp; Central Asia", 'NDC MASTER SHEET'!$V$5:$V$201, "Yes")</f>
        <v>10</v>
      </c>
      <c r="J54" s="258">
        <f>COUNTIFS('NDC MASTER SHEET'!$BA$5:$BA$201,"&lt;&gt;*N/A*", 'NDC MASTER SHEET'!$AT$5:$AT$201,"&lt;&gt;Non-Annex I", 'NDC MASTER SHEET'!$B$5:$B$201, "Europe", 'NDC MASTER SHEET'!$V$5:$V$201, "Yes")</f>
        <v>34</v>
      </c>
      <c r="K54" s="258">
        <f>COUNTIFS('NDC MASTER SHEET'!$BA$5:$BA$201,"&lt;&gt;*N/A*", 'NDC MASTER SHEET'!$AT$5:$AT$201,"Non-Annex I", 'NDC MASTER SHEET'!$B$5:$B$201, "Europe", 'NDC MASTER SHEET'!$V$5:$V$201, "Yes")</f>
        <v>2</v>
      </c>
      <c r="L54" s="258">
        <f>COUNTIFS('NDC MASTER SHEET'!$BA$5:$BA$201,"&lt;&gt;*N/A*", 'NDC MASTER SHEET'!$AT$5:$AT$201,"&lt;&gt;Non-Annex I", 'NDC MASTER SHEET'!$B$5:$B$201, "Latin America &amp; the Caribbean", 'NDC MASTER SHEET'!$V$5:$V$201, "Yes")</f>
        <v>0</v>
      </c>
      <c r="M54" s="258">
        <f>COUNTIFS('NDC MASTER SHEET'!$BA$5:$BA$201,"&lt;&gt;*N/A*", 'NDC MASTER SHEET'!$AT$5:$AT$201,"Non-Annex I", 'NDC MASTER SHEET'!$B$5:$B$201, "Latin America &amp; the Caribbean", 'NDC MASTER SHEET'!$V$5:$V$201, "Yes")</f>
        <v>17</v>
      </c>
      <c r="N54" s="258">
        <f>COUNTIFS('NDC MASTER SHEET'!$BA$5:$BA$201,"&lt;&gt;*N/A*", 'NDC MASTER SHEET'!$AT$5:$AT$201,"&lt;&gt;Non-Annex I", 'NDC MASTER SHEET'!$B$5:$B$201, "Northern America", 'NDC MASTER SHEET'!$V$5:$V$201, "Yes")</f>
        <v>2</v>
      </c>
      <c r="O54" s="258">
        <f>COUNTIFS('NDC MASTER SHEET'!$BA$5:$BA$201,"&lt;&gt;*N/A*", 'NDC MASTER SHEET'!$AT$5:$AT$201,"Non-Annex I", 'NDC MASTER SHEET'!$B$5:$B$201, "Northern America", 'NDC MASTER SHEET'!$V$5:$V$201, "Yes")</f>
        <v>0</v>
      </c>
      <c r="P54" s="258">
        <f>COUNTIFS('NDC MASTER SHEET'!$BA$5:$BA$201,"&lt;&gt;*N/A*", 'NDC MASTER SHEET'!$AT$5:$AT$201,"&lt;&gt;Non-Annex I", 'NDC MASTER SHEET'!$B$5:$B$201, "Oceania", 'NDC MASTER SHEET'!$V$5:$V$201, "Yes")</f>
        <v>2</v>
      </c>
      <c r="Q54" s="258">
        <f>COUNTIFS('NDC MASTER SHEET'!$BA$5:$BA$201,"&lt;&gt;*N/A*", 'NDC MASTER SHEET'!$AT$5:$AT$201,"Non-Annex I", 'NDC MASTER SHEET'!$B$5:$B$201, "Oceania", 'NDC MASTER SHEET'!$V$5:$V$201, "Yes")</f>
        <v>1</v>
      </c>
      <c r="R54" s="622">
        <f t="shared" si="3"/>
        <v>43</v>
      </c>
      <c r="S54" s="622">
        <f t="shared" si="3"/>
        <v>60</v>
      </c>
      <c r="T54" s="622">
        <f t="shared" si="4"/>
        <v>103</v>
      </c>
      <c r="U54" s="617">
        <f>R54/(COUNTIFS('NDC MASTER SHEET'!$AT$5:$AT$201,"&lt;&gt;Non-Annex I",'NDC MASTER SHEET'!$BA$5:$BA$201,"&lt;&gt;*N/A*"))</f>
        <v>1</v>
      </c>
      <c r="V54" s="375">
        <f>S54/(COUNTIFS('NDC MASTER SHEET'!$AT$5:$AT$201,"Non-Annex I",'NDC MASTER SHEET'!$BA$5:$BA$201,"&lt;&gt;*N/A*"))</f>
        <v>0.39735099337748342</v>
      </c>
      <c r="W54" s="375">
        <f t="shared" si="1"/>
        <v>0.53092783505154639</v>
      </c>
      <c r="X54" s="375">
        <f>R54/(COUNTIFS('NDC MASTER SHEET'!$AT$5:$AT$201,"&lt;&gt;Non-Annex I"))</f>
        <v>1</v>
      </c>
      <c r="Y54" s="375">
        <f>S54/(COUNTIFS('NDC MASTER SHEET'!$AT$5:$AT$201,"Non-Annex I"))</f>
        <v>0.38961038961038963</v>
      </c>
      <c r="Z54" s="618">
        <f t="shared" si="2"/>
        <v>0.52284263959390864</v>
      </c>
      <c r="AA54" s="260"/>
      <c r="AB54" s="260"/>
      <c r="AC54" s="260"/>
      <c r="AD54" s="260"/>
      <c r="AE54" s="260"/>
      <c r="AF54" s="260"/>
      <c r="AG54" s="260"/>
      <c r="AH54" s="260"/>
      <c r="AI54" s="260"/>
    </row>
    <row r="55" spans="1:35" s="256" customFormat="1">
      <c r="A55" s="225" t="s">
        <v>467</v>
      </c>
      <c r="B55" s="258">
        <f>COUNTIFS('NDC MASTER SHEET'!$BA$5:$BA$201,"&lt;&gt;*N/A*", 'NDC MASTER SHEET'!$AT$5:$AT$201,"&lt;&gt;Non-Annex I", 'NDC MASTER SHEET'!$B$5:$B$201, "Asia", 'NDC MASTER SHEET'!$W$5:$W$201, "Yes")</f>
        <v>1</v>
      </c>
      <c r="C55" s="258">
        <f>COUNTIFS('NDC MASTER SHEET'!$BA$5:$BA$201,"&lt;&gt;*N/A*", 'NDC MASTER SHEET'!$AT$5:$AT$201,"Non-Annex I", 'NDC MASTER SHEET'!$B$5:$B$201, "Asia", 'NDC MASTER SHEET'!$W$5:$W$201, "Yes")</f>
        <v>6</v>
      </c>
      <c r="D55" s="258">
        <f>COUNTIFS('NDC MASTER SHEET'!$BA$5:$BA$201,"&lt;&gt;*N/A*", 'NDC MASTER SHEET'!$AT$5:$AT$201,"&lt;&gt;Non-Annex I", 'NDC MASTER SHEET'!$B$5:$B$201, "North Africa &amp; the Middle East", 'NDC MASTER SHEET'!$W$5:$W$201, "Yes")</f>
        <v>1</v>
      </c>
      <c r="E55" s="258">
        <f>COUNTIFS('NDC MASTER SHEET'!$BA$5:$BA$201,"&lt;&gt;*N/A*", 'NDC MASTER SHEET'!$AT$5:$AT$201,"Non-Annex I", 'NDC MASTER SHEET'!$B$5:$B$201, "North Africa &amp; the Middle East", 'NDC MASTER SHEET'!$W$5:$W$201, "Yes")</f>
        <v>2</v>
      </c>
      <c r="F55" s="258">
        <f>COUNTIFS('NDC MASTER SHEET'!$BA$5:$BA$201,"&lt;&gt;*N/A*", 'NDC MASTER SHEET'!$AT$5:$AT$201,"&lt;&gt;Non-Annex I", 'NDC MASTER SHEET'!$B$5:$B$201, "Sub-Saharan Africa", 'NDC MASTER SHEET'!$W$5:$W$201, "Yes")</f>
        <v>0</v>
      </c>
      <c r="G55" s="258">
        <f>COUNTIFS('NDC MASTER SHEET'!$BA$5:$BA$201,"&lt;&gt;*N/A*", 'NDC MASTER SHEET'!$AT$5:$AT$201,"Non-Annex I", 'NDC MASTER SHEET'!$B$5:$B$201, "Sub-Saharan Africa", 'NDC MASTER SHEET'!$W$5:$W$201, "Yes")</f>
        <v>4</v>
      </c>
      <c r="H55" s="258">
        <f>COUNTIFS('NDC MASTER SHEET'!$BA$5:$BA$201,"&lt;&gt;*N/A*", 'NDC MASTER SHEET'!$AT$5:$AT$201,"&lt;&gt;Non-Annex I", 'NDC MASTER SHEET'!$B$5:$B$201, "Eastern Europe &amp; Central Asia", 'NDC MASTER SHEET'!$W$5:$W$201, "Yes")</f>
        <v>3</v>
      </c>
      <c r="I55" s="258">
        <f>COUNTIFS('NDC MASTER SHEET'!$BA$5:$BA$201,"&lt;&gt;*N/A*", 'NDC MASTER SHEET'!$AT$5:$AT$201,"Non-Annex I", 'NDC MASTER SHEET'!$B$5:$B$201, "Eastern Europe &amp; Central Asia", 'NDC MASTER SHEET'!$W$5:$W$201, "Yes")</f>
        <v>5</v>
      </c>
      <c r="J55" s="258">
        <f>COUNTIFS('NDC MASTER SHEET'!$BA$5:$BA$201,"&lt;&gt;*N/A*", 'NDC MASTER SHEET'!$AT$5:$AT$201,"&lt;&gt;Non-Annex I", 'NDC MASTER SHEET'!$B$5:$B$201, "Europe", 'NDC MASTER SHEET'!$W$5:$W$201, "Yes")</f>
        <v>34</v>
      </c>
      <c r="K55" s="258">
        <f>COUNTIFS('NDC MASTER SHEET'!$BA$5:$BA$201,"&lt;&gt;*N/A*", 'NDC MASTER SHEET'!$AT$5:$AT$201,"Non-Annex I", 'NDC MASTER SHEET'!$B$5:$B$201, "Europe", 'NDC MASTER SHEET'!$W$5:$W$201, "Yes")</f>
        <v>2</v>
      </c>
      <c r="L55" s="258">
        <f>COUNTIFS('NDC MASTER SHEET'!$BA$5:$BA$201,"&lt;&gt;*N/A*", 'NDC MASTER SHEET'!$AT$5:$AT$201,"&lt;&gt;Non-Annex I", 'NDC MASTER SHEET'!$B$5:$B$201, "Latin America &amp; the Caribbean", 'NDC MASTER SHEET'!$W$5:$W$201, "Yes")</f>
        <v>0</v>
      </c>
      <c r="M55" s="258">
        <f>COUNTIFS('NDC MASTER SHEET'!$BA$5:$BA$201,"&lt;&gt;*N/A*", 'NDC MASTER SHEET'!$AT$5:$AT$201,"Non-Annex I", 'NDC MASTER SHEET'!$B$5:$B$201, "Latin America &amp; the Caribbean", 'NDC MASTER SHEET'!$W$5:$W$201, "Yes")</f>
        <v>9</v>
      </c>
      <c r="N55" s="258">
        <f>COUNTIFS('NDC MASTER SHEET'!$BA$5:$BA$201,"&lt;&gt;*N/A*", 'NDC MASTER SHEET'!$AT$5:$AT$201,"&lt;&gt;Non-Annex I", 'NDC MASTER SHEET'!$B$5:$B$201, "Northern America", 'NDC MASTER SHEET'!$W$5:$W$201, "Yes")</f>
        <v>2</v>
      </c>
      <c r="O55" s="258">
        <f>COUNTIFS('NDC MASTER SHEET'!$BA$5:$BA$201,"&lt;&gt;*N/A*", 'NDC MASTER SHEET'!$AT$5:$AT$201,"Non-Annex I", 'NDC MASTER SHEET'!$B$5:$B$201, "Northern America", 'NDC MASTER SHEET'!$W$5:$W$201, "Yes")</f>
        <v>0</v>
      </c>
      <c r="P55" s="258">
        <f>COUNTIFS('NDC MASTER SHEET'!$BA$5:$BA$201,"&lt;&gt;*N/A*", 'NDC MASTER SHEET'!$AT$5:$AT$201,"&lt;&gt;Non-Annex I", 'NDC MASTER SHEET'!$B$5:$B$201, "Oceania", 'NDC MASTER SHEET'!$W$5:$W$201, "Yes")</f>
        <v>2</v>
      </c>
      <c r="Q55" s="258">
        <f>COUNTIFS('NDC MASTER SHEET'!$BA$5:$BA$201,"&lt;&gt;*N/A*", 'NDC MASTER SHEET'!$AT$5:$AT$201,"Non-Annex I", 'NDC MASTER SHEET'!$B$5:$B$201, "Oceania", 'NDC MASTER SHEET'!$W$5:$W$201, "Yes")</f>
        <v>0</v>
      </c>
      <c r="R55" s="622">
        <f t="shared" si="3"/>
        <v>43</v>
      </c>
      <c r="S55" s="622">
        <f t="shared" si="3"/>
        <v>28</v>
      </c>
      <c r="T55" s="622">
        <f t="shared" si="4"/>
        <v>71</v>
      </c>
      <c r="U55" s="617">
        <f>R55/(COUNTIFS('NDC MASTER SHEET'!$AT$5:$AT$201,"&lt;&gt;Non-Annex I",'NDC MASTER SHEET'!$BA$5:$BA$201,"&lt;&gt;*N/A*"))</f>
        <v>1</v>
      </c>
      <c r="V55" s="375">
        <f>S55/(COUNTIFS('NDC MASTER SHEET'!$AT$5:$AT$201,"Non-Annex I",'NDC MASTER SHEET'!$BA$5:$BA$201,"&lt;&gt;*N/A*"))</f>
        <v>0.18543046357615894</v>
      </c>
      <c r="W55" s="375">
        <f t="shared" si="1"/>
        <v>0.36597938144329895</v>
      </c>
      <c r="X55" s="375">
        <f>R55/(COUNTIFS('NDC MASTER SHEET'!$AT$5:$AT$201,"&lt;&gt;Non-Annex I"))</f>
        <v>1</v>
      </c>
      <c r="Y55" s="375">
        <f>S55/(COUNTIFS('NDC MASTER SHEET'!$AT$5:$AT$201,"Non-Annex I"))</f>
        <v>0.18181818181818182</v>
      </c>
      <c r="Z55" s="618">
        <f t="shared" si="2"/>
        <v>0.3604060913705584</v>
      </c>
      <c r="AA55" s="260"/>
      <c r="AB55" s="260"/>
      <c r="AC55" s="260"/>
      <c r="AD55" s="260"/>
      <c r="AE55" s="260"/>
      <c r="AF55" s="260"/>
      <c r="AG55" s="260"/>
      <c r="AH55" s="260"/>
      <c r="AI55" s="260"/>
    </row>
    <row r="56" spans="1:35" s="256" customFormat="1">
      <c r="A56" s="222" t="s">
        <v>468</v>
      </c>
      <c r="B56" s="258">
        <f>COUNTIFS('NDC MASTER SHEET'!$BA$5:$BA$201,"&lt;&gt;*N/A", 'NDC MASTER SHEET'!$AT$5:$AT$201,"&lt;&gt;Non-Annex I", 'NDC MASTER SHEET'!$B$5:$B$201, "Asia", 'NDC MASTER SHEET'!$X$5:$X$201, "Yes")</f>
        <v>1</v>
      </c>
      <c r="C56" s="258">
        <f>COUNTIFS('NDC MASTER SHEET'!$BA$5:$BA$201,"&lt;&gt;*N/A", 'NDC MASTER SHEET'!$AT$5:$AT$201,"Non-Annex I", 'NDC MASTER SHEET'!$B$5:$B$201, "Asia", 'NDC MASTER SHEET'!$X$5:$X$201, "Yes")</f>
        <v>5</v>
      </c>
      <c r="D56" s="258">
        <f>COUNTIFS('NDC MASTER SHEET'!$BA$5:$BA$201,"&lt;&gt;*N/A", 'NDC MASTER SHEET'!$AT$5:$AT$201,"&lt;&gt;Non-Annex I", 'NDC MASTER SHEET'!$B$5:$B$201, "North Africa &amp; the Middle East", 'NDC MASTER SHEET'!$X$5:$X$201, "Yes")</f>
        <v>1</v>
      </c>
      <c r="E56" s="258">
        <f>COUNTIFS('NDC MASTER SHEET'!$BA$5:$BA$201,"&lt;&gt;*N/A", 'NDC MASTER SHEET'!$AT$5:$AT$201,"Non-Annex I", 'NDC MASTER SHEET'!$B$5:$B$201, "North Africa &amp; the Middle East", 'NDC MASTER SHEET'!$X$5:$X$201, "Yes")</f>
        <v>2</v>
      </c>
      <c r="F56" s="258">
        <f>COUNTIFS('NDC MASTER SHEET'!$BA$5:$BA$201,"&lt;&gt;*N/A", 'NDC MASTER SHEET'!$AT$5:$AT$201,"&lt;&gt;Non-Annex I", 'NDC MASTER SHEET'!$B$5:$B$201, "Sub-Saharan Africa", 'NDC MASTER SHEET'!$X$5:$X$201, "Yes")</f>
        <v>0</v>
      </c>
      <c r="G56" s="258">
        <f>COUNTIFS('NDC MASTER SHEET'!$BA$5:$BA$201,"&lt;&gt;*N/A", 'NDC MASTER SHEET'!$AT$5:$AT$201,"Non-Annex I", 'NDC MASTER SHEET'!$B$5:$B$201, "Sub-Saharan Africa", 'NDC MASTER SHEET'!$X$5:$X$201, "Yes")</f>
        <v>3</v>
      </c>
      <c r="H56" s="258">
        <f>COUNTIFS('NDC MASTER SHEET'!$BA$5:$BA$201,"&lt;&gt;*N/A", 'NDC MASTER SHEET'!$AT$5:$AT$201,"&lt;&gt;Non-Annex I", 'NDC MASTER SHEET'!$B$5:$B$201, "Eastern Europe &amp; Central Asia", 'NDC MASTER SHEET'!$X$5:$X$201, "Yes")</f>
        <v>3</v>
      </c>
      <c r="I56" s="258">
        <f>COUNTIFS('NDC MASTER SHEET'!$BA$5:$BA$201,"&lt;&gt;*N/A", 'NDC MASTER SHEET'!$AT$5:$AT$201,"Non-Annex I", 'NDC MASTER SHEET'!$B$5:$B$201, "Eastern Europe &amp; Central Asia", 'NDC MASTER SHEET'!$X$5:$X$201, "Yes")</f>
        <v>6</v>
      </c>
      <c r="J56" s="258">
        <f>COUNTIFS('NDC MASTER SHEET'!$BA$5:$BA$201,"&lt;&gt;*N/A", 'NDC MASTER SHEET'!$AT$5:$AT$201,"&lt;&gt;Non-Annex I", 'NDC MASTER SHEET'!$B$5:$B$201, "Europe", 'NDC MASTER SHEET'!$X$5:$X$201, "Yes")</f>
        <v>34</v>
      </c>
      <c r="K56" s="258">
        <f>COUNTIFS('NDC MASTER SHEET'!$BA$5:$BA$201,"&lt;&gt;*N/A", 'NDC MASTER SHEET'!$AT$5:$AT$201,"Non-Annex I", 'NDC MASTER SHEET'!$B$5:$B$201, "Europe", 'NDC MASTER SHEET'!$X$5:$X$201, "Yes")</f>
        <v>2</v>
      </c>
      <c r="L56" s="258">
        <f>COUNTIFS('NDC MASTER SHEET'!$BA$5:$BA$201,"&lt;&gt;*N/A", 'NDC MASTER SHEET'!$AT$5:$AT$201,"&lt;&gt;Non-Annex I", 'NDC MASTER SHEET'!$B$5:$B$201, "Latin America &amp; the Caribbean", 'NDC MASTER SHEET'!$X$5:$X$201, "Yes")</f>
        <v>0</v>
      </c>
      <c r="M56" s="258">
        <f>COUNTIFS('NDC MASTER SHEET'!$BA$5:$BA$201,"&lt;&gt;*N/A", 'NDC MASTER SHEET'!$AT$5:$AT$201,"Non-Annex I", 'NDC MASTER SHEET'!$B$5:$B$201, "Latin America &amp; the Caribbean", 'NDC MASTER SHEET'!$X$5:$X$201, "Yes")</f>
        <v>9</v>
      </c>
      <c r="N56" s="258">
        <f>COUNTIFS('NDC MASTER SHEET'!$BA$5:$BA$201,"&lt;&gt;*N/A", 'NDC MASTER SHEET'!$AT$5:$AT$201,"&lt;&gt;Non-Annex I", 'NDC MASTER SHEET'!$B$5:$B$201, "Northern America", 'NDC MASTER SHEET'!$X$5:$X$201, "Yes")</f>
        <v>2</v>
      </c>
      <c r="O56" s="258">
        <f>COUNTIFS('NDC MASTER SHEET'!$BA$5:$BA$201,"&lt;&gt;*N/A", 'NDC MASTER SHEET'!$AT$5:$AT$201,"Non-Annex I", 'NDC MASTER SHEET'!$B$5:$B$201, "Northern America", 'NDC MASTER SHEET'!$X$5:$X$201, "Yes")</f>
        <v>0</v>
      </c>
      <c r="P56" s="258">
        <f>COUNTIFS('NDC MASTER SHEET'!$BA$5:$BA$201,"&lt;&gt;*N/A", 'NDC MASTER SHEET'!$AT$5:$AT$201,"&lt;&gt;Non-Annex I", 'NDC MASTER SHEET'!$B$5:$B$201, "Oceania", 'NDC MASTER SHEET'!$X$5:$X$201, "Yes")</f>
        <v>2</v>
      </c>
      <c r="Q56" s="258">
        <f>COUNTIFS('NDC MASTER SHEET'!$BA$5:$BA$201,"&lt;&gt;*N/A", 'NDC MASTER SHEET'!$AT$5:$AT$201,"Non-Annex I", 'NDC MASTER SHEET'!$B$5:$B$201, "Oceania", 'NDC MASTER SHEET'!$X$5:$X$201, "Yes")</f>
        <v>0</v>
      </c>
      <c r="R56" s="622">
        <f t="shared" si="3"/>
        <v>43</v>
      </c>
      <c r="S56" s="622">
        <f t="shared" si="3"/>
        <v>27</v>
      </c>
      <c r="T56" s="622">
        <f t="shared" si="4"/>
        <v>70</v>
      </c>
      <c r="U56" s="617">
        <f>R56/(COUNTIFS('NDC MASTER SHEET'!$AT$5:$AT$201,"&lt;&gt;Non-Annex I",'NDC MASTER SHEET'!$BA$5:$BA$201,"&lt;&gt;*N/A*"))</f>
        <v>1</v>
      </c>
      <c r="V56" s="375">
        <f>S56/(COUNTIFS('NDC MASTER SHEET'!$AT$5:$AT$201,"Non-Annex I",'NDC MASTER SHEET'!$BA$5:$BA$201,"&lt;&gt;*N/A*"))</f>
        <v>0.17880794701986755</v>
      </c>
      <c r="W56" s="375">
        <f t="shared" si="1"/>
        <v>0.36082474226804123</v>
      </c>
      <c r="X56" s="375">
        <f>R56/(COUNTIFS('NDC MASTER SHEET'!$AT$5:$AT$201,"&lt;&gt;Non-Annex I"))</f>
        <v>1</v>
      </c>
      <c r="Y56" s="375">
        <f>S56/(COUNTIFS('NDC MASTER SHEET'!$AT$5:$AT$201,"Non-Annex I"))</f>
        <v>0.17532467532467533</v>
      </c>
      <c r="Z56" s="618">
        <f t="shared" si="2"/>
        <v>0.35532994923857869</v>
      </c>
      <c r="AA56" s="260"/>
      <c r="AB56" s="260"/>
      <c r="AC56" s="260"/>
      <c r="AD56" s="260"/>
      <c r="AE56" s="260"/>
      <c r="AF56" s="260"/>
      <c r="AG56" s="260"/>
      <c r="AH56" s="260"/>
      <c r="AI56" s="260"/>
    </row>
    <row r="57" spans="1:35" s="157" customFormat="1">
      <c r="A57" s="226" t="s">
        <v>469</v>
      </c>
      <c r="B57" s="259">
        <f>COUNTIFS('NDC MASTER SHEET'!$BA$5:$BA$201,"&lt;&gt;*N/A*", 'NDC MASTER SHEET'!$AT$5:$AT$201,"&lt;&gt;Non-Annex I", 'NDC MASTER SHEET'!$B$5:$B$201, "Asia", 'NDC MASTER SHEET'!$Y$5:$Y$201, "Yes")</f>
        <v>1</v>
      </c>
      <c r="C57" s="259">
        <f>COUNTIFS('NDC MASTER SHEET'!$BA$5:$BA$201,"&lt;&gt;*N/A*", 'NDC MASTER SHEET'!$AT$5:$AT$201,"Non-Annex I", 'NDC MASTER SHEET'!$B$5:$B$201, "Asia", 'NDC MASTER SHEET'!$Y$5:$Y$201, "Yes")</f>
        <v>2</v>
      </c>
      <c r="D57" s="259">
        <f>COUNTIFS('NDC MASTER SHEET'!$BA$5:$BA$201,"&lt;&gt;*N/A*", 'NDC MASTER SHEET'!$AT$5:$AT$201,"&lt;&gt;Non-Annex I", 'NDC MASTER SHEET'!$B$5:$B$201, "North Africa &amp; the Middle East", 'NDC MASTER SHEET'!$Y$5:$Y$201, "Yes")</f>
        <v>1</v>
      </c>
      <c r="E57" s="259">
        <f>COUNTIFS('NDC MASTER SHEET'!$BA$5:$BA$201,"&lt;&gt;*N/A*", 'NDC MASTER SHEET'!$AT$5:$AT$201,"Non-Annex I", 'NDC MASTER SHEET'!$B$5:$B$201, "North Africa &amp; the Middle East", 'NDC MASTER SHEET'!$Y$5:$Y$201, "Yes")</f>
        <v>0</v>
      </c>
      <c r="F57" s="259">
        <f>COUNTIFS('NDC MASTER SHEET'!$BA$5:$BA$201,"&lt;&gt;*N/A*", 'NDC MASTER SHEET'!$AT$5:$AT$201,"&lt;&gt;Non-Annex I", 'NDC MASTER SHEET'!$B$5:$B$201, "Sub-Saharan Africa", 'NDC MASTER SHEET'!$Y$5:$Y$201, "Yes")</f>
        <v>0</v>
      </c>
      <c r="G57" s="259">
        <f>COUNTIFS('NDC MASTER SHEET'!$BA$5:$BA$201,"&lt;&gt;*N/A*", 'NDC MASTER SHEET'!$AT$5:$AT$201,"Non-Annex I", 'NDC MASTER SHEET'!$B$5:$B$201, "Sub-Saharan Africa", 'NDC MASTER SHEET'!$Y$5:$Y$201, "Yes")</f>
        <v>1</v>
      </c>
      <c r="H57" s="259">
        <f>COUNTIFS('NDC MASTER SHEET'!$BA$5:$BA$201,"&lt;&gt;*N/A*", 'NDC MASTER SHEET'!$AT$5:$AT$201,"&lt;&gt;Non-Annex I", 'NDC MASTER SHEET'!$B$5:$B$201, "Eastern Europe &amp; Central Asia", 'NDC MASTER SHEET'!$Y$5:$Y$201, "Yes")</f>
        <v>2</v>
      </c>
      <c r="I57" s="259">
        <f>COUNTIFS('NDC MASTER SHEET'!$BA$5:$BA$201,"&lt;&gt;*N/A*", 'NDC MASTER SHEET'!$AT$5:$AT$201,"Non-Annex I", 'NDC MASTER SHEET'!$B$5:$B$201, "Eastern Europe &amp; Central Asia", 'NDC MASTER SHEET'!$Y$5:$Y$201, "Yes")</f>
        <v>3</v>
      </c>
      <c r="J57" s="259">
        <f>COUNTIFS('NDC MASTER SHEET'!$BA$5:$BA$201,"&lt;&gt;*N/A*", 'NDC MASTER SHEET'!$AT$5:$AT$201,"&lt;&gt;Non-Annex I", 'NDC MASTER SHEET'!$B$5:$B$201, "Europe", 'NDC MASTER SHEET'!$Y$5:$Y$201, "Yes")</f>
        <v>34</v>
      </c>
      <c r="K57" s="259">
        <f>COUNTIFS('NDC MASTER SHEET'!$BA$5:$BA$201,"&lt;&gt;*N/A*", 'NDC MASTER SHEET'!$AT$5:$AT$201,"Non-Annex I", 'NDC MASTER SHEET'!$B$5:$B$201, "Europe", 'NDC MASTER SHEET'!$Y$5:$Y$201, "Yes")</f>
        <v>1</v>
      </c>
      <c r="L57" s="259">
        <f>COUNTIFS('NDC MASTER SHEET'!$BA$5:$BA$201,"&lt;&gt;*N/A*", 'NDC MASTER SHEET'!$AT$5:$AT$201,"&lt;&gt;Non-Annex I", 'NDC MASTER SHEET'!$B$5:$B$201, "Latin America &amp; the Caribbean", 'NDC MASTER SHEET'!$Y$5:$Y$201, "Yes")</f>
        <v>0</v>
      </c>
      <c r="M57" s="259">
        <f>COUNTIFS('NDC MASTER SHEET'!$BA$5:$BA$201,"&lt;&gt;*N/A*", 'NDC MASTER SHEET'!$AT$5:$AT$201,"Non-Annex I", 'NDC MASTER SHEET'!$B$5:$B$201, "Latin America &amp; the Caribbean", 'NDC MASTER SHEET'!$Y$5:$Y$201, "Yes")</f>
        <v>2</v>
      </c>
      <c r="N57" s="259">
        <f>COUNTIFS('NDC MASTER SHEET'!$BA$5:$BA$201,"&lt;&gt;*N/A*", 'NDC MASTER SHEET'!$AT$5:$AT$201,"&lt;&gt;Non-Annex I", 'NDC MASTER SHEET'!$B$5:$B$201, "Northern America", 'NDC MASTER SHEET'!$Y$5:$Y$201, "Yes")</f>
        <v>2</v>
      </c>
      <c r="O57" s="259">
        <f>COUNTIFS('NDC MASTER SHEET'!$BA$5:$BA$201,"&lt;&gt;*N/A*", 'NDC MASTER SHEET'!$AT$5:$AT$201,"Non-Annex I", 'NDC MASTER SHEET'!$B$5:$B$201, "Northern America", 'NDC MASTER SHEET'!$Y$5:$Y$201, "Yes")</f>
        <v>0</v>
      </c>
      <c r="P57" s="259">
        <f>COUNTIFS('NDC MASTER SHEET'!$BA$5:$BA$201,"&lt;&gt;*N/A*", 'NDC MASTER SHEET'!$AT$5:$AT$201,"&lt;&gt;Non-Annex I", 'NDC MASTER SHEET'!$B$5:$B$201, "Oceania", 'NDC MASTER SHEET'!$Y$5:$Y$201, "Yes")</f>
        <v>2</v>
      </c>
      <c r="Q57" s="259">
        <f>COUNTIFS('NDC MASTER SHEET'!$BA$5:$BA$201,"&lt;&gt;*N/A*", 'NDC MASTER SHEET'!$AT$5:$AT$201,"Non-Annex I", 'NDC MASTER SHEET'!$B$5:$B$201, "Oceania", 'NDC MASTER SHEET'!$Y$5:$Y$201, "Yes")</f>
        <v>0</v>
      </c>
      <c r="R57" s="623">
        <f t="shared" si="3"/>
        <v>42</v>
      </c>
      <c r="S57" s="623">
        <f t="shared" si="3"/>
        <v>9</v>
      </c>
      <c r="T57" s="623">
        <f t="shared" si="4"/>
        <v>51</v>
      </c>
      <c r="U57" s="624">
        <f>R57/(COUNTIFS('NDC MASTER SHEET'!$AT$5:$AT$201,"&lt;&gt;Non-Annex I",'NDC MASTER SHEET'!$BA$5:$BA$201,"&lt;&gt;*N/A*"))</f>
        <v>0.97674418604651159</v>
      </c>
      <c r="V57" s="625">
        <f>S57/(COUNTIFS('NDC MASTER SHEET'!$AT$5:$AT$201,"Non-Annex I",'NDC MASTER SHEET'!$BA$5:$BA$201,"&lt;&gt;*N/A*"))</f>
        <v>5.9602649006622516E-2</v>
      </c>
      <c r="W57" s="625">
        <f t="shared" si="1"/>
        <v>0.26288659793814434</v>
      </c>
      <c r="X57" s="625">
        <f>R57/(COUNTIFS('NDC MASTER SHEET'!$AT$5:$AT$201,"&lt;&gt;Non-Annex I"))</f>
        <v>0.97674418604651159</v>
      </c>
      <c r="Y57" s="625">
        <f>S57/(COUNTIFS('NDC MASTER SHEET'!$AT$5:$AT$201,"Non-Annex I"))</f>
        <v>5.844155844155844E-2</v>
      </c>
      <c r="Z57" s="626">
        <f t="shared" si="2"/>
        <v>0.25888324873096447</v>
      </c>
      <c r="AA57" s="260"/>
      <c r="AB57" s="260"/>
      <c r="AC57" s="260"/>
      <c r="AD57" s="260"/>
      <c r="AE57" s="260"/>
    </row>
    <row r="58" spans="1:35" s="234" customFormat="1">
      <c r="A58" s="27"/>
      <c r="B58" s="16"/>
      <c r="C58" s="16"/>
      <c r="D58" s="16"/>
      <c r="E58" s="16"/>
      <c r="F58" s="16"/>
      <c r="G58" s="16"/>
      <c r="H58" s="16"/>
      <c r="I58" s="16"/>
      <c r="J58" s="16"/>
      <c r="K58" s="157"/>
      <c r="L58" s="157"/>
      <c r="M58" s="157"/>
      <c r="N58" s="157"/>
      <c r="O58" s="157"/>
      <c r="P58" s="157"/>
      <c r="Q58" s="157"/>
      <c r="R58" s="157"/>
      <c r="S58" s="157"/>
      <c r="T58" s="157"/>
      <c r="U58" s="157"/>
      <c r="V58" s="157"/>
      <c r="W58" s="157"/>
      <c r="X58" s="157"/>
      <c r="Y58" s="157"/>
      <c r="Z58" s="157"/>
      <c r="AA58" s="157"/>
      <c r="AB58" s="157"/>
      <c r="AC58" s="157"/>
      <c r="AD58" s="157"/>
      <c r="AE58" s="157"/>
    </row>
    <row r="59" spans="1:35" s="156" customFormat="1">
      <c r="A59" s="27"/>
      <c r="B59" s="16"/>
      <c r="C59" s="16"/>
      <c r="D59" s="16"/>
      <c r="E59" s="16"/>
      <c r="F59" s="16"/>
      <c r="G59" s="16"/>
      <c r="H59" s="16"/>
      <c r="I59" s="16"/>
      <c r="J59" s="16"/>
      <c r="K59" s="234"/>
      <c r="L59" s="234"/>
      <c r="M59" s="234"/>
      <c r="N59" s="234"/>
      <c r="O59" s="234"/>
      <c r="P59" s="234"/>
      <c r="Q59" s="234"/>
      <c r="R59" s="228"/>
      <c r="S59" s="228"/>
      <c r="T59" s="228"/>
      <c r="U59" s="234"/>
      <c r="V59" s="234"/>
      <c r="W59" s="234"/>
      <c r="X59" s="234"/>
      <c r="Y59" s="9"/>
      <c r="Z59" s="9"/>
      <c r="AA59" s="9"/>
      <c r="AB59" s="9"/>
      <c r="AC59" s="234"/>
      <c r="AD59" s="234"/>
      <c r="AE59" s="234"/>
    </row>
    <row r="60" spans="1:35" s="156" customFormat="1" ht="34.5" customHeight="1">
      <c r="A60" s="731" t="s">
        <v>401</v>
      </c>
      <c r="B60" s="731"/>
      <c r="C60" s="731"/>
      <c r="D60" s="731"/>
      <c r="E60" s="16"/>
      <c r="F60" s="731" t="s">
        <v>402</v>
      </c>
      <c r="G60" s="731"/>
      <c r="H60" s="731"/>
      <c r="I60" s="731"/>
      <c r="J60" s="731"/>
      <c r="K60" s="731"/>
      <c r="L60" s="731"/>
      <c r="M60" s="731"/>
      <c r="Y60" s="9"/>
      <c r="Z60" s="9"/>
      <c r="AA60" s="9"/>
      <c r="AB60" s="9"/>
    </row>
    <row r="61" spans="1:35" s="156" customFormat="1">
      <c r="A61" s="27"/>
      <c r="B61" s="16"/>
      <c r="C61" s="16"/>
      <c r="D61" s="16"/>
      <c r="E61" s="16"/>
      <c r="F61" s="16"/>
      <c r="G61" s="16"/>
      <c r="H61" s="16"/>
      <c r="I61" s="16"/>
      <c r="J61" s="16"/>
    </row>
    <row r="62" spans="1:35" s="156" customFormat="1">
      <c r="A62" s="27"/>
      <c r="B62" s="16"/>
      <c r="C62" s="16"/>
      <c r="D62" s="16"/>
      <c r="E62" s="16"/>
      <c r="F62" s="16"/>
      <c r="G62" s="16"/>
      <c r="H62" s="16"/>
      <c r="I62" s="16"/>
      <c r="J62" s="16"/>
    </row>
    <row r="63" spans="1:35" s="156" customFormat="1">
      <c r="A63" s="27"/>
      <c r="B63" s="16"/>
      <c r="C63" s="16"/>
      <c r="D63" s="16"/>
      <c r="E63" s="16"/>
      <c r="F63" s="16"/>
      <c r="G63" s="16"/>
      <c r="H63" s="16"/>
      <c r="I63" s="16"/>
      <c r="J63" s="16"/>
    </row>
    <row r="64" spans="1:35" s="156" customFormat="1">
      <c r="A64" s="27"/>
      <c r="B64" s="16"/>
      <c r="C64" s="16"/>
      <c r="D64" s="16"/>
      <c r="E64" s="16"/>
      <c r="F64" s="16"/>
      <c r="G64" s="16"/>
      <c r="H64" s="16"/>
      <c r="I64" s="16"/>
      <c r="J64" s="16"/>
    </row>
    <row r="65" spans="1:31" s="156" customFormat="1">
      <c r="A65" s="27"/>
      <c r="B65" s="16"/>
      <c r="C65" s="16"/>
      <c r="D65" s="16"/>
      <c r="E65" s="16"/>
      <c r="F65" s="16"/>
      <c r="G65" s="16"/>
      <c r="H65" s="16"/>
      <c r="I65" s="16"/>
      <c r="J65" s="16"/>
    </row>
    <row r="66" spans="1:31" s="156" customFormat="1">
      <c r="A66" s="27"/>
      <c r="B66" s="16"/>
      <c r="C66" s="16"/>
      <c r="D66" s="16"/>
      <c r="E66" s="16"/>
      <c r="F66" s="16"/>
      <c r="G66" s="16"/>
      <c r="H66" s="16"/>
      <c r="I66" s="16"/>
      <c r="J66" s="16"/>
    </row>
    <row r="67" spans="1:31" s="156" customFormat="1">
      <c r="A67" s="27"/>
      <c r="B67" s="16"/>
      <c r="C67" s="16"/>
      <c r="D67" s="16"/>
      <c r="E67" s="16"/>
      <c r="F67" s="16"/>
      <c r="G67" s="16"/>
      <c r="H67" s="16"/>
      <c r="I67" s="16"/>
      <c r="J67" s="16"/>
    </row>
    <row r="68" spans="1:31" s="156" customFormat="1">
      <c r="A68" s="27"/>
      <c r="B68" s="16"/>
      <c r="C68" s="16"/>
      <c r="D68" s="16"/>
      <c r="E68" s="16"/>
      <c r="F68" s="16"/>
      <c r="G68" s="16"/>
      <c r="H68" s="16"/>
      <c r="I68" s="16"/>
      <c r="J68" s="16"/>
    </row>
    <row r="69" spans="1:31" s="156" customFormat="1">
      <c r="A69" s="27"/>
      <c r="B69" s="16"/>
      <c r="C69" s="16"/>
      <c r="D69" s="16"/>
      <c r="E69" s="16"/>
      <c r="F69" s="16"/>
      <c r="G69" s="16"/>
      <c r="H69" s="16"/>
      <c r="I69" s="16"/>
      <c r="J69" s="16"/>
    </row>
    <row r="70" spans="1:31" s="156" customFormat="1">
      <c r="A70" s="27"/>
      <c r="B70" s="16"/>
      <c r="C70" s="16"/>
      <c r="D70" s="16"/>
      <c r="E70" s="16"/>
      <c r="F70" s="16"/>
      <c r="G70" s="16"/>
      <c r="H70" s="16"/>
      <c r="I70" s="16"/>
      <c r="J70" s="16"/>
    </row>
    <row r="71" spans="1:31" s="151" customFormat="1">
      <c r="A71" s="27"/>
      <c r="B71" s="16"/>
      <c r="C71" s="16"/>
      <c r="D71" s="16"/>
      <c r="E71" s="16"/>
      <c r="F71" s="16"/>
      <c r="G71" s="16"/>
      <c r="H71" s="16"/>
      <c r="I71" s="16"/>
      <c r="J71" s="16"/>
      <c r="K71" s="156"/>
      <c r="L71" s="156"/>
      <c r="M71" s="156"/>
      <c r="N71" s="156"/>
      <c r="O71" s="156"/>
      <c r="P71" s="156"/>
      <c r="Q71" s="156"/>
      <c r="R71" s="156"/>
      <c r="S71" s="156"/>
      <c r="T71" s="156"/>
      <c r="U71" s="156"/>
      <c r="V71" s="156"/>
      <c r="W71" s="156"/>
      <c r="X71" s="156"/>
      <c r="Y71" s="156"/>
      <c r="Z71" s="156"/>
      <c r="AA71" s="156"/>
      <c r="AB71" s="156"/>
      <c r="AC71" s="156"/>
      <c r="AD71" s="156"/>
      <c r="AE71" s="156"/>
    </row>
    <row r="72" spans="1:31" s="151" customFormat="1">
      <c r="A72" s="27"/>
      <c r="B72" s="16"/>
      <c r="C72" s="16"/>
      <c r="D72" s="16"/>
      <c r="E72" s="16"/>
      <c r="F72" s="16"/>
      <c r="G72" s="16"/>
      <c r="H72" s="16"/>
      <c r="I72" s="16"/>
      <c r="J72" s="16"/>
    </row>
    <row r="73" spans="1:31" s="151" customFormat="1">
      <c r="A73" s="27"/>
      <c r="B73" s="16"/>
      <c r="C73" s="16"/>
      <c r="D73" s="16"/>
      <c r="E73" s="16"/>
      <c r="F73" s="16"/>
      <c r="G73" s="16"/>
      <c r="H73" s="16"/>
      <c r="I73" s="16"/>
      <c r="J73" s="16"/>
    </row>
    <row r="74" spans="1:31" s="151" customFormat="1">
      <c r="A74" s="27"/>
      <c r="B74" s="16"/>
      <c r="C74" s="16"/>
      <c r="D74" s="16"/>
      <c r="E74" s="16"/>
      <c r="F74" s="16"/>
      <c r="G74" s="16"/>
      <c r="H74" s="16"/>
      <c r="I74" s="16"/>
      <c r="J74" s="16"/>
    </row>
    <row r="75" spans="1:31" s="151" customFormat="1" ht="31.5" customHeight="1">
      <c r="A75" s="27"/>
      <c r="B75" s="16"/>
      <c r="C75" s="16"/>
      <c r="D75" s="16"/>
      <c r="E75" s="16"/>
      <c r="F75" s="16"/>
      <c r="G75" s="16"/>
      <c r="H75" s="16"/>
      <c r="I75" s="16"/>
      <c r="J75" s="16"/>
    </row>
    <row r="76" spans="1:31" s="156" customFormat="1" ht="27.75" customHeight="1">
      <c r="A76" s="731" t="s">
        <v>403</v>
      </c>
      <c r="B76" s="731"/>
      <c r="C76" s="731"/>
      <c r="D76" s="731"/>
      <c r="E76" s="731"/>
      <c r="F76" s="16"/>
      <c r="G76" s="16"/>
      <c r="H76" s="16"/>
      <c r="I76" s="16"/>
      <c r="J76" s="16"/>
    </row>
    <row r="77" spans="1:31" s="156" customFormat="1">
      <c r="A77" s="27"/>
      <c r="B77" s="16"/>
      <c r="C77" s="16"/>
      <c r="D77" s="16"/>
      <c r="E77" s="16"/>
      <c r="F77" s="16"/>
      <c r="G77" s="16"/>
      <c r="H77" s="16"/>
      <c r="I77" s="16"/>
      <c r="J77" s="16"/>
    </row>
    <row r="78" spans="1:31" s="151" customFormat="1">
      <c r="A78" s="27"/>
      <c r="B78" s="16"/>
      <c r="C78" s="16"/>
      <c r="D78" s="16"/>
      <c r="E78" s="16"/>
      <c r="F78" s="16"/>
      <c r="G78" s="16"/>
      <c r="H78" s="16"/>
      <c r="I78" s="16"/>
      <c r="J78" s="16"/>
      <c r="K78" s="156"/>
      <c r="L78" s="156"/>
      <c r="M78" s="156"/>
      <c r="N78" s="156"/>
      <c r="O78" s="156"/>
      <c r="P78" s="156"/>
      <c r="Q78" s="156"/>
      <c r="R78" s="156"/>
      <c r="S78" s="156"/>
      <c r="T78" s="156"/>
      <c r="U78" s="156"/>
      <c r="V78" s="156"/>
      <c r="W78" s="156"/>
      <c r="X78" s="156"/>
      <c r="Y78" s="156"/>
      <c r="Z78" s="156"/>
      <c r="AA78" s="156"/>
      <c r="AB78" s="156"/>
      <c r="AC78" s="156"/>
      <c r="AD78" s="156"/>
      <c r="AE78" s="156"/>
    </row>
    <row r="79" spans="1:31" s="156" customFormat="1">
      <c r="A79" s="27"/>
      <c r="B79" s="16"/>
      <c r="C79" s="16"/>
      <c r="D79" s="16"/>
      <c r="E79" s="16"/>
      <c r="F79" s="16"/>
      <c r="G79" s="16"/>
      <c r="H79" s="16"/>
      <c r="I79" s="16"/>
      <c r="J79" s="16"/>
      <c r="K79" s="151"/>
      <c r="L79" s="151"/>
      <c r="M79" s="151"/>
      <c r="N79" s="151"/>
      <c r="O79" s="151"/>
      <c r="P79" s="151"/>
      <c r="Q79" s="151"/>
      <c r="R79" s="151"/>
      <c r="S79" s="151"/>
      <c r="T79" s="151"/>
      <c r="U79" s="151"/>
      <c r="V79" s="151"/>
      <c r="W79" s="151"/>
      <c r="X79" s="151"/>
      <c r="Y79" s="151"/>
      <c r="Z79" s="151"/>
      <c r="AA79" s="151"/>
      <c r="AB79" s="151"/>
      <c r="AC79" s="151"/>
      <c r="AD79" s="151"/>
      <c r="AE79" s="151"/>
    </row>
    <row r="80" spans="1:31" s="156" customFormat="1">
      <c r="A80" s="27"/>
      <c r="B80" s="16"/>
      <c r="C80" s="16"/>
      <c r="D80" s="16"/>
      <c r="E80" s="16"/>
      <c r="F80" s="16"/>
      <c r="G80" s="16"/>
      <c r="H80" s="16"/>
      <c r="I80" s="16"/>
      <c r="J80" s="16"/>
    </row>
    <row r="81" spans="1:31" s="156" customFormat="1">
      <c r="A81" s="27"/>
      <c r="B81" s="16"/>
      <c r="C81" s="16"/>
      <c r="D81" s="16"/>
      <c r="E81" s="16"/>
      <c r="F81" s="16"/>
      <c r="G81" s="16"/>
      <c r="H81" s="16"/>
      <c r="I81" s="16"/>
      <c r="J81" s="16"/>
    </row>
    <row r="82" spans="1:31" s="156" customFormat="1">
      <c r="A82" s="27"/>
      <c r="B82" s="16"/>
      <c r="C82" s="16"/>
      <c r="D82" s="16"/>
      <c r="E82" s="16"/>
      <c r="F82" s="16"/>
      <c r="G82" s="16"/>
      <c r="H82" s="16"/>
      <c r="I82" s="16"/>
      <c r="J82" s="16"/>
    </row>
    <row r="83" spans="1:31" s="156" customFormat="1">
      <c r="A83" s="27"/>
      <c r="B83" s="16"/>
      <c r="C83" s="16"/>
      <c r="D83" s="16"/>
      <c r="E83" s="16"/>
      <c r="F83" s="16"/>
      <c r="G83" s="16"/>
      <c r="H83" s="16"/>
      <c r="I83" s="16"/>
      <c r="J83" s="16"/>
      <c r="K83" s="16"/>
      <c r="L83" s="16"/>
      <c r="M83" s="16"/>
      <c r="N83" s="16"/>
      <c r="O83" s="16"/>
      <c r="P83" s="16"/>
    </row>
    <row r="84" spans="1:31" s="156" customFormat="1">
      <c r="A84" s="27"/>
      <c r="B84" s="16"/>
      <c r="C84" s="16"/>
      <c r="D84" s="16"/>
      <c r="E84" s="16"/>
      <c r="F84" s="16"/>
      <c r="G84" s="16"/>
      <c r="H84" s="16"/>
      <c r="I84" s="16"/>
      <c r="J84" s="16"/>
      <c r="K84" s="16"/>
      <c r="L84" s="16"/>
      <c r="M84" s="16"/>
      <c r="N84" s="16"/>
      <c r="O84" s="16"/>
      <c r="P84" s="16"/>
    </row>
    <row r="85" spans="1:31" s="151" customFormat="1">
      <c r="A85" s="27"/>
      <c r="B85" s="16"/>
      <c r="C85" s="16"/>
      <c r="D85" s="16"/>
      <c r="E85" s="16"/>
      <c r="F85" s="16"/>
      <c r="G85" s="16"/>
      <c r="H85" s="16"/>
      <c r="I85" s="16"/>
      <c r="J85" s="16"/>
      <c r="K85" s="16"/>
      <c r="L85" s="16"/>
      <c r="M85" s="16"/>
      <c r="N85" s="16"/>
      <c r="O85" s="16"/>
      <c r="P85" s="16"/>
      <c r="Q85" s="156"/>
      <c r="R85" s="156"/>
      <c r="S85" s="156"/>
      <c r="T85" s="156"/>
      <c r="U85" s="156"/>
      <c r="V85" s="156"/>
      <c r="W85" s="156"/>
      <c r="X85" s="156"/>
      <c r="Y85" s="156"/>
      <c r="Z85" s="156"/>
      <c r="AA85" s="156"/>
      <c r="AB85" s="156"/>
      <c r="AC85" s="156"/>
      <c r="AD85" s="156"/>
      <c r="AE85" s="156"/>
    </row>
    <row r="86" spans="1:31" s="151" customFormat="1">
      <c r="A86" s="27"/>
      <c r="B86" s="16"/>
      <c r="C86" s="16"/>
      <c r="D86" s="16"/>
      <c r="E86" s="16"/>
      <c r="F86" s="16"/>
      <c r="G86" s="16"/>
      <c r="H86" s="16"/>
      <c r="I86" s="16"/>
      <c r="J86" s="16"/>
      <c r="K86" s="16"/>
      <c r="L86" s="16"/>
      <c r="M86" s="16"/>
      <c r="N86" s="16"/>
      <c r="O86" s="16"/>
      <c r="P86" s="16"/>
    </row>
    <row r="87" spans="1:31" s="151" customFormat="1">
      <c r="A87" s="27"/>
      <c r="B87" s="16"/>
      <c r="C87" s="16"/>
      <c r="D87" s="16"/>
      <c r="E87" s="16"/>
      <c r="F87" s="16"/>
      <c r="G87" s="16"/>
      <c r="H87" s="16"/>
      <c r="I87" s="16"/>
      <c r="J87" s="239"/>
    </row>
    <row r="88" spans="1:31" s="151" customFormat="1">
      <c r="A88" s="27"/>
      <c r="B88" s="16"/>
      <c r="C88" s="16"/>
      <c r="D88" s="16"/>
      <c r="E88" s="16"/>
      <c r="F88" s="16"/>
      <c r="G88" s="16"/>
      <c r="H88" s="16"/>
      <c r="I88" s="16"/>
      <c r="J88" s="239"/>
    </row>
    <row r="89" spans="1:31" s="289" customFormat="1">
      <c r="A89" s="27"/>
      <c r="B89" s="16"/>
      <c r="C89" s="16"/>
      <c r="D89" s="16"/>
      <c r="E89" s="16"/>
      <c r="F89" s="16"/>
      <c r="G89" s="16"/>
      <c r="H89" s="16"/>
      <c r="I89" s="16"/>
    </row>
    <row r="90" spans="1:31" s="289" customFormat="1">
      <c r="A90" s="27"/>
      <c r="B90" s="16"/>
      <c r="C90" s="16"/>
      <c r="D90" s="16"/>
      <c r="E90" s="16"/>
      <c r="F90" s="16"/>
      <c r="G90" s="16"/>
      <c r="H90" s="16"/>
      <c r="I90" s="16"/>
    </row>
    <row r="91" spans="1:31" s="151" customFormat="1" ht="23.25" customHeight="1">
      <c r="A91" s="27"/>
      <c r="B91" s="16"/>
      <c r="C91" s="16"/>
      <c r="D91" s="16"/>
      <c r="E91" s="16"/>
      <c r="F91" s="16"/>
      <c r="G91" s="16"/>
      <c r="H91" s="16"/>
      <c r="I91" s="16"/>
      <c r="J91" s="16"/>
    </row>
    <row r="92" spans="1:31" s="151" customFormat="1" ht="14.4">
      <c r="A92" s="748" t="s">
        <v>2190</v>
      </c>
      <c r="B92" s="749"/>
      <c r="C92" s="749"/>
      <c r="D92" s="749"/>
      <c r="E92" s="749"/>
      <c r="F92" s="749"/>
      <c r="G92" s="749"/>
      <c r="H92" s="749"/>
      <c r="I92" s="749"/>
      <c r="J92" s="750"/>
      <c r="K92" s="289"/>
      <c r="L92" s="202"/>
      <c r="M92" s="202"/>
      <c r="N92" s="202"/>
      <c r="O92" s="202"/>
      <c r="P92" s="202"/>
      <c r="Q92" s="202"/>
      <c r="R92" s="202"/>
      <c r="S92" s="202"/>
      <c r="T92" s="202"/>
      <c r="U92" s="202"/>
      <c r="V92" s="202"/>
      <c r="W92" s="202"/>
    </row>
    <row r="93" spans="1:31" s="151" customFormat="1" ht="48">
      <c r="A93" s="41"/>
      <c r="B93" s="98" t="s">
        <v>23</v>
      </c>
      <c r="C93" s="98" t="s">
        <v>453</v>
      </c>
      <c r="D93" s="99" t="s">
        <v>455</v>
      </c>
      <c r="E93" s="99" t="s">
        <v>456</v>
      </c>
      <c r="F93" s="99" t="s">
        <v>457</v>
      </c>
      <c r="G93" s="99" t="s">
        <v>458</v>
      </c>
      <c r="H93" s="99" t="s">
        <v>459</v>
      </c>
      <c r="I93" s="99" t="s">
        <v>454</v>
      </c>
      <c r="J93" s="40" t="s">
        <v>170</v>
      </c>
      <c r="K93" s="260"/>
      <c r="L93" s="202"/>
      <c r="M93" s="202"/>
      <c r="N93" s="202"/>
      <c r="O93" s="202"/>
      <c r="P93" s="202"/>
      <c r="Q93" s="202"/>
      <c r="R93" s="202"/>
      <c r="S93" s="202"/>
      <c r="T93" s="202"/>
      <c r="U93" s="202"/>
      <c r="V93" s="202"/>
      <c r="W93" s="202"/>
    </row>
    <row r="94" spans="1:31" s="151" customFormat="1">
      <c r="A94" s="70" t="s">
        <v>411</v>
      </c>
      <c r="B94" s="67"/>
      <c r="C94" s="68"/>
      <c r="D94" s="68"/>
      <c r="E94" s="68"/>
      <c r="F94" s="68"/>
      <c r="G94" s="68"/>
      <c r="H94" s="68"/>
      <c r="I94" s="82"/>
      <c r="J94" s="191"/>
      <c r="K94" s="190"/>
      <c r="L94" s="239"/>
      <c r="M94" s="239"/>
      <c r="N94" s="239"/>
      <c r="O94" s="239"/>
      <c r="P94" s="239"/>
      <c r="Q94" s="239"/>
      <c r="R94" s="239"/>
      <c r="S94" s="239"/>
      <c r="T94" s="239"/>
      <c r="U94" s="239"/>
      <c r="V94" s="202"/>
      <c r="W94" s="202"/>
    </row>
    <row r="95" spans="1:31" s="151" customFormat="1">
      <c r="A95" s="69" t="s">
        <v>360</v>
      </c>
      <c r="B95" s="101">
        <f>COUNTIFS('NDC MASTER SHEET'!$B$5:$B$201,"Asia", 'NDC MASTER SHEET'!$L$5:$L$201,"Economy-wide", 'NDC MASTER SHEET'!$BA$5:$BA$201,"&lt;&gt;*N/A*")</f>
        <v>23</v>
      </c>
      <c r="C95" s="101">
        <f>COUNTIFS('NDC MASTER SHEET'!$B$5:$B$201,"North Africa &amp; the Middle East", 'NDC MASTER SHEET'!$L$5:$L$201,"Economy-wide", 'NDC MASTER SHEET'!$BA$5:$BA$201,"&lt;&gt;*N/A*")</f>
        <v>11</v>
      </c>
      <c r="D95" s="101">
        <f>COUNTIFS('NDC MASTER SHEET'!$B$5:$B$201,"Sub-Saharan Africa", 'NDC MASTER SHEET'!$L$5:$L$201,"Economy-wide", 'NDC MASTER SHEET'!$BA$5:$BA$201,"&lt;&gt;*N/A*")</f>
        <v>47</v>
      </c>
      <c r="E95" s="101">
        <f>COUNTIFS('NDC MASTER SHEET'!$B$5:$B$201,"Eastern Europe &amp; Central Asia", 'NDC MASTER SHEET'!$L$5:$L$201,"Economy-wide", 'NDC MASTER SHEET'!$BA$5:$BA$201,"&lt;&gt;*N/A*")</f>
        <v>16</v>
      </c>
      <c r="F95" s="101">
        <f>COUNTIFS('NDC MASTER SHEET'!$B$5:$B$201,"Europe", 'NDC MASTER SHEET'!$L$5:$L$201,"Economy-wide", 'NDC MASTER SHEET'!$BA$5:$BA$201,"&lt;&gt;*N/A*")</f>
        <v>36</v>
      </c>
      <c r="G95" s="101">
        <f>COUNTIFS('NDC MASTER SHEET'!$B$5:$B$201,"Latin America &amp; the Caribbean", 'NDC MASTER SHEET'!$L$5:$L$201,"Economy-wide", 'NDC MASTER SHEET'!$BA$5:$BA$201,"&lt;&gt;*N/A*")</f>
        <v>30</v>
      </c>
      <c r="H95" s="101">
        <f>COUNTIFS('NDC MASTER SHEET'!$B$5:$B$201,"Northern America", 'NDC MASTER SHEET'!$L$5:$L$201,"Economy-wide", 'NDC MASTER SHEET'!$BA$5:$BA$201,"&lt;&gt;*N/A*")</f>
        <v>2</v>
      </c>
      <c r="I95" s="185">
        <f>COUNTIFS('NDC MASTER SHEET'!$B$5:$B$201,"Oceania", 'NDC MASTER SHEET'!$L$5:$L$201,"Economy-wide", 'NDC MASTER SHEET'!$BA$5:$BA$201,"&lt;&gt;*N/A*")</f>
        <v>13</v>
      </c>
      <c r="J95" s="240">
        <f>SUM(B95:I95)</f>
        <v>178</v>
      </c>
      <c r="K95" s="190"/>
      <c r="L95" s="239"/>
      <c r="M95" s="239"/>
      <c r="N95" s="239"/>
      <c r="O95" s="239"/>
      <c r="P95" s="239"/>
      <c r="Q95" s="239"/>
      <c r="R95" s="239"/>
      <c r="S95" s="239"/>
      <c r="T95" s="239"/>
      <c r="U95" s="239"/>
      <c r="V95" s="202"/>
      <c r="W95" s="202"/>
    </row>
    <row r="96" spans="1:31" s="151" customFormat="1">
      <c r="A96" s="61" t="s">
        <v>354</v>
      </c>
      <c r="B96" s="101">
        <f>COUNTIFS('NDC MASTER SHEET'!$B$5:$B$201,"Asia", 'NDC MASTER SHEET'!$L$5:$L$201,"Sectoral", 'NDC MASTER SHEET'!$BA$5:$BA$201,"&lt;&gt;*N/A*")</f>
        <v>1</v>
      </c>
      <c r="C96" s="101">
        <f>COUNTIFS('NDC MASTER SHEET'!$B$5:$B$201,"North Africa &amp; the Middle East", 'NDC MASTER SHEET'!$L$5:$L$201,"Sectoral", 'NDC MASTER SHEET'!$BA$5:$BA$201,"&lt;&gt;*N/A*")</f>
        <v>3</v>
      </c>
      <c r="D96" s="101">
        <f>COUNTIFS('NDC MASTER SHEET'!$B$5:$B$201,"Sub-Saharan Africa", 'NDC MASTER SHEET'!$L$5:$L$201,"Sectoral", 'NDC MASTER SHEET'!$BA$5:$BA$201,"&lt;&gt;*N/A*")</f>
        <v>2</v>
      </c>
      <c r="E96" s="101">
        <f>COUNTIFS('NDC MASTER SHEET'!$B$5:$B$201,"Eastern Europe &amp; Central Asia", 'NDC MASTER SHEET'!$L$5:$L$201,"Sectoral", 'NDC MASTER SHEET'!$BA$5:$BA$201,"&lt;&gt;*N/A*")</f>
        <v>1</v>
      </c>
      <c r="F96" s="101">
        <f>COUNTIFS('NDC MASTER SHEET'!$B$5:$B$201,"Europe", 'NDC MASTER SHEET'!$L$5:$L$201,"Sectoral", 'NDC MASTER SHEET'!$BA$5:$BA$201,"&lt;&gt;*N/A*")</f>
        <v>0</v>
      </c>
      <c r="G96" s="101">
        <f>COUNTIFS('NDC MASTER SHEET'!$B$5:$B$201,"Latin America &amp; the Caribbean", 'NDC MASTER SHEET'!$L$5:$L$201,"Sectoral", 'NDC MASTER SHEET'!$BA$5:$BA$201,"&lt;&gt;*N/A*")</f>
        <v>2</v>
      </c>
      <c r="H96" s="101">
        <f>COUNTIFS('NDC MASTER SHEET'!$B$5:$B$201,"Northern America", 'NDC MASTER SHEET'!$L$5:$L$201,"Sectoral", 'NDC MASTER SHEET'!$BA$5:$BA$201,"&lt;&gt;*N/A*")</f>
        <v>0</v>
      </c>
      <c r="I96" s="185">
        <f>COUNTIFS('NDC MASTER SHEET'!$B$5:$B$201,"Oceania", 'NDC MASTER SHEET'!$L$5:$L$201,"Sectoral", 'NDC MASTER SHEET'!$BA$5:$BA$201,"&lt;&gt;*N/A*")</f>
        <v>3</v>
      </c>
      <c r="J96" s="240">
        <f t="shared" ref="J96:J111" si="5">SUM(B96:I96)</f>
        <v>12</v>
      </c>
      <c r="K96" s="190"/>
      <c r="L96" s="239"/>
      <c r="M96" s="239"/>
      <c r="N96" s="239"/>
      <c r="O96" s="239"/>
      <c r="P96" s="239"/>
      <c r="Q96" s="239"/>
      <c r="R96" s="239"/>
      <c r="S96" s="239"/>
      <c r="T96" s="239"/>
      <c r="U96" s="239"/>
      <c r="V96" s="202"/>
      <c r="W96" s="202"/>
    </row>
    <row r="97" spans="1:31" s="151" customFormat="1">
      <c r="A97" s="70" t="s">
        <v>373</v>
      </c>
      <c r="B97" s="103"/>
      <c r="C97" s="103"/>
      <c r="D97" s="103"/>
      <c r="E97" s="103"/>
      <c r="F97" s="103"/>
      <c r="G97" s="103"/>
      <c r="H97" s="103"/>
      <c r="I97" s="103"/>
      <c r="J97" s="254"/>
      <c r="K97" s="190"/>
      <c r="L97" s="239"/>
      <c r="M97" s="239"/>
      <c r="N97" s="239"/>
      <c r="O97" s="239"/>
      <c r="P97" s="239"/>
      <c r="Q97" s="239"/>
      <c r="R97" s="239"/>
      <c r="S97" s="239"/>
      <c r="T97" s="239"/>
      <c r="U97" s="239"/>
      <c r="V97" s="202"/>
      <c r="W97" s="202"/>
    </row>
    <row r="98" spans="1:31" s="151" customFormat="1">
      <c r="A98" s="69" t="s">
        <v>387</v>
      </c>
      <c r="B98" s="101">
        <f>COUNTIFS('NDC MASTER SHEET'!$B$5:$B$201,"Asia", 'NDC MASTER SHEET'!$M$5:$M$201,"Yes", 'NDC MASTER SHEET'!$BA$5:$BA$201,"&lt;&gt;*N/A*")</f>
        <v>24</v>
      </c>
      <c r="C98" s="101">
        <f>COUNTIFS('NDC MASTER SHEET'!$B$5:$B$201,"North Africa &amp; the Middle East", 'NDC MASTER SHEET'!$M$5:$M$201,"Yes", 'NDC MASTER SHEET'!$BA$5:$BA$201,"&lt;&gt;*N/A*")</f>
        <v>16</v>
      </c>
      <c r="D98" s="101">
        <f>COUNTIFS('NDC MASTER SHEET'!$B$5:$B$201,"Sub-Saharan Africa", 'NDC MASTER SHEET'!$M$5:$M$201,"Yes", 'NDC MASTER SHEET'!$BA$5:$BA$201,"&lt;&gt;*N/A*")</f>
        <v>49</v>
      </c>
      <c r="E98" s="101">
        <f>COUNTIFS('NDC MASTER SHEET'!$B$5:$B$201,"Eastern Europe &amp; Central Asia", 'NDC MASTER SHEET'!$M$5:$M$201,"Yes", 'NDC MASTER SHEET'!$BA$5:$BA$201,"&lt;&gt;*N/A*")</f>
        <v>17</v>
      </c>
      <c r="F98" s="101">
        <f>COUNTIFS('NDC MASTER SHEET'!$B$5:$B$201,"Europe", 'NDC MASTER SHEET'!$M$5:$M$201,"Yes", 'NDC MASTER SHEET'!$BA$5:$BA$201,"&lt;&gt;*N/A*")</f>
        <v>36</v>
      </c>
      <c r="G98" s="101">
        <f>COUNTIFS('NDC MASTER SHEET'!$B$5:$B$201,"Latin America &amp; the Caribbean", 'NDC MASTER SHEET'!$M$5:$M$201,"Yes", 'NDC MASTER SHEET'!$BA$5:$BA$201,"&lt;&gt;*N/A*")</f>
        <v>33</v>
      </c>
      <c r="H98" s="101">
        <f>COUNTIFS('NDC MASTER SHEET'!$B$5:$B$201,"Northern America", 'NDC MASTER SHEET'!$M$5:$M$201,"Yes", 'NDC MASTER SHEET'!$BA$5:$BA$201,"&lt;&gt;*N/A*")</f>
        <v>2</v>
      </c>
      <c r="I98" s="185">
        <f>COUNTIFS('NDC MASTER SHEET'!$B$5:$B$201,"Oceania", 'NDC MASTER SHEET'!$M$5:$M$201,"Yes", 'NDC MASTER SHEET'!$BA$5:$BA$201,"&lt;&gt;*N/A*")</f>
        <v>16</v>
      </c>
      <c r="J98" s="240">
        <f t="shared" si="5"/>
        <v>193</v>
      </c>
      <c r="K98" s="190"/>
      <c r="L98" s="239"/>
      <c r="M98" s="239"/>
      <c r="N98" s="239"/>
      <c r="O98" s="239"/>
      <c r="P98" s="239"/>
      <c r="Q98" s="239"/>
      <c r="R98" s="239"/>
      <c r="S98" s="239"/>
      <c r="T98" s="239"/>
      <c r="U98" s="239"/>
      <c r="V98" s="202"/>
      <c r="W98" s="202"/>
    </row>
    <row r="99" spans="1:31" s="151" customFormat="1">
      <c r="A99" s="69" t="s">
        <v>388</v>
      </c>
      <c r="B99" s="101">
        <f>COUNTIFS('NDC MASTER SHEET'!$B$5:$B$201,"Asia", 'NDC MASTER SHEET'!$N$5:$N$201,"Yes", 'NDC MASTER SHEET'!$BA$5:$BA$201,"&lt;&gt;*N/A*")</f>
        <v>21</v>
      </c>
      <c r="C99" s="101">
        <f>COUNTIFS('NDC MASTER SHEET'!$B$5:$B$201,"North Africa &amp; the Middle East", 'NDC MASTER SHEET'!$N$5:$N$201,"Yes", 'NDC MASTER SHEET'!$BA$5:$BA$201,"&lt;&gt;*N/A*")</f>
        <v>11</v>
      </c>
      <c r="D99" s="101">
        <f>COUNTIFS('NDC MASTER SHEET'!$B$5:$B$201,"Sub-Saharan Africa", 'NDC MASTER SHEET'!$N$5:$N$201,"Yes", 'NDC MASTER SHEET'!$BA$5:$BA$201,"&lt;&gt;*N/A*")</f>
        <v>45</v>
      </c>
      <c r="E99" s="101">
        <f>COUNTIFS('NDC MASTER SHEET'!$B$5:$B$201,"Eastern Europe &amp; Central Asia", 'NDC MASTER SHEET'!$N$5:$N$201,"Yes", 'NDC MASTER SHEET'!$BA$5:$BA$201,"&lt;&gt;*N/A*")</f>
        <v>17</v>
      </c>
      <c r="F99" s="101">
        <f>COUNTIFS('NDC MASTER SHEET'!$B$5:$B$201,"Europe", 'NDC MASTER SHEET'!$N$5:$N$201,"Yes", 'NDC MASTER SHEET'!$BA$5:$BA$201,"&lt;&gt;*N/A*")</f>
        <v>36</v>
      </c>
      <c r="G99" s="101">
        <f>COUNTIFS('NDC MASTER SHEET'!$B$5:$B$201,"Latin America &amp; the Caribbean", 'NDC MASTER SHEET'!$N$5:$N$201,"Yes", 'NDC MASTER SHEET'!$BA$5:$BA$201,"&lt;&gt;*N/A*")</f>
        <v>25</v>
      </c>
      <c r="H99" s="101">
        <f>COUNTIFS('NDC MASTER SHEET'!$B$5:$B$201,"Northern America", 'NDC MASTER SHEET'!$N$5:$N$201,"Yes", 'NDC MASTER SHEET'!$BA$5:$BA$201,"&lt;&gt;*N/A*")</f>
        <v>2</v>
      </c>
      <c r="I99" s="185">
        <f>COUNTIFS('NDC MASTER SHEET'!$B$5:$B$201,"Oceania", 'NDC MASTER SHEET'!$N$5:$N$201,"Yes", 'NDC MASTER SHEET'!$BA$5:$BA$201,"&lt;&gt;*N/A*")</f>
        <v>9</v>
      </c>
      <c r="J99" s="240">
        <f t="shared" si="5"/>
        <v>166</v>
      </c>
      <c r="K99" s="190"/>
      <c r="L99" s="239"/>
      <c r="M99" s="239"/>
      <c r="N99" s="239"/>
      <c r="O99" s="239"/>
      <c r="P99" s="239"/>
      <c r="Q99" s="239"/>
      <c r="R99" s="239"/>
      <c r="S99" s="239"/>
      <c r="T99" s="239"/>
      <c r="U99" s="239"/>
      <c r="V99" s="202"/>
      <c r="W99" s="202"/>
    </row>
    <row r="100" spans="1:31" s="151" customFormat="1">
      <c r="A100" s="69" t="s">
        <v>389</v>
      </c>
      <c r="B100" s="101">
        <f>COUNTIFS('NDC MASTER SHEET'!$B$5:$B$201,"Asia", 'NDC MASTER SHEET'!$O$5:$O$201,"Yes", 'NDC MASTER SHEET'!$BA$5:$BA$201,"&lt;&gt;*N/A*")</f>
        <v>21</v>
      </c>
      <c r="C100" s="101">
        <f>COUNTIFS('NDC MASTER SHEET'!$B$5:$B$201,"North Africa &amp; the Middle East", 'NDC MASTER SHEET'!$O$5:$O$201,"Yes", 'NDC MASTER SHEET'!$BA$5:$BA$201,"&lt;&gt;*N/A*")</f>
        <v>14</v>
      </c>
      <c r="D100" s="101">
        <f>COUNTIFS('NDC MASTER SHEET'!$B$5:$B$201,"Sub-Saharan Africa", 'NDC MASTER SHEET'!$O$5:$O$201,"Yes", 'NDC MASTER SHEET'!$BA$5:$BA$201,"&lt;&gt;*N/A*")</f>
        <v>42</v>
      </c>
      <c r="E100" s="101">
        <f>COUNTIFS('NDC MASTER SHEET'!$B$5:$B$201,"Eastern Europe &amp; Central Asia", 'NDC MASTER SHEET'!$O$5:$O$201,"Yes", 'NDC MASTER SHEET'!$BA$5:$BA$201,"&lt;&gt;*N/A*")</f>
        <v>13</v>
      </c>
      <c r="F100" s="101">
        <f>COUNTIFS('NDC MASTER SHEET'!$B$5:$B$201,"Europe", 'NDC MASTER SHEET'!$O$5:$O$201,"Yes", 'NDC MASTER SHEET'!$BA$5:$BA$201,"&lt;&gt;*N/A*")</f>
        <v>36</v>
      </c>
      <c r="G100" s="101">
        <f>COUNTIFS('NDC MASTER SHEET'!$B$5:$B$201,"Latin America &amp; the Caribbean", 'NDC MASTER SHEET'!$O$5:$O$201,"Yes", 'NDC MASTER SHEET'!$BA$5:$BA$201,"&lt;&gt;*N/A*")</f>
        <v>29</v>
      </c>
      <c r="H100" s="101">
        <f>COUNTIFS('NDC MASTER SHEET'!$B$5:$B$201,"Northern America", 'NDC MASTER SHEET'!$O$5:$O$201,"Yes", 'NDC MASTER SHEET'!$BA$5:$BA$201,"&lt;&gt;*N/A*")</f>
        <v>2</v>
      </c>
      <c r="I100" s="185">
        <f>COUNTIFS('NDC MASTER SHEET'!$B$5:$B$201,"Oceania", 'NDC MASTER SHEET'!$O$5:$O$201,"Yes", 'NDC MASTER SHEET'!$BA$5:$BA$201,"&lt;&gt;*N/A*")</f>
        <v>16</v>
      </c>
      <c r="J100" s="240">
        <f t="shared" si="5"/>
        <v>173</v>
      </c>
      <c r="K100" s="190"/>
      <c r="L100" s="239"/>
      <c r="M100" s="239"/>
      <c r="N100" s="239"/>
      <c r="O100" s="239"/>
      <c r="P100" s="239"/>
      <c r="Q100" s="239"/>
      <c r="R100" s="239"/>
      <c r="S100" s="239"/>
      <c r="T100" s="239"/>
      <c r="U100" s="239"/>
      <c r="V100" s="202"/>
      <c r="W100" s="202"/>
    </row>
    <row r="101" spans="1:31" s="151" customFormat="1">
      <c r="A101" s="69" t="s">
        <v>390</v>
      </c>
      <c r="B101" s="101">
        <f>COUNTIFS('NDC MASTER SHEET'!$B$5:$B$201,"Asia", 'NDC MASTER SHEET'!$P$5:$P$201,"Yes", 'NDC MASTER SHEET'!$BA$5:$BA$201,"&lt;&gt;*N/A*")</f>
        <v>23</v>
      </c>
      <c r="C101" s="101">
        <f>COUNTIFS('NDC MASTER SHEET'!$B$5:$B$201,"North Africa &amp; the Middle East", 'NDC MASTER SHEET'!$P$5:$P$201,"Yes", 'NDC MASTER SHEET'!$BA$5:$BA$201,"&lt;&gt;*N/A*")</f>
        <v>12</v>
      </c>
      <c r="D101" s="101">
        <f>COUNTIFS('NDC MASTER SHEET'!$B$5:$B$201,"Sub-Saharan Africa", 'NDC MASTER SHEET'!$P$5:$P$201,"Yes", 'NDC MASTER SHEET'!$BA$5:$BA$201,"&lt;&gt;*N/A*")</f>
        <v>45</v>
      </c>
      <c r="E101" s="101">
        <f>COUNTIFS('NDC MASTER SHEET'!$B$5:$B$201,"Eastern Europe &amp; Central Asia", 'NDC MASTER SHEET'!$P$5:$P$201,"Yes", 'NDC MASTER SHEET'!$BA$5:$BA$201,"&lt;&gt;*N/A*")</f>
        <v>17</v>
      </c>
      <c r="F101" s="101">
        <f>COUNTIFS('NDC MASTER SHEET'!$B$5:$B$201,"Europe", 'NDC MASTER SHEET'!$P$5:$P$201,"Yes", 'NDC MASTER SHEET'!$BA$5:$BA$201,"&lt;&gt;*N/A*")</f>
        <v>36</v>
      </c>
      <c r="G101" s="101">
        <f>COUNTIFS('NDC MASTER SHEET'!$B$5:$B$201,"Latin America &amp; the Caribbean", 'NDC MASTER SHEET'!$P$5:$P$201,"Yes", 'NDC MASTER SHEET'!$BA$5:$BA$201,"&lt;&gt;*N/A*")</f>
        <v>23</v>
      </c>
      <c r="H101" s="101">
        <f>COUNTIFS('NDC MASTER SHEET'!$B$5:$B$201,"Northern America", 'NDC MASTER SHEET'!$P$5:$P$201,"Yes", 'NDC MASTER SHEET'!$BA$5:$BA$201,"&lt;&gt;*N/A*")</f>
        <v>2</v>
      </c>
      <c r="I101" s="185">
        <f>COUNTIFS('NDC MASTER SHEET'!$B$5:$B$201,"Oceania", 'NDC MASTER SHEET'!$P$5:$P$201,"Yes", 'NDC MASTER SHEET'!$BA$5:$BA$201,"&lt;&gt;*N/A*")</f>
        <v>9</v>
      </c>
      <c r="J101" s="240">
        <f t="shared" si="5"/>
        <v>167</v>
      </c>
      <c r="K101" s="190"/>
      <c r="L101" s="239"/>
      <c r="M101" s="239"/>
      <c r="N101" s="239"/>
      <c r="O101" s="239"/>
      <c r="P101" s="239"/>
      <c r="Q101" s="239"/>
      <c r="R101" s="239"/>
      <c r="S101" s="239"/>
      <c r="T101" s="239"/>
      <c r="U101" s="239"/>
      <c r="V101" s="202"/>
      <c r="W101" s="202"/>
    </row>
    <row r="102" spans="1:31" s="151" customFormat="1">
      <c r="A102" s="69" t="s">
        <v>391</v>
      </c>
      <c r="B102" s="101">
        <f>COUNTIFS('NDC MASTER SHEET'!$B$5:$B$201,"Asia", 'NDC MASTER SHEET'!$Q$5:$Q$201,"Yes", 'NDC MASTER SHEET'!$BA$5:$BA$201,"&lt;&gt;*N/A*")</f>
        <v>20</v>
      </c>
      <c r="C102" s="101">
        <f>COUNTIFS('NDC MASTER SHEET'!$B$5:$B$201,"North Africa &amp; the Middle East", 'NDC MASTER SHEET'!$Q$5:$Q$201,"Yes", 'NDC MASTER SHEET'!$BA$5:$BA$201,"&lt;&gt;*N/A*")</f>
        <v>10</v>
      </c>
      <c r="D102" s="101">
        <f>COUNTIFS('NDC MASTER SHEET'!$B$5:$B$201,"Sub-Saharan Africa", 'NDC MASTER SHEET'!$Q$5:$Q$201,"Yes", 'NDC MASTER SHEET'!$BA$5:$BA$201,"&lt;&gt;*N/A*")</f>
        <v>44</v>
      </c>
      <c r="E102" s="101">
        <f>COUNTIFS('NDC MASTER SHEET'!$B$5:$B$201,"Eastern Europe &amp; Central Asia", 'NDC MASTER SHEET'!$Q$5:$Q$201,"Yes", 'NDC MASTER SHEET'!$BA$5:$BA$201,"&lt;&gt;*N/A*")</f>
        <v>14</v>
      </c>
      <c r="F102" s="101">
        <f>COUNTIFS('NDC MASTER SHEET'!$B$5:$B$201,"Europe", 'NDC MASTER SHEET'!$Q$5:$Q$201,"Yes", 'NDC MASTER SHEET'!$BA$5:$BA$201,"&lt;&gt;*N/A*")</f>
        <v>36</v>
      </c>
      <c r="G102" s="101">
        <f>COUNTIFS('NDC MASTER SHEET'!$B$5:$B$201,"Latin America &amp; the Caribbean", 'NDC MASTER SHEET'!$Q$5:$Q$201,"Yes", 'NDC MASTER SHEET'!$BA$5:$BA$201,"&lt;&gt;*N/A*")</f>
        <v>28</v>
      </c>
      <c r="H102" s="101">
        <f>COUNTIFS('NDC MASTER SHEET'!$B$5:$B$201,"Northern America", 'NDC MASTER SHEET'!$Q$5:$Q$201,"Yes", 'NDC MASTER SHEET'!$BA$5:$BA$201,"&lt;&gt;*N/A*")</f>
        <v>2</v>
      </c>
      <c r="I102" s="185">
        <f>COUNTIFS('NDC MASTER SHEET'!$B$5:$B$201,"Oceania", 'NDC MASTER SHEET'!$Q$5:$Q$201,"Yes", 'NDC MASTER SHEET'!$BA$5:$BA$201,"&lt;&gt;*N/A*")</f>
        <v>8</v>
      </c>
      <c r="J102" s="240">
        <f t="shared" si="5"/>
        <v>162</v>
      </c>
      <c r="K102" s="190"/>
      <c r="L102" s="239"/>
      <c r="M102" s="239"/>
      <c r="N102" s="239"/>
      <c r="O102" s="239"/>
      <c r="P102" s="239"/>
      <c r="Q102" s="239"/>
      <c r="R102" s="239"/>
      <c r="S102" s="239"/>
      <c r="T102" s="239"/>
      <c r="U102" s="239"/>
      <c r="V102" s="202"/>
      <c r="W102" s="202"/>
    </row>
    <row r="103" spans="1:31" s="151" customFormat="1">
      <c r="A103" s="69" t="s">
        <v>392</v>
      </c>
      <c r="B103" s="101">
        <f>COUNTIFS('NDC MASTER SHEET'!$B$5:$B$201,"Asia", 'NDC MASTER SHEET'!$R$5:$R$201,"Yes", 'NDC MASTER SHEET'!$BA$5:$BA$201,"&lt;&gt;*N/A*")</f>
        <v>20</v>
      </c>
      <c r="C103" s="101">
        <f>COUNTIFS('NDC MASTER SHEET'!$B$5:$B$201,"North Africa &amp; the Middle East", 'NDC MASTER SHEET'!$R$5:$R$201,"Yes", 'NDC MASTER SHEET'!$BA$5:$BA$201,"&lt;&gt;*N/A*")</f>
        <v>13</v>
      </c>
      <c r="D103" s="101">
        <f>COUNTIFS('NDC MASTER SHEET'!$B$5:$B$201,"Sub-Saharan Africa", 'NDC MASTER SHEET'!$R$5:$R$201,"Yes", 'NDC MASTER SHEET'!$BA$5:$BA$201,"&lt;&gt;*N/A*")</f>
        <v>37</v>
      </c>
      <c r="E103" s="101">
        <f>COUNTIFS('NDC MASTER SHEET'!$B$5:$B$201,"Eastern Europe &amp; Central Asia", 'NDC MASTER SHEET'!$R$5:$R$201,"Yes", 'NDC MASTER SHEET'!$BA$5:$BA$201,"&lt;&gt;*N/A*")</f>
        <v>16</v>
      </c>
      <c r="F103" s="101">
        <f>COUNTIFS('NDC MASTER SHEET'!$B$5:$B$201,"Europe", 'NDC MASTER SHEET'!$R$5:$R$201,"Yes", 'NDC MASTER SHEET'!$BA$5:$BA$201,"&lt;&gt;*N/A*")</f>
        <v>35</v>
      </c>
      <c r="G103" s="101">
        <f>COUNTIFS('NDC MASTER SHEET'!$B$5:$B$201,"Latin America &amp; the Caribbean", 'NDC MASTER SHEET'!$R$5:$R$201,"Yes", 'NDC MASTER SHEET'!$BA$5:$BA$201,"&lt;&gt;*N/A*")</f>
        <v>21</v>
      </c>
      <c r="H103" s="101">
        <f>COUNTIFS('NDC MASTER SHEET'!$B$5:$B$201,"Northern America", 'NDC MASTER SHEET'!$R$5:$R$201,"Yes", 'NDC MASTER SHEET'!$BA$5:$BA$201,"&lt;&gt;*N/A*")</f>
        <v>2</v>
      </c>
      <c r="I103" s="185">
        <f>COUNTIFS('NDC MASTER SHEET'!$B$5:$B$201,"Oceania", 'NDC MASTER SHEET'!$R$5:$R$201,"Yes", 'NDC MASTER SHEET'!$BA$5:$BA$201,"&lt;&gt;*N/A*")</f>
        <v>3</v>
      </c>
      <c r="J103" s="240">
        <f t="shared" si="5"/>
        <v>147</v>
      </c>
      <c r="K103" s="190"/>
      <c r="L103" s="239"/>
      <c r="M103" s="239"/>
      <c r="N103" s="239"/>
      <c r="O103" s="239"/>
      <c r="P103" s="239"/>
      <c r="Q103" s="239"/>
      <c r="R103" s="239"/>
      <c r="S103" s="239"/>
      <c r="T103" s="239"/>
      <c r="U103" s="239"/>
      <c r="V103" s="202"/>
      <c r="W103" s="202"/>
    </row>
    <row r="104" spans="1:31" s="151" customFormat="1">
      <c r="A104" s="70" t="s">
        <v>374</v>
      </c>
      <c r="B104" s="103"/>
      <c r="C104" s="103"/>
      <c r="D104" s="103"/>
      <c r="E104" s="103"/>
      <c r="F104" s="103"/>
      <c r="G104" s="103"/>
      <c r="H104" s="103"/>
      <c r="I104" s="103"/>
      <c r="J104" s="254"/>
      <c r="K104" s="260"/>
      <c r="L104" s="239"/>
      <c r="M104" s="239"/>
      <c r="N104" s="239"/>
      <c r="O104" s="239"/>
      <c r="P104" s="239"/>
      <c r="Q104" s="239"/>
      <c r="R104" s="239"/>
      <c r="S104" s="239"/>
      <c r="T104" s="239"/>
      <c r="U104" s="239"/>
      <c r="V104" s="202"/>
      <c r="W104" s="202"/>
    </row>
    <row r="105" spans="1:31" s="151" customFormat="1">
      <c r="A105" s="69" t="s">
        <v>356</v>
      </c>
      <c r="B105" s="101">
        <f>COUNTIFS('NDC MASTER SHEET'!$B$5:$B$201,"Asia", 'NDC MASTER SHEET'!$S$5:$S$201,"Yes", 'NDC MASTER SHEET'!$BA$5:$BA$201,"&lt;&gt;*N/A*")</f>
        <v>22</v>
      </c>
      <c r="C105" s="101">
        <f>COUNTIFS('NDC MASTER SHEET'!$B$5:$B$201,"North Africa &amp; the Middle East", 'NDC MASTER SHEET'!$S$5:$S$201,"Yes", 'NDC MASTER SHEET'!$BA$5:$BA$201,"&lt;&gt;*N/A*")</f>
        <v>15</v>
      </c>
      <c r="D105" s="101">
        <f>COUNTIFS('NDC MASTER SHEET'!$B$5:$B$201,"Sub-Saharan Africa", 'NDC MASTER SHEET'!$S$5:$S$201,"Yes", 'NDC MASTER SHEET'!$BA$5:$BA$201,"&lt;&gt;*N/A*")</f>
        <v>49</v>
      </c>
      <c r="E105" s="101">
        <f>COUNTIFS('NDC MASTER SHEET'!$B$5:$B$201,"Eastern Europe &amp; Central Asia", 'NDC MASTER SHEET'!$S$5:$S$201,"Yes", 'NDC MASTER SHEET'!$BA$5:$BA$201,"&lt;&gt;*N/A*")</f>
        <v>17</v>
      </c>
      <c r="F105" s="101">
        <f>COUNTIFS('NDC MASTER SHEET'!$B$5:$B$201,"Europe", 'NDC MASTER SHEET'!$S$5:$S$201,"Yes", 'NDC MASTER SHEET'!$BA$5:$BA$201,"&lt;&gt;*N/A*")</f>
        <v>36</v>
      </c>
      <c r="G105" s="101">
        <f>COUNTIFS('NDC MASTER SHEET'!$B$5:$B$201,"Latin America &amp; the Caribbean", 'NDC MASTER SHEET'!$S$5:$S$201,"Yes", 'NDC MASTER SHEET'!$BA$5:$BA$201,"&lt;&gt;*N/A*")</f>
        <v>33</v>
      </c>
      <c r="H105" s="101">
        <f>COUNTIFS('NDC MASTER SHEET'!$B$5:$B$201,"Northern America", 'NDC MASTER SHEET'!$S$5:$S$201,"Yes", 'NDC MASTER SHEET'!$BA$5:$BA$201,"&lt;&gt;*N/A*")</f>
        <v>2</v>
      </c>
      <c r="I105" s="185">
        <f>COUNTIFS('NDC MASTER SHEET'!$B$5:$B$201,"Oceania", 'NDC MASTER SHEET'!$S$5:$S$201,"Yes", 'NDC MASTER SHEET'!$BA$5:$BA$201,"&lt;&gt;*N/A*")</f>
        <v>15</v>
      </c>
      <c r="J105" s="240">
        <f t="shared" si="5"/>
        <v>189</v>
      </c>
      <c r="K105" s="190"/>
      <c r="L105" s="239"/>
      <c r="M105" s="239"/>
      <c r="N105" s="239"/>
      <c r="O105" s="239"/>
      <c r="P105" s="239"/>
      <c r="Q105" s="239"/>
      <c r="R105" s="239"/>
      <c r="S105" s="239"/>
      <c r="T105" s="239"/>
      <c r="U105" s="239"/>
      <c r="V105" s="202"/>
      <c r="W105" s="202"/>
    </row>
    <row r="106" spans="1:31" s="151" customFormat="1">
      <c r="A106" s="69" t="s">
        <v>355</v>
      </c>
      <c r="B106" s="101">
        <f>COUNTIFS('NDC MASTER SHEET'!$B$5:$B$201,"Asia", 'NDC MASTER SHEET'!$T$5:$T$201,"Yes", 'NDC MASTER SHEET'!$BA$5:$BA$201,"&lt;&gt;*N/A*")</f>
        <v>18</v>
      </c>
      <c r="C106" s="101">
        <f>COUNTIFS('NDC MASTER SHEET'!$B$5:$B$201,"North Africa &amp; the Middle East", 'NDC MASTER SHEET'!$T$5:$T$201,"Yes", 'NDC MASTER SHEET'!$BA$5:$BA$201,"&lt;&gt;*N/A*")</f>
        <v>15</v>
      </c>
      <c r="D106" s="101">
        <f>COUNTIFS('NDC MASTER SHEET'!$B$5:$B$201,"Sub-Saharan Africa", 'NDC MASTER SHEET'!$T$5:$T$201,"Yes", 'NDC MASTER SHEET'!$BA$5:$BA$201,"&lt;&gt;*N/A*")</f>
        <v>47</v>
      </c>
      <c r="E106" s="101">
        <f>COUNTIFS('NDC MASTER SHEET'!$B$5:$B$201,"Eastern Europe &amp; Central Asia", 'NDC MASTER SHEET'!$T$5:$T$201,"Yes", 'NDC MASTER SHEET'!$BA$5:$BA$201,"&lt;&gt;*N/A*")</f>
        <v>16</v>
      </c>
      <c r="F106" s="101">
        <f>COUNTIFS('NDC MASTER SHEET'!$B$5:$B$201,"Europe", 'NDC MASTER SHEET'!$T$5:$T$201,"Yes", 'NDC MASTER SHEET'!$BA$5:$BA$201,"&lt;&gt;*N/A*")</f>
        <v>36</v>
      </c>
      <c r="G106" s="101">
        <f>COUNTIFS('NDC MASTER SHEET'!$B$5:$B$201,"Latin America &amp; the Caribbean", 'NDC MASTER SHEET'!$T$5:$T$201,"Yes", 'NDC MASTER SHEET'!$BA$5:$BA$201,"&lt;&gt;*N/A*")</f>
        <v>30</v>
      </c>
      <c r="H106" s="101">
        <f>COUNTIFS('NDC MASTER SHEET'!$B$5:$B$201,"Northern America", 'NDC MASTER SHEET'!$T$5:$T$201,"Yes", 'NDC MASTER SHEET'!$BA$5:$BA$201,"&lt;&gt;*N/A*")</f>
        <v>2</v>
      </c>
      <c r="I106" s="185">
        <f>COUNTIFS('NDC MASTER SHEET'!$B$5:$B$201,"Oceania", 'NDC MASTER SHEET'!$T$5:$T$201,"Yes", 'NDC MASTER SHEET'!$BA$5:$BA$201,"&lt;&gt;*N/A*")</f>
        <v>10</v>
      </c>
      <c r="J106" s="240">
        <f t="shared" si="5"/>
        <v>174</v>
      </c>
      <c r="K106" s="190"/>
      <c r="L106" s="239"/>
      <c r="M106" s="239"/>
      <c r="N106" s="239"/>
      <c r="O106" s="239"/>
      <c r="P106" s="239"/>
      <c r="Q106" s="239"/>
      <c r="R106" s="239"/>
      <c r="S106" s="239"/>
      <c r="T106" s="239"/>
      <c r="U106" s="239"/>
      <c r="V106" s="202"/>
      <c r="W106" s="202"/>
    </row>
    <row r="107" spans="1:31" s="151" customFormat="1">
      <c r="A107" s="69" t="s">
        <v>357</v>
      </c>
      <c r="B107" s="101">
        <f>COUNTIFS('NDC MASTER SHEET'!$B$5:$B$201,"Asia", 'NDC MASTER SHEET'!$U$5:$U$201,"Yes", 'NDC MASTER SHEET'!$BA$5:$BA$201,"&lt;&gt;*N/A*")</f>
        <v>18</v>
      </c>
      <c r="C107" s="101">
        <f>COUNTIFS('NDC MASTER SHEET'!$B$5:$B$201,"North Africa &amp; the Middle East", 'NDC MASTER SHEET'!$U$5:$U$201,"Yes", 'NDC MASTER SHEET'!$BA$5:$BA$201,"&lt;&gt;*N/A*")</f>
        <v>14</v>
      </c>
      <c r="D107" s="101">
        <f>COUNTIFS('NDC MASTER SHEET'!$B$5:$B$201,"Sub-Saharan Africa", 'NDC MASTER SHEET'!$U$5:$U$201,"Yes", 'NDC MASTER SHEET'!$BA$5:$BA$201,"&lt;&gt;*N/A*")</f>
        <v>45</v>
      </c>
      <c r="E107" s="101">
        <f>COUNTIFS('NDC MASTER SHEET'!$B$5:$B$201,"Eastern Europe &amp; Central Asia", 'NDC MASTER SHEET'!$U$5:$U$201,"Yes", 'NDC MASTER SHEET'!$BA$5:$BA$201,"&lt;&gt;*N/A*")</f>
        <v>16</v>
      </c>
      <c r="F107" s="101">
        <f>COUNTIFS('NDC MASTER SHEET'!$B$5:$B$201,"Europe", 'NDC MASTER SHEET'!$U$5:$U$201,"Yes", 'NDC MASTER SHEET'!$BA$5:$BA$201,"&lt;&gt;*N/A*")</f>
        <v>36</v>
      </c>
      <c r="G107" s="101">
        <f>COUNTIFS('NDC MASTER SHEET'!$B$5:$B$201,"Latin America &amp; the Caribbean", 'NDC MASTER SHEET'!$U$5:$U$201,"Yes", 'NDC MASTER SHEET'!$BA$5:$BA$201,"&lt;&gt;*N/A*")</f>
        <v>28</v>
      </c>
      <c r="H107" s="101">
        <f>COUNTIFS('NDC MASTER SHEET'!$B$5:$B$201,"Northern America", 'NDC MASTER SHEET'!$U$5:$U$201,"Yes", 'NDC MASTER SHEET'!$BA$5:$BA$201,"&lt;&gt;*N/A*")</f>
        <v>2</v>
      </c>
      <c r="I107" s="185">
        <f>COUNTIFS('NDC MASTER SHEET'!$B$5:$B$201,"Oceania", 'NDC MASTER SHEET'!$U$5:$U$201,"Yes", 'NDC MASTER SHEET'!$BA$5:$BA$201,"&lt;&gt;*N/A*")</f>
        <v>7</v>
      </c>
      <c r="J107" s="240">
        <f t="shared" si="5"/>
        <v>166</v>
      </c>
      <c r="K107" s="190"/>
      <c r="L107" s="239"/>
      <c r="M107" s="239"/>
      <c r="N107" s="239"/>
      <c r="O107" s="239"/>
      <c r="P107" s="239"/>
      <c r="Q107" s="239"/>
      <c r="R107" s="239"/>
      <c r="S107" s="239"/>
      <c r="T107" s="239"/>
      <c r="U107" s="239"/>
      <c r="V107" s="202"/>
      <c r="W107" s="202"/>
    </row>
    <row r="108" spans="1:31" s="151" customFormat="1">
      <c r="A108" s="69" t="s">
        <v>398</v>
      </c>
      <c r="B108" s="101">
        <f>COUNTIFS('NDC MASTER SHEET'!$B$5:$B$201,"Asia", 'NDC MASTER SHEET'!$V$5:$V$201,"Yes", 'NDC MASTER SHEET'!$BA$5:$BA$201,"&lt;&gt;*N/A*")</f>
        <v>10</v>
      </c>
      <c r="C108" s="101">
        <f>COUNTIFS('NDC MASTER SHEET'!$B$5:$B$201,"North Africa &amp; the Middle East", 'NDC MASTER SHEET'!$V$5:$V$201,"Yes", 'NDC MASTER SHEET'!$BA$5:$BA$201,"&lt;&gt;*N/A*")</f>
        <v>5</v>
      </c>
      <c r="D108" s="101">
        <f>COUNTIFS('NDC MASTER SHEET'!$B$5:$B$201,"Sub-Saharan Africa", 'NDC MASTER SHEET'!$V$5:$V$201,"Yes", 'NDC MASTER SHEET'!$BA$5:$BA$201,"&lt;&gt;*N/A*")</f>
        <v>17</v>
      </c>
      <c r="E108" s="101">
        <f>COUNTIFS('NDC MASTER SHEET'!$B$5:$B$201,"Eastern Europe &amp; Central Asia", 'NDC MASTER SHEET'!$V$5:$V$201,"Yes", 'NDC MASTER SHEET'!$BA$5:$BA$201,"&lt;&gt;*N/A*")</f>
        <v>13</v>
      </c>
      <c r="F108" s="101">
        <f>COUNTIFS('NDC MASTER SHEET'!$B$5:$B$201,"Europe", 'NDC MASTER SHEET'!$V$5:$V$201,"Yes", 'NDC MASTER SHEET'!$BA$5:$BA$201,"&lt;&gt;*N/A*")</f>
        <v>36</v>
      </c>
      <c r="G108" s="101">
        <f>COUNTIFS('NDC MASTER SHEET'!$B$5:$B$201,"Latin America &amp; the Caribbean", 'NDC MASTER SHEET'!$V$5:$V$201,"Yes", 'NDC MASTER SHEET'!$BA$5:$BA$201,"&lt;&gt;*N/A*")</f>
        <v>17</v>
      </c>
      <c r="H108" s="101">
        <f>COUNTIFS('NDC MASTER SHEET'!$B$5:$B$201,"Northern America", 'NDC MASTER SHEET'!$V$5:$V$201,"Yes", 'NDC MASTER SHEET'!$BA$5:$BA$201,"&lt;&gt;*N/A*")</f>
        <v>2</v>
      </c>
      <c r="I108" s="185">
        <f>COUNTIFS('NDC MASTER SHEET'!$B$5:$B$201,"Oceania", 'NDC MASTER SHEET'!$V$5:$V$201,"Yes", 'NDC MASTER SHEET'!$BA$5:$BA$201,"&lt;&gt;*N/A*")</f>
        <v>3</v>
      </c>
      <c r="J108" s="240">
        <f t="shared" si="5"/>
        <v>103</v>
      </c>
      <c r="K108" s="190"/>
      <c r="L108" s="239"/>
      <c r="M108" s="239"/>
      <c r="N108" s="239"/>
      <c r="O108" s="239"/>
      <c r="P108" s="239"/>
      <c r="Q108" s="239"/>
      <c r="R108" s="239"/>
      <c r="S108" s="239"/>
      <c r="T108" s="239"/>
      <c r="U108" s="239"/>
      <c r="V108" s="202"/>
      <c r="W108" s="202"/>
    </row>
    <row r="109" spans="1:31" s="151" customFormat="1">
      <c r="A109" s="69" t="s">
        <v>358</v>
      </c>
      <c r="B109" s="101">
        <f>COUNTIFS('NDC MASTER SHEET'!$B$5:$B$201,"Asia", 'NDC MASTER SHEET'!$W$5:$W$201,"Yes", 'NDC MASTER SHEET'!$BA$5:$BA$201,"&lt;&gt;*N/A*")</f>
        <v>7</v>
      </c>
      <c r="C109" s="101">
        <f>COUNTIFS('NDC MASTER SHEET'!$B$5:$B$201,"North Africa &amp; the Middle East", 'NDC MASTER SHEET'!$W$5:$W$201,"Yes", 'NDC MASTER SHEET'!$BA$5:$BA$201,"&lt;&gt;*N/A*")</f>
        <v>3</v>
      </c>
      <c r="D109" s="101">
        <f>COUNTIFS('NDC MASTER SHEET'!$B$5:$B$201,"Sub-Saharan Africa", 'NDC MASTER SHEET'!$W$5:$W$201,"Yes", 'NDC MASTER SHEET'!$BA$5:$BA$201,"&lt;&gt;*N/A*")</f>
        <v>4</v>
      </c>
      <c r="E109" s="101">
        <f>COUNTIFS('NDC MASTER SHEET'!$B$5:$B$201,"Eastern Europe &amp; Central Asia", 'NDC MASTER SHEET'!$W$5:$W$201,"Yes", 'NDC MASTER SHEET'!$BA$5:$BA$201,"&lt;&gt;*N/A*")</f>
        <v>8</v>
      </c>
      <c r="F109" s="101">
        <f>COUNTIFS('NDC MASTER SHEET'!$B$5:$B$201,"Europe", 'NDC MASTER SHEET'!$W$5:$W$201,"Yes", 'NDC MASTER SHEET'!$BA$5:$BA$201,"&lt;&gt;*N/A*")</f>
        <v>36</v>
      </c>
      <c r="G109" s="101">
        <f>COUNTIFS('NDC MASTER SHEET'!$B$5:$B$201,"Latin America &amp; the Caribbean", 'NDC MASTER SHEET'!$W$5:$W$201,"Yes", 'NDC MASTER SHEET'!$BA$5:$BA$201,"&lt;&gt;*N/A*")</f>
        <v>9</v>
      </c>
      <c r="H109" s="101">
        <f>COUNTIFS('NDC MASTER SHEET'!$B$5:$B$201,"Northern America", 'NDC MASTER SHEET'!$W$5:$W$201,"Yes", 'NDC MASTER SHEET'!$BA$5:$BA$201,"&lt;&gt;*N/A*")</f>
        <v>2</v>
      </c>
      <c r="I109" s="185">
        <f>COUNTIFS('NDC MASTER SHEET'!$B$5:$B$201,"Oceania", 'NDC MASTER SHEET'!$W$5:$W$201,"Yes", 'NDC MASTER SHEET'!$BA$5:$BA$201,"&lt;&gt;*N/A*")</f>
        <v>2</v>
      </c>
      <c r="J109" s="240">
        <f t="shared" si="5"/>
        <v>71</v>
      </c>
      <c r="K109" s="190"/>
      <c r="L109" s="239"/>
      <c r="M109" s="239"/>
      <c r="N109" s="239"/>
      <c r="O109" s="239"/>
      <c r="P109" s="239"/>
      <c r="Q109" s="239"/>
      <c r="R109" s="239"/>
      <c r="S109" s="239"/>
      <c r="T109" s="239"/>
      <c r="U109" s="239"/>
      <c r="V109" s="202"/>
      <c r="W109" s="202"/>
    </row>
    <row r="110" spans="1:31" s="151" customFormat="1">
      <c r="A110" s="69" t="s">
        <v>359</v>
      </c>
      <c r="B110" s="101">
        <f>COUNTIFS('NDC MASTER SHEET'!$B$5:$B$201,"Asia", 'NDC MASTER SHEET'!$X$5:$X$201,"Yes", 'NDC MASTER SHEET'!$BA$5:$BA$201,"&lt;&gt;*N/A*")</f>
        <v>6</v>
      </c>
      <c r="C110" s="101">
        <f>COUNTIFS('NDC MASTER SHEET'!$B$5:$B$201,"North Africa &amp; the Middle East", 'NDC MASTER SHEET'!$X$5:$X$201,"Yes", 'NDC MASTER SHEET'!$BA$5:$BA$201,"&lt;&gt;*N/A*")</f>
        <v>3</v>
      </c>
      <c r="D110" s="101">
        <f>COUNTIFS('NDC MASTER SHEET'!$B$5:$B$201,"Sub-Saharan Africa", 'NDC MASTER SHEET'!$X$5:$X$201,"Yes", 'NDC MASTER SHEET'!$BA$5:$BA$201,"&lt;&gt;*N/A*")</f>
        <v>3</v>
      </c>
      <c r="E110" s="101">
        <f>COUNTIFS('NDC MASTER SHEET'!$B$5:$B$201,"Eastern Europe &amp; Central Asia", 'NDC MASTER SHEET'!$X$5:$X$201,"Yes", 'NDC MASTER SHEET'!$BA$5:$BA$201,"&lt;&gt;*N/A*")</f>
        <v>9</v>
      </c>
      <c r="F110" s="101">
        <f>COUNTIFS('NDC MASTER SHEET'!$B$5:$B$201,"Europe", 'NDC MASTER SHEET'!$X$5:$X$201,"Yes", 'NDC MASTER SHEET'!$BA$5:$BA$201,"&lt;&gt;*N/A*")</f>
        <v>36</v>
      </c>
      <c r="G110" s="101">
        <f>COUNTIFS('NDC MASTER SHEET'!$B$5:$B$201,"Latin America &amp; the Caribbean", 'NDC MASTER SHEET'!$X$5:$X$201,"Yes", 'NDC MASTER SHEET'!$BA$5:$BA$201,"&lt;&gt;*N/A*")</f>
        <v>9</v>
      </c>
      <c r="H110" s="101">
        <f>COUNTIFS('NDC MASTER SHEET'!$B$5:$B$201,"Northern America", 'NDC MASTER SHEET'!$X$5:$X$201,"Yes", 'NDC MASTER SHEET'!$BA$5:$BA$201,"&lt;&gt;*N/A*")</f>
        <v>2</v>
      </c>
      <c r="I110" s="185">
        <f>COUNTIFS('NDC MASTER SHEET'!$B$5:$B$201,"Oceania", 'NDC MASTER SHEET'!$X$5:$X$201,"Yes", 'NDC MASTER SHEET'!$BA$5:$BA$201,"&lt;&gt;*N/A*")</f>
        <v>2</v>
      </c>
      <c r="J110" s="240">
        <f t="shared" si="5"/>
        <v>70</v>
      </c>
      <c r="K110" s="190"/>
      <c r="L110" s="239"/>
      <c r="M110" s="239"/>
      <c r="N110" s="239"/>
      <c r="O110" s="239"/>
      <c r="P110" s="239"/>
      <c r="Q110" s="239"/>
      <c r="R110" s="239"/>
      <c r="S110" s="239"/>
      <c r="T110" s="239"/>
      <c r="U110" s="239"/>
      <c r="V110" s="202"/>
      <c r="W110" s="202"/>
    </row>
    <row r="111" spans="1:31" s="151" customFormat="1">
      <c r="A111" s="154" t="s">
        <v>361</v>
      </c>
      <c r="B111" s="110">
        <f>COUNTIFS('NDC MASTER SHEET'!$B$5:$B$201,"Asia", 'NDC MASTER SHEET'!$Y$5:$Y$201,"Yes", 'NDC MASTER SHEET'!$BA$5:$BA$201,"&lt;&gt;*N/A*")</f>
        <v>3</v>
      </c>
      <c r="C111" s="110">
        <f>COUNTIFS('NDC MASTER SHEET'!$B$5:$B$201,"North Africa &amp; the Middle East", 'NDC MASTER SHEET'!$Y$5:$Y$201,"Yes", 'NDC MASTER SHEET'!$BA$5:$BA$201,"&lt;&gt;*N/A*")</f>
        <v>1</v>
      </c>
      <c r="D111" s="110">
        <f>COUNTIFS('NDC MASTER SHEET'!$B$5:$B$201,"Sub-Saharan Africa", 'NDC MASTER SHEET'!$Y$5:$Y$201,"Yes", 'NDC MASTER SHEET'!$BA$5:$BA$201,"&lt;&gt;*N/A*")</f>
        <v>1</v>
      </c>
      <c r="E111" s="110">
        <f>COUNTIFS('NDC MASTER SHEET'!$B$5:$B$201,"Eastern Europe &amp; Central Asia", 'NDC MASTER SHEET'!$Y$5:$Y$201,"Yes", 'NDC MASTER SHEET'!$BA$5:$BA$201,"&lt;&gt;*N/A*")</f>
        <v>5</v>
      </c>
      <c r="F111" s="110">
        <f>COUNTIFS('NDC MASTER SHEET'!$B$5:$B$201,"Europe", 'NDC MASTER SHEET'!$Y$5:$Y$201,"Yes", 'NDC MASTER SHEET'!$BA$5:$BA$201,"&lt;&gt;*N/A*")</f>
        <v>35</v>
      </c>
      <c r="G111" s="110">
        <f>COUNTIFS('NDC MASTER SHEET'!$B$5:$B$201,"Latin America &amp; the Caribbean", 'NDC MASTER SHEET'!$Y$5:$Y$201,"Yes", 'NDC MASTER SHEET'!$BA$5:$BA$201,"&lt;&gt;*N/A*")</f>
        <v>2</v>
      </c>
      <c r="H111" s="110">
        <f>COUNTIFS('NDC MASTER SHEET'!$B$5:$B$201,"Northern America", 'NDC MASTER SHEET'!$Y$5:$Y$201,"Yes", 'NDC MASTER SHEET'!$BA$5:$BA$201,"&lt;&gt;*N/A*")</f>
        <v>2</v>
      </c>
      <c r="I111" s="244">
        <f>COUNTIFS('NDC MASTER SHEET'!$B$5:$B$201,"Oceania", 'NDC MASTER SHEET'!$Y$5:$Y$201,"Yes", 'NDC MASTER SHEET'!$BA$5:$BA$201,"&lt;&gt;*N/A*")</f>
        <v>2</v>
      </c>
      <c r="J111" s="253">
        <f t="shared" si="5"/>
        <v>51</v>
      </c>
      <c r="K111" s="190"/>
      <c r="L111" s="239"/>
      <c r="M111" s="239"/>
      <c r="N111" s="239"/>
      <c r="O111" s="239"/>
      <c r="P111" s="239"/>
      <c r="Q111" s="239"/>
      <c r="R111" s="239"/>
      <c r="S111" s="239"/>
      <c r="T111" s="239"/>
      <c r="U111" s="239"/>
      <c r="V111" s="202"/>
      <c r="W111" s="202"/>
    </row>
    <row r="112" spans="1:31" s="156" customFormat="1">
      <c r="A112" s="27" t="s">
        <v>412</v>
      </c>
      <c r="B112" s="16"/>
      <c r="C112" s="16"/>
      <c r="D112" s="16"/>
      <c r="E112" s="16"/>
      <c r="F112" s="16"/>
      <c r="G112" s="16"/>
      <c r="H112" s="16"/>
      <c r="I112" s="16"/>
      <c r="J112" s="16"/>
      <c r="K112" s="151"/>
      <c r="L112" s="151"/>
      <c r="M112" s="151"/>
      <c r="N112" s="151"/>
      <c r="O112" s="151"/>
      <c r="P112" s="151"/>
      <c r="Q112" s="151"/>
      <c r="R112" s="151"/>
      <c r="S112" s="151"/>
      <c r="T112" s="151"/>
      <c r="U112" s="151"/>
      <c r="V112" s="151"/>
      <c r="W112" s="151"/>
      <c r="X112" s="151"/>
      <c r="Y112" s="151"/>
      <c r="Z112" s="151"/>
      <c r="AA112" s="151"/>
      <c r="AB112" s="151"/>
      <c r="AC112" s="151"/>
      <c r="AD112" s="151"/>
      <c r="AE112" s="151"/>
    </row>
    <row r="113" spans="1:31" s="151" customFormat="1">
      <c r="A113" s="27"/>
      <c r="B113" s="16"/>
      <c r="C113" s="16"/>
      <c r="D113" s="16"/>
      <c r="E113" s="16"/>
      <c r="F113" s="16"/>
      <c r="G113" s="16"/>
      <c r="H113" s="16"/>
      <c r="I113" s="16"/>
      <c r="J113" s="16"/>
      <c r="K113" s="156"/>
      <c r="L113" s="156"/>
      <c r="M113" s="156"/>
      <c r="N113" s="156"/>
      <c r="O113" s="156"/>
      <c r="P113" s="156"/>
      <c r="Q113" s="156"/>
      <c r="R113" s="156"/>
      <c r="S113" s="289"/>
      <c r="T113" s="156"/>
      <c r="U113" s="156"/>
      <c r="V113" s="156"/>
      <c r="W113" s="156"/>
      <c r="X113" s="418"/>
      <c r="Y113" s="156"/>
      <c r="Z113" s="156"/>
      <c r="AA113" s="156"/>
      <c r="AB113" s="156"/>
      <c r="AC113" s="156"/>
      <c r="AD113" s="156"/>
      <c r="AE113" s="156"/>
    </row>
    <row r="114" spans="1:31" ht="35.25" customHeight="1">
      <c r="A114" s="731" t="s">
        <v>404</v>
      </c>
      <c r="B114" s="731"/>
      <c r="C114" s="731"/>
      <c r="D114" s="731"/>
      <c r="E114" s="100"/>
      <c r="F114" s="731" t="s">
        <v>405</v>
      </c>
      <c r="G114" s="731"/>
      <c r="H114" s="731"/>
      <c r="I114" s="731"/>
      <c r="J114" s="731"/>
      <c r="K114" s="731"/>
    </row>
    <row r="115" spans="1:31">
      <c r="A115" s="27"/>
      <c r="B115" s="16"/>
      <c r="C115" s="16"/>
      <c r="D115" s="16"/>
      <c r="E115" s="16"/>
      <c r="F115" s="16"/>
      <c r="G115" s="16"/>
      <c r="H115" s="16"/>
      <c r="I115" s="16"/>
      <c r="J115" s="16"/>
    </row>
    <row r="116" spans="1:31">
      <c r="A116" s="27"/>
      <c r="B116" s="16"/>
      <c r="C116" s="16"/>
      <c r="D116" s="16"/>
      <c r="E116" s="16"/>
      <c r="F116" s="16"/>
      <c r="G116" s="16"/>
      <c r="H116" s="16"/>
      <c r="I116" s="16"/>
      <c r="J116" s="16"/>
    </row>
    <row r="117" spans="1:31">
      <c r="A117" s="27"/>
      <c r="B117" s="16"/>
      <c r="C117" s="16"/>
      <c r="D117" s="16"/>
      <c r="E117" s="16"/>
      <c r="F117" s="16"/>
      <c r="G117" s="16"/>
      <c r="H117" s="16"/>
      <c r="I117" s="16"/>
      <c r="J117" s="16"/>
    </row>
    <row r="118" spans="1:31">
      <c r="A118" s="27"/>
      <c r="B118" s="16"/>
      <c r="C118" s="16"/>
      <c r="D118" s="16"/>
      <c r="E118" s="16"/>
      <c r="F118" s="16"/>
      <c r="G118" s="16"/>
      <c r="H118" s="16"/>
      <c r="I118" s="16"/>
      <c r="J118" s="16"/>
    </row>
    <row r="119" spans="1:31">
      <c r="A119" s="27"/>
      <c r="B119" s="16"/>
      <c r="C119" s="16"/>
      <c r="D119" s="16"/>
      <c r="E119" s="16"/>
      <c r="F119" s="16"/>
      <c r="G119" s="16"/>
      <c r="H119" s="16"/>
      <c r="I119" s="16"/>
      <c r="J119" s="16"/>
    </row>
    <row r="120" spans="1:31">
      <c r="A120" s="27"/>
      <c r="B120" s="16"/>
      <c r="C120" s="16"/>
      <c r="D120" s="16"/>
      <c r="E120" s="16"/>
      <c r="F120" s="16"/>
      <c r="G120" s="16"/>
      <c r="H120" s="16"/>
      <c r="I120" s="16"/>
      <c r="J120" s="16"/>
    </row>
    <row r="121" spans="1:31">
      <c r="A121" s="27"/>
      <c r="B121" s="16"/>
      <c r="C121" s="16"/>
      <c r="D121" s="16"/>
      <c r="E121" s="16"/>
      <c r="F121" s="16"/>
      <c r="G121" s="16"/>
      <c r="H121" s="16"/>
      <c r="I121" s="16"/>
      <c r="J121" s="16"/>
    </row>
    <row r="122" spans="1:31">
      <c r="A122" s="27"/>
      <c r="B122" s="16"/>
      <c r="C122" s="16"/>
      <c r="D122" s="16"/>
      <c r="E122" s="16"/>
      <c r="F122" s="16"/>
      <c r="G122" s="16"/>
      <c r="H122" s="16"/>
      <c r="I122" s="16"/>
      <c r="J122" s="16"/>
    </row>
    <row r="123" spans="1:31">
      <c r="A123" s="27"/>
      <c r="B123" s="16"/>
      <c r="C123" s="16"/>
      <c r="D123" s="16"/>
      <c r="E123" s="16"/>
      <c r="F123" s="16"/>
      <c r="G123" s="16"/>
      <c r="H123" s="16"/>
      <c r="I123" s="16"/>
      <c r="J123" s="16"/>
    </row>
    <row r="124" spans="1:31">
      <c r="A124" s="27"/>
      <c r="B124" s="16"/>
      <c r="C124" s="16"/>
      <c r="D124" s="16"/>
      <c r="E124" s="16"/>
      <c r="F124" s="16"/>
      <c r="G124" s="16"/>
      <c r="H124" s="16"/>
      <c r="I124" s="16"/>
      <c r="J124" s="16"/>
    </row>
    <row r="125" spans="1:31">
      <c r="A125" s="27"/>
      <c r="B125" s="16"/>
      <c r="C125" s="16"/>
      <c r="D125" s="16"/>
      <c r="E125" s="16"/>
      <c r="F125" s="16"/>
      <c r="G125" s="16"/>
      <c r="H125" s="16"/>
      <c r="I125" s="16"/>
      <c r="J125" s="16"/>
    </row>
    <row r="126" spans="1:31">
      <c r="A126" s="27"/>
      <c r="B126" s="16"/>
      <c r="C126" s="16"/>
      <c r="D126" s="16"/>
      <c r="E126" s="16"/>
      <c r="F126" s="16"/>
      <c r="G126" s="16"/>
      <c r="H126" s="16"/>
      <c r="I126" s="16"/>
      <c r="J126" s="16"/>
    </row>
    <row r="127" spans="1:31">
      <c r="A127" s="27"/>
      <c r="B127" s="16"/>
      <c r="C127" s="16"/>
      <c r="D127" s="16"/>
      <c r="E127" s="16"/>
      <c r="F127" s="16"/>
      <c r="G127" s="16"/>
      <c r="H127" s="16"/>
      <c r="I127" s="16"/>
      <c r="J127" s="16"/>
    </row>
    <row r="128" spans="1:31" ht="35.25" customHeight="1">
      <c r="A128" s="27"/>
      <c r="B128" s="16"/>
      <c r="C128" s="16"/>
      <c r="D128" s="16"/>
      <c r="E128" s="16"/>
      <c r="F128" s="16"/>
      <c r="G128" s="16"/>
      <c r="H128" s="16"/>
      <c r="I128" s="16"/>
      <c r="J128" s="16"/>
    </row>
    <row r="129" spans="1:11" ht="14.4">
      <c r="A129" s="731" t="s">
        <v>406</v>
      </c>
      <c r="B129" s="731"/>
      <c r="C129" s="731"/>
      <c r="D129" s="731"/>
      <c r="E129" s="100"/>
      <c r="F129" s="731" t="s">
        <v>407</v>
      </c>
      <c r="G129" s="731"/>
      <c r="H129" s="731"/>
      <c r="I129" s="731"/>
      <c r="J129" s="731"/>
      <c r="K129" s="731"/>
    </row>
    <row r="130" spans="1:11">
      <c r="A130" s="27"/>
      <c r="B130" s="16"/>
      <c r="C130" s="16"/>
      <c r="D130" s="16"/>
      <c r="E130" s="16"/>
      <c r="F130" s="16"/>
      <c r="G130" s="16"/>
      <c r="H130" s="16"/>
      <c r="I130" s="16"/>
      <c r="J130" s="16"/>
    </row>
    <row r="131" spans="1:11" ht="33.75" customHeight="1">
      <c r="A131" s="731" t="s">
        <v>406</v>
      </c>
      <c r="B131" s="731"/>
      <c r="C131" s="731"/>
      <c r="D131" s="731"/>
      <c r="F131" s="731" t="s">
        <v>407</v>
      </c>
      <c r="G131" s="731"/>
      <c r="H131" s="731"/>
      <c r="I131" s="731"/>
      <c r="J131" s="731"/>
      <c r="K131" s="731"/>
    </row>
    <row r="132" spans="1:11">
      <c r="A132" s="27"/>
      <c r="B132" s="16"/>
      <c r="C132" s="16"/>
      <c r="D132" s="16"/>
      <c r="E132" s="16"/>
      <c r="F132" s="16"/>
      <c r="G132" s="16"/>
      <c r="H132" s="16"/>
      <c r="I132" s="16"/>
      <c r="J132" s="16"/>
    </row>
    <row r="133" spans="1:11">
      <c r="A133" s="27"/>
      <c r="B133" s="16"/>
      <c r="C133" s="16"/>
      <c r="D133" s="16"/>
      <c r="E133" s="16"/>
      <c r="F133" s="16"/>
      <c r="G133" s="16"/>
      <c r="H133" s="16"/>
      <c r="I133" s="16"/>
      <c r="J133" s="16"/>
    </row>
    <row r="134" spans="1:11">
      <c r="A134" s="27"/>
      <c r="B134" s="16"/>
      <c r="C134" s="16"/>
      <c r="D134" s="16"/>
      <c r="E134" s="16"/>
      <c r="F134" s="16"/>
      <c r="G134" s="16"/>
      <c r="H134" s="16"/>
      <c r="I134" s="16"/>
      <c r="J134" s="16"/>
    </row>
    <row r="135" spans="1:11">
      <c r="A135" s="27"/>
      <c r="B135" s="16"/>
      <c r="C135" s="16"/>
      <c r="D135" s="16"/>
      <c r="E135" s="16"/>
      <c r="F135" s="16"/>
      <c r="G135" s="16"/>
      <c r="H135" s="16"/>
      <c r="I135" s="16"/>
      <c r="J135" s="16"/>
    </row>
    <row r="136" spans="1:11">
      <c r="A136" s="27"/>
      <c r="B136" s="16"/>
      <c r="C136" s="16"/>
      <c r="D136" s="16"/>
      <c r="E136" s="16"/>
      <c r="F136" s="16"/>
      <c r="G136" s="16"/>
      <c r="H136" s="16"/>
      <c r="I136" s="16"/>
      <c r="J136" s="16"/>
    </row>
    <row r="137" spans="1:11">
      <c r="A137" s="27"/>
      <c r="B137" s="16"/>
      <c r="C137" s="16"/>
      <c r="D137" s="16"/>
      <c r="E137" s="16"/>
      <c r="F137" s="16"/>
      <c r="G137" s="16"/>
      <c r="H137" s="16"/>
      <c r="I137" s="16"/>
      <c r="J137" s="16"/>
    </row>
    <row r="138" spans="1:11">
      <c r="A138" s="27"/>
      <c r="B138" s="16"/>
      <c r="C138" s="16"/>
      <c r="D138" s="16"/>
      <c r="E138" s="16"/>
      <c r="F138" s="16"/>
      <c r="G138" s="16"/>
      <c r="H138" s="16"/>
      <c r="I138" s="16"/>
      <c r="J138" s="16"/>
    </row>
    <row r="139" spans="1:11">
      <c r="A139" s="27"/>
      <c r="B139" s="16"/>
      <c r="C139" s="16"/>
      <c r="D139" s="16"/>
      <c r="E139" s="16"/>
      <c r="F139" s="16"/>
      <c r="G139" s="16"/>
      <c r="H139" s="16"/>
      <c r="I139" s="16"/>
      <c r="J139" s="16"/>
    </row>
    <row r="140" spans="1:11">
      <c r="A140" s="27"/>
      <c r="B140" s="16"/>
      <c r="C140" s="16"/>
      <c r="D140" s="16"/>
      <c r="E140" s="16"/>
      <c r="F140" s="16"/>
      <c r="G140" s="16"/>
      <c r="H140" s="16"/>
      <c r="I140" s="16"/>
      <c r="J140" s="16"/>
    </row>
    <row r="141" spans="1:11">
      <c r="A141" s="27"/>
      <c r="B141" s="16"/>
      <c r="C141" s="16"/>
      <c r="D141" s="16"/>
      <c r="E141" s="16"/>
      <c r="F141" s="16"/>
      <c r="G141" s="16"/>
      <c r="H141" s="16"/>
      <c r="I141" s="16"/>
      <c r="J141" s="16"/>
    </row>
    <row r="142" spans="1:11">
      <c r="A142" s="27"/>
      <c r="B142" s="16"/>
      <c r="C142" s="16"/>
      <c r="D142" s="16"/>
      <c r="E142" s="16"/>
      <c r="F142" s="16"/>
      <c r="G142" s="16"/>
      <c r="H142" s="16"/>
      <c r="I142" s="16"/>
      <c r="J142" s="16"/>
    </row>
    <row r="143" spans="1:11">
      <c r="A143" s="27"/>
      <c r="B143" s="16"/>
      <c r="C143" s="16"/>
      <c r="D143" s="16"/>
      <c r="E143" s="16"/>
      <c r="F143" s="16"/>
      <c r="G143" s="16"/>
      <c r="H143" s="16"/>
      <c r="I143" s="16"/>
      <c r="J143" s="16"/>
    </row>
    <row r="144" spans="1:11">
      <c r="A144" s="27"/>
      <c r="B144" s="16"/>
      <c r="C144" s="16"/>
      <c r="D144" s="16"/>
      <c r="E144" s="16"/>
      <c r="F144" s="16"/>
      <c r="G144" s="16"/>
      <c r="H144" s="16"/>
      <c r="I144" s="16"/>
      <c r="J144" s="16"/>
    </row>
    <row r="145" spans="1:17" s="289" customFormat="1">
      <c r="A145" s="27"/>
      <c r="B145" s="16"/>
      <c r="C145" s="16"/>
      <c r="D145" s="16"/>
      <c r="E145" s="16"/>
      <c r="F145" s="16"/>
      <c r="G145" s="16"/>
      <c r="H145" s="16"/>
      <c r="I145" s="16"/>
      <c r="J145" s="16"/>
    </row>
    <row r="146" spans="1:17" s="289" customFormat="1">
      <c r="A146" s="27"/>
      <c r="B146" s="16"/>
      <c r="C146" s="16"/>
      <c r="D146" s="16"/>
      <c r="E146" s="16"/>
      <c r="F146" s="16"/>
      <c r="G146" s="16"/>
      <c r="H146" s="16"/>
      <c r="I146" s="16"/>
      <c r="J146" s="16"/>
    </row>
    <row r="147" spans="1:17" s="289" customFormat="1">
      <c r="A147" s="27"/>
      <c r="B147" s="16"/>
      <c r="C147" s="16"/>
      <c r="D147" s="16"/>
      <c r="E147" s="16"/>
      <c r="F147" s="16"/>
      <c r="G147" s="16"/>
      <c r="H147" s="16"/>
      <c r="I147" s="16"/>
      <c r="J147" s="16"/>
    </row>
    <row r="148" spans="1:17" ht="11.25" customHeight="1">
      <c r="A148" s="27"/>
      <c r="B148" s="16"/>
      <c r="C148" s="16"/>
      <c r="D148" s="16"/>
      <c r="E148" s="16"/>
      <c r="F148" s="16"/>
      <c r="G148" s="16"/>
      <c r="H148" s="16"/>
      <c r="I148" s="16"/>
      <c r="J148" s="16"/>
    </row>
    <row r="149" spans="1:17" ht="14.4" customHeight="1">
      <c r="A149" s="748" t="s">
        <v>2191</v>
      </c>
      <c r="B149" s="749"/>
      <c r="C149" s="749"/>
      <c r="D149" s="749"/>
      <c r="E149" s="749"/>
      <c r="F149" s="749"/>
      <c r="G149" s="749"/>
      <c r="H149" s="749"/>
      <c r="I149" s="749"/>
      <c r="J149" s="749"/>
      <c r="K149" s="627"/>
      <c r="L149" s="2"/>
    </row>
    <row r="150" spans="1:17" ht="48">
      <c r="A150" s="42"/>
      <c r="B150" s="290" t="s">
        <v>23</v>
      </c>
      <c r="C150" s="290" t="s">
        <v>453</v>
      </c>
      <c r="D150" s="99" t="s">
        <v>455</v>
      </c>
      <c r="E150" s="99" t="s">
        <v>456</v>
      </c>
      <c r="F150" s="99" t="s">
        <v>457</v>
      </c>
      <c r="G150" s="99" t="s">
        <v>181</v>
      </c>
      <c r="H150" s="99" t="s">
        <v>459</v>
      </c>
      <c r="I150" s="99" t="s">
        <v>454</v>
      </c>
      <c r="J150" s="40" t="s">
        <v>170</v>
      </c>
      <c r="K150" s="2"/>
    </row>
    <row r="151" spans="1:17">
      <c r="A151" s="87" t="s">
        <v>245</v>
      </c>
      <c r="B151" s="83"/>
      <c r="C151" s="83"/>
      <c r="D151" s="83"/>
      <c r="E151" s="83"/>
      <c r="F151" s="83"/>
      <c r="G151" s="83"/>
      <c r="H151" s="83"/>
      <c r="I151" s="83"/>
      <c r="J151" s="628"/>
      <c r="K151" s="2"/>
    </row>
    <row r="152" spans="1:17">
      <c r="A152" s="61" t="s">
        <v>186</v>
      </c>
      <c r="B152" s="101">
        <f>COUNTIFS('NDC MASTER SHEET'!$B$5:$B$201,"Asia", 'NDC MASTER SHEET'!$C$5:$C$201,"Absolute emission reduction", 'NDC MASTER SHEET'!$BA$5:$BA$201,"&lt;&gt;*N/A*")</f>
        <v>3</v>
      </c>
      <c r="C152" s="101">
        <f>COUNTIFS('NDC MASTER SHEET'!$B$5:$B$201,"North Africa &amp; the Middle East", 'NDC MASTER SHEET'!$C$5:$C$201,"Absolute emission reduction", 'NDC MASTER SHEET'!$BA$5:$BA$201,"&lt;&gt;*N/A*")</f>
        <v>1</v>
      </c>
      <c r="D152" s="101">
        <f>COUNTIFS('NDC MASTER SHEET'!$B$5:$B$201,"Sub-Saharan Africa", 'NDC MASTER SHEET'!$C$5:$C$201,"Absolute emission reduction", 'NDC MASTER SHEET'!$BA$5:$BA$201,"&lt;&gt;*N/A*")</f>
        <v>11</v>
      </c>
      <c r="E152" s="101">
        <f>COUNTIFS('NDC MASTER SHEET'!$B$5:$B$201,"Eastern Europe &amp; Central Asia", 'NDC MASTER SHEET'!$C$5:$C$201,"Absolute emission reduction", 'NDC MASTER SHEET'!$BA$5:$BA$201,"&lt;&gt;*N/A*")</f>
        <v>14</v>
      </c>
      <c r="F152" s="101">
        <f>COUNTIFS('NDC MASTER SHEET'!$B$5:$B$201,"Europe", 'NDC MASTER SHEET'!$C$5:$C$201,"Absolute emission reduction", 'NDC MASTER SHEET'!$BA$5:$BA$201,"&lt;&gt;*N/A*")</f>
        <v>35</v>
      </c>
      <c r="G152" s="101">
        <f>COUNTIFS('NDC MASTER SHEET'!$B$5:$B$201,"Latin America &amp; the Caribbean", 'NDC MASTER SHEET'!$C$5:$C$201,"Absolute emission reduction", 'NDC MASTER SHEET'!$BA$5:$BA$201,"&lt;&gt;*N/A*")</f>
        <v>11</v>
      </c>
      <c r="H152" s="101">
        <f>COUNTIFS('NDC MASTER SHEET'!$B$5:$B$201,"Northern America", 'NDC MASTER SHEET'!$C$5:$C$201,"Absolute emission reduction", 'NDC MASTER SHEET'!$BA$5:$BA$201,"&lt;&gt;*N/A*")</f>
        <v>2</v>
      </c>
      <c r="I152" s="185">
        <f>COUNTIFS('NDC MASTER SHEET'!$B$5:$B$201,"Oceania", 'NDC MASTER SHEET'!$C$5:$C$201,"Absolute emission reduction", 'NDC MASTER SHEET'!$BA$5:$BA$201,"&lt;&gt;*N/A*")</f>
        <v>10</v>
      </c>
      <c r="J152" s="240">
        <f>SUM(B152:I152)</f>
        <v>87</v>
      </c>
      <c r="K152" s="2"/>
      <c r="L152" s="2"/>
      <c r="M152" s="2"/>
      <c r="N152" s="2"/>
      <c r="O152" s="2"/>
      <c r="P152" s="2"/>
      <c r="Q152" s="2"/>
    </row>
    <row r="153" spans="1:17">
      <c r="A153" s="61" t="s">
        <v>185</v>
      </c>
      <c r="B153" s="101">
        <f>COUNTIFS('NDC MASTER SHEET'!$B$5:$B$201,"Asia", 'NDC MASTER SHEET'!$C$5:$C$201,"Relative emission reduction", 'NDC MASTER SHEET'!$BA$5:$BA$201,"&lt;&gt;*N/A*")</f>
        <v>14</v>
      </c>
      <c r="C153" s="101">
        <f>COUNTIFS('NDC MASTER SHEET'!$B$5:$B$201,"North Africa &amp; the Middle East", 'NDC MASTER SHEET'!$C$5:$C$201,"Relative emission reduction", 'NDC MASTER SHEET'!$BA$5:$BA$201,"&lt;&gt;*N/A*")</f>
        <v>12</v>
      </c>
      <c r="D153" s="101">
        <f>COUNTIFS('NDC MASTER SHEET'!$B$5:$B$201,"Sub-Saharan Africa", 'NDC MASTER SHEET'!$C$5:$C$201,"Relative emission reduction", 'NDC MASTER SHEET'!$BA$5:$BA$201,"&lt;&gt;*N/A*")</f>
        <v>34</v>
      </c>
      <c r="E153" s="101">
        <f>COUNTIFS('NDC MASTER SHEET'!$B$5:$B$201,"Eastern Europe &amp; Central Asia", 'NDC MASTER SHEET'!$C$5:$C$201,"Relative emission reduction", 'NDC MASTER SHEET'!$BA$5:$BA$201,"&lt;&gt;*N/A*")</f>
        <v>2</v>
      </c>
      <c r="F153" s="101">
        <f>COUNTIFS('NDC MASTER SHEET'!$B$5:$B$201,"Europe", 'NDC MASTER SHEET'!$C$5:$C$201,"Relative emission reduction", 'NDC MASTER SHEET'!$BA$5:$BA$201,"&lt;&gt;*N/A*")</f>
        <v>1</v>
      </c>
      <c r="G153" s="101">
        <f>COUNTIFS('NDC MASTER SHEET'!$B$5:$B$201,"Latin America &amp; the Caribbean", 'NDC MASTER SHEET'!$C$5:$C$201,"Relative emission reduction", 'NDC MASTER SHEET'!$BA$5:$BA$201,"&lt;&gt;*N/A*")</f>
        <v>14</v>
      </c>
      <c r="H153" s="101">
        <f>COUNTIFS('NDC MASTER SHEET'!$B$5:$B$201,"Northern America", 'NDC MASTER SHEET'!$C$5:$C$201,"Relative emission reduction", 'NDC MASTER SHEET'!$BA$5:$BA$201,"&lt;&gt;*N/A*")</f>
        <v>0</v>
      </c>
      <c r="I153" s="185">
        <f>COUNTIFS('NDC MASTER SHEET'!$B$5:$B$201,"Oceania", 'NDC MASTER SHEET'!$C$5:$C$201,"Relative emission reduction", 'NDC MASTER SHEET'!$BA$5:$BA$201,"&lt;&gt;*N/A*")</f>
        <v>2</v>
      </c>
      <c r="J153" s="240">
        <f>SUM(B153:I153)</f>
        <v>79</v>
      </c>
      <c r="K153" s="2"/>
      <c r="L153" s="2"/>
      <c r="M153" s="2"/>
      <c r="N153" s="2"/>
      <c r="O153" s="2"/>
      <c r="P153" s="2"/>
      <c r="Q153" s="2"/>
    </row>
    <row r="154" spans="1:17">
      <c r="A154" s="61" t="s">
        <v>446</v>
      </c>
      <c r="B154" s="101">
        <f>COUNTIFS('NDC MASTER SHEET'!$B$5:$B$201,"Asia", 'NDC MASTER SHEET'!$C$5:$C$201,"Carbon intensity reduction", 'NDC MASTER SHEET'!$BA$5:$BA$201,"&lt;&gt;*N/A*")</f>
        <v>3</v>
      </c>
      <c r="C154" s="101">
        <f>COUNTIFS('NDC MASTER SHEET'!$B$5:$B$201,"North Africa &amp; the Middle East", 'NDC MASTER SHEET'!$C$5:$C$201,"Carbon intensity reduction", 'NDC MASTER SHEET'!$BA$5:$BA$201,"&lt;&gt;*N/A*")</f>
        <v>1</v>
      </c>
      <c r="D154" s="101">
        <f>COUNTIFS('NDC MASTER SHEET'!$B$5:$B$201,"Sub-Saharan Africa", 'NDC MASTER SHEET'!$C$5:$C$201,"Carbon intensity reduction", 'NDC MASTER SHEET'!$BA$5:$BA$201,"&lt;&gt;*N/A*")</f>
        <v>1</v>
      </c>
      <c r="E154" s="101">
        <f>COUNTIFS('NDC MASTER SHEET'!$B$5:$B$201,"Eastern Europe &amp; Central Asia", 'NDC MASTER SHEET'!$C$5:$C$201,"Carbon intensity reduction", 'NDC MASTER SHEET'!$BA$5:$BA$201,"&lt;&gt;*N/A*")</f>
        <v>1</v>
      </c>
      <c r="F154" s="101">
        <f>COUNTIFS('NDC MASTER SHEET'!$B$5:$B$201,"Europe", 'NDC MASTER SHEET'!$C$5:$C$201,"Carbon intensity reduction", 'NDC MASTER SHEET'!$BA$5:$BA$201,"&lt;&gt;*N/A*")</f>
        <v>0</v>
      </c>
      <c r="G154" s="101">
        <f>COUNTIFS('NDC MASTER SHEET'!$B$5:$B$201,"Latin America &amp; the Caribbean", 'NDC MASTER SHEET'!$C$5:$C$201,"Carbon intensity reduction", 'NDC MASTER SHEET'!$BA$5:$BA$201,"&lt;&gt;*N/A*")</f>
        <v>1</v>
      </c>
      <c r="H154" s="101">
        <f>COUNTIFS('NDC MASTER SHEET'!$B$5:$B$201,"Northern America", 'NDC MASTER SHEET'!$C$5:$C$201,"Carbon intensity reduction", 'NDC MASTER SHEET'!$BA$5:$BA$201,"&lt;&gt;*N/A*")</f>
        <v>0</v>
      </c>
      <c r="I154" s="185">
        <f>COUNTIFS('NDC MASTER SHEET'!$B$5:$B$201,"Oceania", 'NDC MASTER SHEET'!$C$5:$C$201,"Carbon intensity reduction", 'NDC MASTER SHEET'!$BA$5:$BA$201,"&lt;&gt;*N/A*")</f>
        <v>0</v>
      </c>
      <c r="J154" s="240">
        <f>SUM(B154:I154)</f>
        <v>7</v>
      </c>
      <c r="K154" s="2"/>
      <c r="L154" s="2"/>
      <c r="M154" s="2"/>
      <c r="N154" s="2"/>
      <c r="O154" s="2"/>
      <c r="P154" s="2"/>
      <c r="Q154" s="2"/>
    </row>
    <row r="155" spans="1:17">
      <c r="A155" s="61" t="s">
        <v>445</v>
      </c>
      <c r="B155" s="101">
        <f>COUNTIFS('NDC MASTER SHEET'!$B$5:$B$201,"Asia", 'NDC MASTER SHEET'!$C$5:$C$201,"Peak of carbon emissions", 'NDC MASTER SHEET'!$BA$5:$BA$201,"&lt;&gt;*N/A*")</f>
        <v>1</v>
      </c>
      <c r="C155" s="101">
        <f>COUNTIFS('NDC MASTER SHEET'!$B$5:$B$201,"North Africa &amp; the Middle East", 'NDC MASTER SHEET'!$C$5:$C$201,"Peak of carbon emissions", 'NDC MASTER SHEET'!$BA$5:$BA$201,"&lt;&gt;*N/A*")</f>
        <v>0</v>
      </c>
      <c r="D155" s="101">
        <f>COUNTIFS('NDC MASTER SHEET'!$B$5:$B$201,"Sub-Saharan Africa", 'NDC MASTER SHEET'!$C$5:$C$201,"Peak of carbon emissions", 'NDC MASTER SHEET'!$BA$5:$BA$201,"&lt;&gt;*N/A*")</f>
        <v>1</v>
      </c>
      <c r="E155" s="101">
        <f>COUNTIFS('NDC MASTER SHEET'!$B$5:$B$201,"Eastern Europe &amp; Central Asia", 'NDC MASTER SHEET'!$C$5:$C$201,"Peak of carbon emissions", 'NDC MASTER SHEET'!$BA$5:$BA$201,"&lt;&gt;*N/A*")</f>
        <v>0</v>
      </c>
      <c r="F155" s="101">
        <f>COUNTIFS('NDC MASTER SHEET'!$B$5:$B$201,"Europe", 'NDC MASTER SHEET'!$C$5:$C$201,"Peak of carbon emissions", 'NDC MASTER SHEET'!$BA$5:$BA$201,"&lt;&gt;*N/A*")</f>
        <v>0</v>
      </c>
      <c r="G155" s="101">
        <f>COUNTIFS('NDC MASTER SHEET'!$B$5:$B$201,"Latin America &amp; the Caribbean", 'NDC MASTER SHEET'!$C$5:$C$201,"Peak of carbon emissions", 'NDC MASTER SHEET'!$BA$5:$BA$201,"&lt;&gt;*N/A*")</f>
        <v>1</v>
      </c>
      <c r="H155" s="101">
        <f>COUNTIFS('NDC MASTER SHEET'!$B$5:$B$201,"Northern America", 'NDC MASTER SHEET'!$C$5:$C$201,"Peak of carbon emissions", 'NDC MASTER SHEET'!$BA$5:$BA$201,"&lt;&gt;*N/A*")</f>
        <v>0</v>
      </c>
      <c r="I155" s="185">
        <f>COUNTIFS('NDC MASTER SHEET'!$B$5:$B$201,"Oceania", 'NDC MASTER SHEET'!$C$5:$C$201,"Peak of carbon emissions", 'NDC MASTER SHEET'!$BA$5:$BA$201,"&lt;&gt;*N/A*")</f>
        <v>0</v>
      </c>
      <c r="J155" s="240">
        <f>SUM(B155:I155)</f>
        <v>3</v>
      </c>
      <c r="K155" s="2"/>
      <c r="L155" s="2"/>
      <c r="M155" s="2"/>
      <c r="N155" s="2"/>
      <c r="O155" s="2"/>
      <c r="P155" s="2"/>
      <c r="Q155" s="2"/>
    </row>
    <row r="156" spans="1:17">
      <c r="A156" s="62" t="s">
        <v>460</v>
      </c>
      <c r="B156" s="101">
        <f>COUNTIFS('NDC MASTER SHEET'!$B$5:$B$201,"Asia", 'NDC MASTER SHEET'!$C$5:$C$201,"Policies and actions", 'NDC MASTER SHEET'!$BA$5:$BA$201,"&lt;&gt;*N/A*")</f>
        <v>3</v>
      </c>
      <c r="C156" s="101">
        <f>COUNTIFS('NDC MASTER SHEET'!$B$5:$B$201,"North Africa &amp; the Middle East", 'NDC MASTER SHEET'!$C$5:$C$201,"Policies and actions", 'NDC MASTER SHEET'!$BA$5:$BA$201,"&lt;&gt;*N/A*")</f>
        <v>2</v>
      </c>
      <c r="D156" s="101">
        <f>COUNTIFS('NDC MASTER SHEET'!$B$5:$B$201,"Sub-Saharan Africa", 'NDC MASTER SHEET'!$C$5:$C$201,"Policies and actions", 'NDC MASTER SHEET'!$BA$5:$BA$201,"&lt;&gt;*N/A*")</f>
        <v>2</v>
      </c>
      <c r="E156" s="101">
        <f>COUNTIFS('NDC MASTER SHEET'!$B$5:$B$201,"Eastern Europe &amp; Central Asia", 'NDC MASTER SHEET'!$C$5:$C$201,"Policies and actions", 'NDC MASTER SHEET'!$BA$5:$BA$201,"&lt;&gt;*N/A*")</f>
        <v>0</v>
      </c>
      <c r="F156" s="101">
        <f>COUNTIFS('NDC MASTER SHEET'!$B$5:$B$201,"Europe", 'NDC MASTER SHEET'!$C$5:$C$201,"Policies and actions", 'NDC MASTER SHEET'!$BA$5:$BA$201,"&lt;&gt;*N/A*")</f>
        <v>0</v>
      </c>
      <c r="G156" s="101">
        <f>COUNTIFS('NDC MASTER SHEET'!$B$5:$B$201,"Latin America &amp; the Caribbean", 'NDC MASTER SHEET'!$C$5:$C$201,"Policies and actions", 'NDC MASTER SHEET'!$BA$5:$BA$201,"&lt;&gt;*N/A*")</f>
        <v>6</v>
      </c>
      <c r="H156" s="101">
        <f>COUNTIFS('NDC MASTER SHEET'!$B$5:$B$201,"Northern America", 'NDC MASTER SHEET'!$C$5:$C$201,"Policies and actions", 'NDC MASTER SHEET'!$BA$5:$BA$201,"&lt;&gt;*N/A*")</f>
        <v>0</v>
      </c>
      <c r="I156" s="185">
        <f>COUNTIFS('NDC MASTER SHEET'!$B$5:$B$201,"Oceania", 'NDC MASTER SHEET'!$C$5:$C$201,"Policies and actions", 'NDC MASTER SHEET'!$BA$5:$BA$201,"&lt;&gt;*N/A*")</f>
        <v>4</v>
      </c>
      <c r="J156" s="240">
        <f>SUM(B156:I156)</f>
        <v>17</v>
      </c>
      <c r="K156" s="2"/>
      <c r="L156" s="2"/>
      <c r="M156" s="2"/>
      <c r="N156" s="2"/>
      <c r="O156" s="2"/>
      <c r="P156" s="2"/>
      <c r="Q156" s="2"/>
    </row>
    <row r="157" spans="1:17">
      <c r="A157" s="84" t="s">
        <v>332</v>
      </c>
      <c r="B157" s="109"/>
      <c r="C157" s="109"/>
      <c r="D157" s="109"/>
      <c r="E157" s="109"/>
      <c r="F157" s="109"/>
      <c r="G157" s="109"/>
      <c r="H157" s="109"/>
      <c r="I157" s="109"/>
      <c r="J157" s="114"/>
      <c r="K157" s="2"/>
    </row>
    <row r="158" spans="1:17">
      <c r="A158" s="66" t="s">
        <v>160</v>
      </c>
      <c r="B158" s="101">
        <f>COUNTIFS('NDC MASTER SHEET'!$B$5:$B$201,"Asia", 'NDC MASTER SHEET'!$E$5:$E$201,"BAU", 'NDC MASTER SHEET'!$BA$5:$BA$201,"&lt;&gt;*N/A*")</f>
        <v>13</v>
      </c>
      <c r="C158" s="101">
        <f>COUNTIFS('NDC MASTER SHEET'!$B$5:$B$201,"North Africa &amp; the Middle East", 'NDC MASTER SHEET'!$E$5:$E$201,"BAU", 'NDC MASTER SHEET'!$BA$5:$BA$201,"&lt;&gt;*N/A*")</f>
        <v>10</v>
      </c>
      <c r="D158" s="185">
        <f>COUNTIFS('NDC MASTER SHEET'!$B$5:$B$201,"Sub-Saharan Africa", 'NDC MASTER SHEET'!$E$5:$E$201,"BAU", 'NDC MASTER SHEET'!$BA$5:$BA$201,"&lt;&gt;*N/A*")</f>
        <v>35</v>
      </c>
      <c r="E158" s="185">
        <f>COUNTIFS('NDC MASTER SHEET'!$B$5:$B$201,"Eastern Europe &amp; Central Asia", 'NDC MASTER SHEET'!$E$5:$E$201,"BAU", 'NDC MASTER SHEET'!$BA$5:$BA$201,"&lt;&gt;*N/A*")</f>
        <v>2</v>
      </c>
      <c r="F158" s="185">
        <f>COUNTIFS('NDC MASTER SHEET'!$B$5:$B$201,"Europe", 'NDC MASTER SHEET'!$E$5:$E$201,"BAU", 'NDC MASTER SHEET'!$BA$5:$BA$201,"&lt;&gt;*N/A*")</f>
        <v>1</v>
      </c>
      <c r="G158" s="185">
        <f>COUNTIFS('NDC MASTER SHEET'!$B$5:$B$201,"Latin America &amp; the Caribbean", 'NDC MASTER SHEET'!$E$5:$E$201,"BAU", 'NDC MASTER SHEET'!$BA$5:$BA$201,"&lt;&gt;*N/A*")</f>
        <v>14</v>
      </c>
      <c r="H158" s="185">
        <f>COUNTIFS('NDC MASTER SHEET'!$B$5:$B$201,"Northern America", 'NDC MASTER SHEET'!$E$5:$E$201,"BAU", 'NDC MASTER SHEET'!$BA$5:$BA$201,"&lt;&gt;*N/A*")</f>
        <v>0</v>
      </c>
      <c r="I158" s="185">
        <f>COUNTIFS('NDC MASTER SHEET'!$B$5:$B$201,"Oceania", 'NDC MASTER SHEET'!$E$5:$E$201,"BAU", 'NDC MASTER SHEET'!$BA$5:$BA$201,"&lt;&gt;*N/A*")</f>
        <v>2</v>
      </c>
      <c r="J158" s="240">
        <f>SUM(B158:I158)</f>
        <v>77</v>
      </c>
      <c r="K158" s="2"/>
      <c r="M158" s="2"/>
      <c r="N158" s="2"/>
      <c r="O158" s="2"/>
      <c r="P158" s="2"/>
      <c r="Q158" s="2"/>
    </row>
    <row r="159" spans="1:17">
      <c r="A159" s="66" t="s">
        <v>161</v>
      </c>
      <c r="B159" s="101">
        <f>COUNTIFS('NDC MASTER SHEET'!$B$5:$B$201,"Asia", 'NDC MASTER SHEET'!$E$5:$E$201,"1990", 'NDC MASTER SHEET'!$BA$5:$BA$201,"&lt;&gt;*N/A*")</f>
        <v>0</v>
      </c>
      <c r="C159" s="101">
        <f>COUNTIFS('NDC MASTER SHEET'!$B$5:$B$201,"North Africa &amp; the Middle East", 'NDC MASTER SHEET'!$E$5:$E$201,"1990", 'NDC MASTER SHEET'!$BA$5:$BA$201,"&lt;&gt;*N/A*")</f>
        <v>0</v>
      </c>
      <c r="D159" s="185">
        <f>COUNTIFS('NDC MASTER SHEET'!$B$5:$B$201,"Sub-Saharan Africa", 'NDC MASTER SHEET'!$E$5:$E$201,"1990", 'NDC MASTER SHEET'!$BA$5:$BA$201,"&lt;&gt;*N/A*")</f>
        <v>0</v>
      </c>
      <c r="E159" s="185">
        <f>COUNTIFS('NDC MASTER SHEET'!$B$5:$B$201,"Eastern Europe &amp; Central Asia", 'NDC MASTER SHEET'!$E$5:$E$201,"1990", 'NDC MASTER SHEET'!$BA$5:$BA$201,"&lt;&gt;*N/A*")</f>
        <v>11</v>
      </c>
      <c r="F159" s="185">
        <f>COUNTIFS('NDC MASTER SHEET'!$B$5:$B$201,"Europe", 'NDC MASTER SHEET'!$E$5:$E$201,"1990", 'NDC MASTER SHEET'!$BA$5:$BA$201,"&lt;&gt;*N/A*")</f>
        <v>34</v>
      </c>
      <c r="G159" s="185">
        <f>COUNTIFS('NDC MASTER SHEET'!$B$5:$B$201,"Latin America &amp; the Caribbean", 'NDC MASTER SHEET'!$E$5:$E$201,"1990", 'NDC MASTER SHEET'!$BA$5:$BA$201,"&lt;&gt;*N/A*")</f>
        <v>1</v>
      </c>
      <c r="H159" s="185">
        <f>COUNTIFS('NDC MASTER SHEET'!$B$5:$B$201,"Northern America", 'NDC MASTER SHEET'!$E$5:$E$201,"1990", 'NDC MASTER SHEET'!$BA$5:$BA$201,"&lt;&gt;*N/A*")</f>
        <v>0</v>
      </c>
      <c r="I159" s="185">
        <f>COUNTIFS('NDC MASTER SHEET'!$B$5:$B$201,"Oceania", 'NDC MASTER SHEET'!$E$5:$E$201,"1990", 'NDC MASTER SHEET'!$BA$5:$BA$201,"&lt;&gt;*N/A*")</f>
        <v>0</v>
      </c>
      <c r="J159" s="240">
        <f>SUM(B159:I159)</f>
        <v>46</v>
      </c>
      <c r="K159" s="2"/>
      <c r="M159" s="2"/>
      <c r="N159" s="2"/>
      <c r="O159" s="2"/>
      <c r="P159" s="2"/>
      <c r="Q159" s="2"/>
    </row>
    <row r="160" spans="1:17">
      <c r="A160" s="66" t="s">
        <v>162</v>
      </c>
      <c r="B160" s="101">
        <f>COUNTIFS('NDC MASTER SHEET'!$B$5:$B$201,"Asia", 'NDC MASTER SHEET'!$E$5:$E$201,"2005", 'NDC MASTER SHEET'!$BA$5:$BA$201,"&lt;&gt;*N/A*")</f>
        <v>3</v>
      </c>
      <c r="C160" s="101">
        <f>COUNTIFS('NDC MASTER SHEET'!$B$5:$B$201,"North Africa &amp; the Middle East", 'NDC MASTER SHEET'!$E$5:$E$201,"2005", 'NDC MASTER SHEET'!$BA$5:$BA$201,"&lt;&gt;*N/A*")</f>
        <v>0</v>
      </c>
      <c r="D160" s="185">
        <f>COUNTIFS('NDC MASTER SHEET'!$B$5:$B$201,"Sub-Saharan Africa", 'NDC MASTER SHEET'!$E$5:$E$201,"2005", 'NDC MASTER SHEET'!$BA$5:$BA$201,"&lt;&gt;*N/A*")</f>
        <v>2</v>
      </c>
      <c r="E160" s="185">
        <f>COUNTIFS('NDC MASTER SHEET'!$B$5:$B$201,"Eastern Europe &amp; Central Asia", 'NDC MASTER SHEET'!$E$5:$E$201,"2005", 'NDC MASTER SHEET'!$BA$5:$BA$201,"&lt;&gt;*N/A*")</f>
        <v>0</v>
      </c>
      <c r="F160" s="185">
        <f>COUNTIFS('NDC MASTER SHEET'!$B$5:$B$201,"Europe", 'NDC MASTER SHEET'!$E$5:$E$201,"2005", 'NDC MASTER SHEET'!$BA$5:$BA$201,"&lt;&gt;*N/A*")</f>
        <v>1</v>
      </c>
      <c r="G160" s="185">
        <f>COUNTIFS('NDC MASTER SHEET'!$B$5:$B$201,"Latin America &amp; the Caribbean", 'NDC MASTER SHEET'!$E$5:$E$201,"2005", 'NDC MASTER SHEET'!$BA$5:$BA$201,"&lt;&gt;*N/A*")</f>
        <v>1</v>
      </c>
      <c r="H160" s="185">
        <f>COUNTIFS('NDC MASTER SHEET'!$B$5:$B$201,"Northern America", 'NDC MASTER SHEET'!$E$5:$E$201,"2005", 'NDC MASTER SHEET'!$BA$5:$BA$201,"&lt;&gt;*N/A*")</f>
        <v>2</v>
      </c>
      <c r="I160" s="185">
        <f>COUNTIFS('NDC MASTER SHEET'!$B$5:$B$201,"Oceania", 'NDC MASTER SHEET'!$E$5:$E$201,"2005", 'NDC MASTER SHEET'!$BA$5:$BA$201,"&lt;&gt;*N/A*")</f>
        <v>3</v>
      </c>
      <c r="J160" s="240">
        <f>SUM(B160:I160)</f>
        <v>12</v>
      </c>
      <c r="K160" s="2"/>
      <c r="M160" s="2"/>
      <c r="N160" s="2"/>
      <c r="O160" s="2"/>
      <c r="P160" s="2"/>
      <c r="Q160" s="2"/>
    </row>
    <row r="161" spans="1:17">
      <c r="A161" s="66" t="s">
        <v>163</v>
      </c>
      <c r="B161" s="101">
        <f>COUNTIFS('NDC MASTER SHEET'!$B$5:$B$201,"Asia", 'NDC MASTER SHEET'!$E$5:$E$201,"2010", 'NDC MASTER SHEET'!$BA$5:$BA$201,"&lt;&gt;*N/A*")</f>
        <v>0</v>
      </c>
      <c r="C161" s="101">
        <f>COUNTIFS('NDC MASTER SHEET'!$B$5:$B$201,"North Africa &amp; the Middle East", 'NDC MASTER SHEET'!$E$5:$E$201,"2010", 'NDC MASTER SHEET'!$BA$5:$BA$201,"&lt;&gt;*N/A*")</f>
        <v>1</v>
      </c>
      <c r="D161" s="185">
        <f>COUNTIFS('NDC MASTER SHEET'!$B$5:$B$201,"Sub-Saharan Africa", 'NDC MASTER SHEET'!$E$5:$E$201,"2010", 'NDC MASTER SHEET'!$BA$5:$BA$201,"&lt;&gt;*N/A*")</f>
        <v>4</v>
      </c>
      <c r="E161" s="185">
        <f>COUNTIFS('NDC MASTER SHEET'!$B$5:$B$201,"Eastern Europe &amp; Central Asia", 'NDC MASTER SHEET'!$E$5:$E$201,"2010", 'NDC MASTER SHEET'!$BA$5:$BA$201,"&lt;&gt;*N/A*")</f>
        <v>1</v>
      </c>
      <c r="F161" s="185">
        <f>COUNTIFS('NDC MASTER SHEET'!$B$5:$B$201,"Europe", 'NDC MASTER SHEET'!$E$5:$E$201,"2010", 'NDC MASTER SHEET'!$BA$5:$BA$201,"&lt;&gt;*N/A*")</f>
        <v>0</v>
      </c>
      <c r="G161" s="185">
        <f>COUNTIFS('NDC MASTER SHEET'!$B$5:$B$201,"Latin America &amp; the Caribbean", 'NDC MASTER SHEET'!$E$5:$E$201,"2010", 'NDC MASTER SHEET'!$BA$5:$BA$201,"&lt;&gt;*N/A*")</f>
        <v>3</v>
      </c>
      <c r="H161" s="185">
        <f>COUNTIFS('NDC MASTER SHEET'!$B$5:$B$201,"Northern America", 'NDC MASTER SHEET'!$E$5:$E$201,"2010", 'NDC MASTER SHEET'!$BA$5:$BA$201,"&lt;&gt;*N/A*")</f>
        <v>0</v>
      </c>
      <c r="I161" s="185">
        <f>COUNTIFS('NDC MASTER SHEET'!$B$5:$B$201,"Oceania", 'NDC MASTER SHEET'!$E$5:$E$201,"2010", 'NDC MASTER SHEET'!$BA$5:$BA$201,"&lt;&gt;*N/A*")</f>
        <v>3</v>
      </c>
      <c r="J161" s="240">
        <f>SUM(B161:I161)</f>
        <v>12</v>
      </c>
      <c r="K161" s="2"/>
      <c r="M161" s="2"/>
      <c r="N161" s="2"/>
      <c r="O161" s="2"/>
      <c r="P161" s="2"/>
      <c r="Q161" s="2"/>
    </row>
    <row r="162" spans="1:17">
      <c r="A162" s="66" t="s">
        <v>178</v>
      </c>
      <c r="B162" s="101">
        <f>COUNTIFS('NDC MASTER SHEET'!$B$5:$B$201,"Asia", 'NDC MASTER SHEET'!$E$5:$E$201,"&lt;&gt;BAU",'NDC MASTER SHEET'!$E$5:$E$201,"&lt;&gt;1990",'NDC MASTER SHEET'!$E$5:$E$201,"&lt;&gt;2005",'NDC MASTER SHEET'!$E$5:$E$201,"&lt;&gt;2010",'NDC MASTER SHEET'!$E$5:$E$201,"&lt;&gt;N/A",'NDC MASTER SHEET'!$E$5:$E$201,"&lt;&gt;", 'NDC MASTER SHEET'!$BA$5:$BA$201,"&lt;&gt;*N/A*")</f>
        <v>2</v>
      </c>
      <c r="C162" s="101">
        <f>COUNTIFS('NDC MASTER SHEET'!$B$5:$B$201,"North Africa &amp; the Middle East", 'NDC MASTER SHEET'!$E$5:$E$201,"&lt;&gt;BAU",'NDC MASTER SHEET'!$E$5:$E$201,"&lt;&gt;1990",'NDC MASTER SHEET'!$E$5:$E$201,"&lt;&gt;2005",'NDC MASTER SHEET'!$E$5:$E$201,"&lt;&gt;2010",'NDC MASTER SHEET'!$E$5:$E$201,"&lt;&gt;N/A",'NDC MASTER SHEET'!$E$5:$E$201,"&lt;&gt;", 'NDC MASTER SHEET'!$BA$5:$BA$201,"&lt;&gt;*N/A*")</f>
        <v>1</v>
      </c>
      <c r="D162" s="185">
        <f>COUNTIFS('NDC MASTER SHEET'!$B$5:$B$201,"Sub-Saharan Africa", 'NDC MASTER SHEET'!$E$5:$E$201,"&lt;&gt;BAU",'NDC MASTER SHEET'!$E$5:$E$201,"&lt;&gt;1990",'NDC MASTER SHEET'!$E$5:$E$201,"&lt;&gt;2005",'NDC MASTER SHEET'!$E$5:$E$201,"&lt;&gt;2010",'NDC MASTER SHEET'!$E$5:$E$201,"&lt;&gt;N/A",'NDC MASTER SHEET'!$E$5:$E$201,"&lt;&gt;", 'NDC MASTER SHEET'!$BA$5:$BA$201,"&lt;&gt;*N/A*")</f>
        <v>5</v>
      </c>
      <c r="E162" s="185">
        <f>COUNTIFS('NDC MASTER SHEET'!$B$5:$B$201,"Eastern Europe &amp; Central Asia", 'NDC MASTER SHEET'!$E$5:$E$201,"&lt;&gt;BAU",'NDC MASTER SHEET'!$E$5:$E$201,"&lt;&gt;1990",'NDC MASTER SHEET'!$E$5:$E$201,"&lt;&gt;2005",'NDC MASTER SHEET'!$E$5:$E$201,"&lt;&gt;2010",'NDC MASTER SHEET'!$E$5:$E$201,"&lt;&gt;N/A",'NDC MASTER SHEET'!$E$5:$E$201,"&lt;&gt;", 'NDC MASTER SHEET'!$BA$5:$BA$201,"&lt;&gt;*N/A*")</f>
        <v>3</v>
      </c>
      <c r="F162" s="185">
        <f>COUNTIFS('NDC MASTER SHEET'!$B$5:$B$201,"Europe", 'NDC MASTER SHEET'!$E$5:$E$201,"&lt;&gt;BAU",'NDC MASTER SHEET'!$E$5:$E$201,"&lt;&gt;1990",'NDC MASTER SHEET'!$E$5:$E$201,"&lt;&gt;2005",'NDC MASTER SHEET'!$E$5:$E$201,"&lt;&gt;2010",'NDC MASTER SHEET'!$E$5:$E$201,"&lt;&gt;N/A",'NDC MASTER SHEET'!$E$5:$E$201,"&lt;&gt;", 'NDC MASTER SHEET'!$BA$5:$BA$201,"&lt;&gt;*N/A*")</f>
        <v>0</v>
      </c>
      <c r="G162" s="185">
        <f>COUNTIFS('NDC MASTER SHEET'!$B$5:$B$201,"Latin America &amp; the Caribbean", 'NDC MASTER SHEET'!$E$5:$E$201,"&lt;&gt;BAU",'NDC MASTER SHEET'!$E$5:$E$201,"&lt;&gt;1990",'NDC MASTER SHEET'!$E$5:$E$201,"&lt;&gt;2005",'NDC MASTER SHEET'!$E$5:$E$201,"&lt;&gt;2010",'NDC MASTER SHEET'!$E$5:$E$201,"&lt;&gt;N/A",'NDC MASTER SHEET'!$E$5:$E$201,"&lt;&gt;", 'NDC MASTER SHEET'!$BA$5:$BA$201,"&lt;&gt;*N/A*")</f>
        <v>4</v>
      </c>
      <c r="H162" s="185">
        <f>COUNTIFS('NDC MASTER SHEET'!$B$5:$B$201,"Northern America", 'NDC MASTER SHEET'!$E$5:$E$201,"&lt;&gt;BAU",'NDC MASTER SHEET'!$E$5:$E$201,"&lt;&gt;1990",'NDC MASTER SHEET'!$E$5:$E$201,"&lt;&gt;2005",'NDC MASTER SHEET'!$E$5:$E$201,"&lt;&gt;2010",'NDC MASTER SHEET'!$E$5:$E$201,"&lt;&gt;N/A",'NDC MASTER SHEET'!$E$5:$E$201,"&lt;&gt;", 'NDC MASTER SHEET'!$BA$5:$BA$201,"&lt;&gt;*N/A*")</f>
        <v>0</v>
      </c>
      <c r="I162" s="185">
        <f>COUNTIFS('NDC MASTER SHEET'!$B$5:$B$201,"Oceania", 'NDC MASTER SHEET'!$E$5:$E$201,"&lt;&gt;BAU",'NDC MASTER SHEET'!$E$5:$E$201,"&lt;&gt;1990",'NDC MASTER SHEET'!$E$5:$E$201,"&lt;&gt;2005",'NDC MASTER SHEET'!$E$5:$E$201,"&lt;&gt;2010",'NDC MASTER SHEET'!$E$5:$E$201,"&lt;&gt;N/A",'NDC MASTER SHEET'!$E$5:$E$201,"&lt;&gt;", 'NDC MASTER SHEET'!$BA$5:$BA$201,"&lt;&gt;*N/A*")</f>
        <v>5</v>
      </c>
      <c r="J162" s="240">
        <f>SUM(B162:I162)</f>
        <v>20</v>
      </c>
      <c r="K162" s="2"/>
      <c r="M162" s="2"/>
      <c r="N162" s="2"/>
      <c r="O162" s="2"/>
      <c r="P162" s="2"/>
      <c r="Q162" s="2"/>
    </row>
    <row r="163" spans="1:17">
      <c r="A163" s="84" t="s">
        <v>323</v>
      </c>
      <c r="B163" s="109"/>
      <c r="C163" s="109"/>
      <c r="D163" s="109"/>
      <c r="E163" s="109"/>
      <c r="F163" s="109"/>
      <c r="G163" s="109"/>
      <c r="H163" s="109"/>
      <c r="I163" s="109"/>
      <c r="J163" s="114"/>
      <c r="K163" s="2"/>
    </row>
    <row r="164" spans="1:17">
      <c r="A164" s="66" t="s">
        <v>165</v>
      </c>
      <c r="B164" s="101">
        <f>COUNTIFS('NDC MASTER SHEET'!$B$5:$B$201,"Asia",'NDC MASTER SHEET'!$F$5:$F$201,"2020", 'NDC MASTER SHEET'!$BA$5:$BA$201,"&lt;&gt;*N/A*")+COUNTIFS('NDC MASTER SHEET'!$B$5:$B$201,"Asia",'NDC MASTER SHEET'!$F$5:$F$201,"*2020*", 'NDC MASTER SHEET'!$BA$5:$BA$201,"&lt;&gt;*N/A*")</f>
        <v>1</v>
      </c>
      <c r="C164" s="101">
        <f>COUNTIFS('NDC MASTER SHEET'!$B$5:$B$201,"North Africa &amp; the Middle East",'NDC MASTER SHEET'!$F$5:$F$201,"2020", 'NDC MASTER SHEET'!$BA$5:$BA$201,"&lt;&gt;*N/A*")+COUNTIFS('NDC MASTER SHEET'!$B$5:$B$201,"North Africa &amp; the Middle East",'NDC MASTER SHEET'!$F$5:$F$201,"*2020*", 'NDC MASTER SHEET'!$BA$5:$BA$201,"&lt;&gt;*N/A*")</f>
        <v>0</v>
      </c>
      <c r="D164" s="101">
        <f>COUNTIFS('NDC MASTER SHEET'!$B$5:$B$201,"Sub-Saharan Africa",'NDC MASTER SHEET'!$F$5:$F$201,"2020", 'NDC MASTER SHEET'!$BA$5:$BA$201,"&lt;&gt;*N/A*")+COUNTIFS('NDC MASTER SHEET'!$B$5:$B$201,"Sub-Saharan Africa",'NDC MASTER SHEET'!$F$5:$F$201,"*2020*", 'NDC MASTER SHEET'!$BA$5:$BA$201,"&lt;&gt;*N/A*")</f>
        <v>1</v>
      </c>
      <c r="E164" s="101">
        <f>COUNTIFS('NDC MASTER SHEET'!$B$5:$B$201,"Eastern Europe &amp; Central Asia",'NDC MASTER SHEET'!$F$5:$F$201,"2020", 'NDC MASTER SHEET'!$BA$5:$BA$201,"&lt;&gt;*N/A*")+COUNTIFS('NDC MASTER SHEET'!$B$5:$B$201,"Eastern Europe &amp; Central Asia",'NDC MASTER SHEET'!$F$5:$F$201,"*2020*", 'NDC MASTER SHEET'!$BA$5:$BA$201,"&lt;&gt;*N/A*")</f>
        <v>0</v>
      </c>
      <c r="F164" s="185">
        <f>COUNTIFS('NDC MASTER SHEET'!$B$5:$B$201,"Europe",'NDC MASTER SHEET'!$F$5:$F$201,"2020", 'NDC MASTER SHEET'!$BA$5:$BA$201,"&lt;&gt;*N/A*")+COUNTIFS('NDC MASTER SHEET'!$B$5:$B$201,"Europe",'NDC MASTER SHEET'!$F$5:$F$201,"*2020*", 'NDC MASTER SHEET'!$BA$5:$BA$201,"&lt;&gt;*N/A*")</f>
        <v>0</v>
      </c>
      <c r="G164" s="185">
        <f>COUNTIFS('NDC MASTER SHEET'!$B$5:$B$201,"Latin America &amp; the Caribbean",'NDC MASTER SHEET'!$F$5:$F$201,"2020", 'NDC MASTER SHEET'!$BA$5:$BA$201,"&lt;&gt;*N/A*")+COUNTIFS('NDC MASTER SHEET'!$B$5:$B$201,"Latin America &amp; the Caribbean",'NDC MASTER SHEET'!$F$5:$F$201,"*2020*", 'NDC MASTER SHEET'!$BA$5:$BA$201,"&lt;&gt;*N/A*")</f>
        <v>0</v>
      </c>
      <c r="H164" s="185">
        <f>COUNTIFS('NDC MASTER SHEET'!$B$5:$B$201,"Northern America",'NDC MASTER SHEET'!$F$5:$F$201,"2020", 'NDC MASTER SHEET'!$BA$5:$BA$201,"&lt;&gt;*N/A*")+COUNTIFS('NDC MASTER SHEET'!$B$5:$B$201,"Northern America",'NDC MASTER SHEET'!$F$5:$F$201,"*2020*", 'NDC MASTER SHEET'!$BA$5:$BA$201,"&lt;&gt;*N/A*")</f>
        <v>0</v>
      </c>
      <c r="I164" s="185">
        <f>COUNTIFS('NDC MASTER SHEET'!$B$5:$B$201,"Oceania",'NDC MASTER SHEET'!$F$5:$F$201,"2020", 'NDC MASTER SHEET'!$BA$5:$BA$201,"&lt;&gt;*N/A*")+COUNTIFS('NDC MASTER SHEET'!$B$5:$B$201,"Oceania",'NDC MASTER SHEET'!$F$5:$F$201,"*2020*", 'NDC MASTER SHEET'!$BA$5:$BA$201,"&lt;&gt;*N/A*")</f>
        <v>2</v>
      </c>
      <c r="J164" s="240">
        <f>SUM(B164:I164)</f>
        <v>4</v>
      </c>
      <c r="K164" s="2"/>
      <c r="M164" s="2"/>
      <c r="N164" s="2"/>
      <c r="O164" s="2"/>
      <c r="P164" s="2"/>
      <c r="Q164" s="2"/>
    </row>
    <row r="165" spans="1:17">
      <c r="A165" s="66" t="s">
        <v>166</v>
      </c>
      <c r="B165" s="101">
        <f>COUNTIFS('NDC MASTER SHEET'!$B$5:$B$201,"Asia",'NDC MASTER SHEET'!$F$5:$F$201,"2025", 'NDC MASTER SHEET'!$BA$5:$BA$201,"&lt;&gt;*N/A*")+COUNTIFS('NDC MASTER SHEET'!$B$5:$B$201,"Asia",'NDC MASTER SHEET'!$F$5:$F$201,"*2025*", 'NDC MASTER SHEET'!$BA$5:$BA$201,"&lt;&gt;*N/A*")</f>
        <v>1</v>
      </c>
      <c r="C165" s="101">
        <f>COUNTIFS('NDC MASTER SHEET'!$B$5:$B$201,"North Africa &amp; the Middle East",'NDC MASTER SHEET'!$F$5:$F$201,"2025", 'NDC MASTER SHEET'!$BA$5:$BA$201,"&lt;&gt;*N/A*")+COUNTIFS('NDC MASTER SHEET'!$B$5:$B$201,"North Africa &amp; the Middle East",'NDC MASTER SHEET'!$F$5:$F$201,"*2025*", 'NDC MASTER SHEET'!$BA$5:$BA$201,"&lt;&gt;*N/A*")</f>
        <v>0</v>
      </c>
      <c r="D165" s="185">
        <f>COUNTIFS('NDC MASTER SHEET'!$B$5:$B$201,"Sub-Saharan Africa",'NDC MASTER SHEET'!$F$5:$F$201,"2025", 'NDC MASTER SHEET'!$BA$5:$BA$201,"&lt;&gt;*N/A*")+COUNTIFS('NDC MASTER SHEET'!$B$5:$B$201,"Sub-Saharan Africa",'NDC MASTER SHEET'!$F$5:$F$201,"*2025*", 'NDC MASTER SHEET'!$BA$5:$BA$201,"&lt;&gt;*N/A*")</f>
        <v>9</v>
      </c>
      <c r="E165" s="101">
        <f>COUNTIFS('NDC MASTER SHEET'!$B$5:$B$201,"Eastern Europe &amp; Central Asia",'NDC MASTER SHEET'!$F$5:$F$201,"2025", 'NDC MASTER SHEET'!$BA$5:$BA$201,"&lt;&gt;*N/A*")+COUNTIFS('NDC MASTER SHEET'!$B$5:$B$201,"Eastern Europe &amp; Central Asia",'NDC MASTER SHEET'!$F$5:$F$201,"*2025*", 'NDC MASTER SHEET'!$BA$5:$BA$201,"&lt;&gt;*N/A*")</f>
        <v>1</v>
      </c>
      <c r="F165" s="185">
        <f>COUNTIFS('NDC MASTER SHEET'!$B$5:$B$201,"Europe",'NDC MASTER SHEET'!$F$5:$F$201,"2025", 'NDC MASTER SHEET'!$BA$5:$BA$201,"&lt;&gt;*N/A*")+COUNTIFS('NDC MASTER SHEET'!$B$5:$B$201,"Europe",'NDC MASTER SHEET'!$F$5:$F$201,"*2025*", 'NDC MASTER SHEET'!$BA$5:$BA$201,"&lt;&gt;*N/A*")</f>
        <v>0</v>
      </c>
      <c r="G165" s="185">
        <f>COUNTIFS('NDC MASTER SHEET'!$B$5:$B$201,"Latin America &amp; the Caribbean",'NDC MASTER SHEET'!$F$5:$F$201,"2025", 'NDC MASTER SHEET'!$BA$5:$BA$201,"&lt;&gt;*N/A*")+COUNTIFS('NDC MASTER SHEET'!$B$5:$B$201,"Latin America &amp; the Caribbean",'NDC MASTER SHEET'!$F$5:$F$201,"*2025*", 'NDC MASTER SHEET'!$BA$5:$BA$201,"&lt;&gt;*N/A*")</f>
        <v>9</v>
      </c>
      <c r="H165" s="185">
        <f>COUNTIFS('NDC MASTER SHEET'!$B$5:$B$201,"Northern America",'NDC MASTER SHEET'!$F$5:$F$201,"2025", 'NDC MASTER SHEET'!$BA$5:$BA$201,"&lt;&gt;*N/A*")+COUNTIFS('NDC MASTER SHEET'!$B$5:$B$201,"Northern America",'NDC MASTER SHEET'!$F$5:$F$201,"*2025*", 'NDC MASTER SHEET'!$BA$5:$BA$201,"&lt;&gt;*N/A*")</f>
        <v>0</v>
      </c>
      <c r="I165" s="185">
        <f>COUNTIFS('NDC MASTER SHEET'!$B$5:$B$201,"Oceania",'NDC MASTER SHEET'!$F$5:$F$201,"2025", 'NDC MASTER SHEET'!$BA$5:$BA$201,"&lt;&gt;*N/A*")+COUNTIFS('NDC MASTER SHEET'!$B$5:$B$201,"Oceania",'NDC MASTER SHEET'!$F$5:$F$201,"*2025*", 'NDC MASTER SHEET'!$BA$5:$BA$201,"&lt;&gt;*N/A*")</f>
        <v>5</v>
      </c>
      <c r="J165" s="240">
        <f>SUM(B165:I165)</f>
        <v>25</v>
      </c>
      <c r="K165" s="2"/>
      <c r="M165" s="2"/>
      <c r="N165" s="2"/>
      <c r="O165" s="2"/>
      <c r="P165" s="2"/>
      <c r="Q165" s="2"/>
    </row>
    <row r="166" spans="1:17">
      <c r="A166" s="66" t="s">
        <v>167</v>
      </c>
      <c r="B166" s="101">
        <f>COUNTIFS('NDC MASTER SHEET'!$B$5:$B$201,"Asia",'NDC MASTER SHEET'!$F$5:$F$201,"2030", 'NDC MASTER SHEET'!$BA$5:$BA$201,"&lt;&gt;*N/A*")+COUNTIFS('NDC MASTER SHEET'!$B$5:$B$201,"Asia",'NDC MASTER SHEET'!$F$5:$F$201,"*2030*", 'NDC MASTER SHEET'!$BA$5:$BA$201,"&lt;&gt;*N/A*")</f>
        <v>22</v>
      </c>
      <c r="C166" s="101">
        <f>COUNTIFS('NDC MASTER SHEET'!$B$5:$B$201,"North Africa &amp; the Middle East",'NDC MASTER SHEET'!$F$5:$F$201,"2030", 'NDC MASTER SHEET'!$BA$5:$BA$201,"&lt;&gt;*N/A*")+COUNTIFS('NDC MASTER SHEET'!$B$5:$B$201,"North Africa &amp; the Middle East",'NDC MASTER SHEET'!$F$5:$F$201,"*2030*", 'NDC MASTER SHEET'!$BA$5:$BA$201,"&lt;&gt;*N/A*")</f>
        <v>12</v>
      </c>
      <c r="D166" s="101">
        <f>COUNTIFS('NDC MASTER SHEET'!$B$5:$B$201,"Sub-Saharan Africa",'NDC MASTER SHEET'!$F$5:$F$201,"2030", 'NDC MASTER SHEET'!$BA$5:$BA$201,"&lt;&gt;*N/A*")+COUNTIFS('NDC MASTER SHEET'!$B$5:$B$201,"Sub-Saharan Africa",'NDC MASTER SHEET'!$F$5:$F$201,"*2030*", 'NDC MASTER SHEET'!$BA$5:$BA$201,"&lt;&gt;*N/A*")</f>
        <v>46</v>
      </c>
      <c r="E166" s="101">
        <f>COUNTIFS('NDC MASTER SHEET'!$B$5:$B$201,"Eastern Europe &amp; Central Asia",'NDC MASTER SHEET'!$F$5:$F$201,"2030", 'NDC MASTER SHEET'!$BA$5:$BA$201,"&lt;&gt;*N/A*")+COUNTIFS('NDC MASTER SHEET'!$B$5:$B$201,"Eastern Europe &amp; Central Asia",'NDC MASTER SHEET'!$F$5:$F$201,"*2030*", 'NDC MASTER SHEET'!$BA$5:$BA$201,"&lt;&gt;*N/A*")</f>
        <v>17</v>
      </c>
      <c r="F166" s="185">
        <f>COUNTIFS('NDC MASTER SHEET'!$B$5:$B$201,"Europe",'NDC MASTER SHEET'!$F$5:$F$201,"2030", 'NDC MASTER SHEET'!$BA$5:$BA$201,"&lt;&gt;*N/A*")+COUNTIFS('NDC MASTER SHEET'!$B$5:$B$201,"Europe",'NDC MASTER SHEET'!$F$5:$F$201,"*2030*", 'NDC MASTER SHEET'!$BA$5:$BA$201,"&lt;&gt;*N/A*")</f>
        <v>36</v>
      </c>
      <c r="G166" s="185">
        <f>COUNTIFS('NDC MASTER SHEET'!$B$5:$B$201,"Latin America &amp; the Caribbean",'NDC MASTER SHEET'!$F$5:$F$201,"2030", 'NDC MASTER SHEET'!$BA$5:$BA$201,"&lt;&gt;*N/A*")+COUNTIFS('NDC MASTER SHEET'!$B$5:$B$201,"Latin America &amp; the Caribbean",'NDC MASTER SHEET'!$F$5:$F$201,"*2030*", 'NDC MASTER SHEET'!$BA$5:$BA$201,"&lt;&gt;*N/A*")</f>
        <v>29</v>
      </c>
      <c r="H166" s="185">
        <f>COUNTIFS('NDC MASTER SHEET'!$B$5:$B$201,"Northern America",'NDC MASTER SHEET'!$F$5:$F$201,"2030", 'NDC MASTER SHEET'!$BA$5:$BA$201,"&lt;&gt;*N/A*")+COUNTIFS('NDC MASTER SHEET'!$B$5:$B$201,"Northern America",'NDC MASTER SHEET'!$F$5:$F$201,"*2030*", 'NDC MASTER SHEET'!$BA$5:$BA$201,"&lt;&gt;*N/A*")</f>
        <v>2</v>
      </c>
      <c r="I166" s="185">
        <f>COUNTIFS('NDC MASTER SHEET'!$B$5:$B$201,"Oceania",'NDC MASTER SHEET'!$F$5:$F$201,"2030", 'NDC MASTER SHEET'!$BA$5:$BA$201,"&lt;&gt;*N/A*")+COUNTIFS('NDC MASTER SHEET'!$B$5:$B$201,"Oceania",'NDC MASTER SHEET'!$F$5:$F$201,"*2030*", 'NDC MASTER SHEET'!$BA$5:$BA$201,"&lt;&gt;*N/A*")</f>
        <v>12</v>
      </c>
      <c r="J166" s="240">
        <f>SUM(B166:I166)</f>
        <v>176</v>
      </c>
      <c r="K166" s="2"/>
      <c r="M166" s="2"/>
      <c r="N166" s="2"/>
      <c r="O166" s="2"/>
      <c r="P166" s="2"/>
      <c r="Q166" s="2"/>
    </row>
    <row r="167" spans="1:17">
      <c r="A167" s="66" t="s">
        <v>168</v>
      </c>
      <c r="B167" s="101">
        <f>COUNTIFS('NDC MASTER SHEET'!$B$5:$B$201,"Asia",'NDC MASTER SHEET'!$F$5:$F$201,"2050", 'NDC MASTER SHEET'!$BA$5:$BA$201,"&lt;&gt;*N/A*")+COUNTIFS('NDC MASTER SHEET'!$B$5:$B$201,"Asia",'NDC MASTER SHEET'!$F$5:$F$201,"*2050*", 'NDC MASTER SHEET'!$BA$5:$BA$201,"&lt;&gt;*N/A*")</f>
        <v>0</v>
      </c>
      <c r="C167" s="101">
        <f>COUNTIFS('NDC MASTER SHEET'!$B$5:$B$201,"North Africa &amp; the Middle East",'NDC MASTER SHEET'!$F$5:$F$201,"2050", 'NDC MASTER SHEET'!$BA$5:$BA$201,"&lt;&gt;*N/A*")+COUNTIFS('NDC MASTER SHEET'!$B$5:$B$201,"North Africa &amp; the Middle East",'NDC MASTER SHEET'!$F$5:$F$201,"*2050*", 'NDC MASTER SHEET'!$BA$5:$BA$201,"&lt;&gt;*N/A*")</f>
        <v>1</v>
      </c>
      <c r="D167" s="101">
        <f>COUNTIFS('NDC MASTER SHEET'!$B$5:$B$201,"Sub-Saharan Africa",'NDC MASTER SHEET'!$F$5:$F$201,"2050", 'NDC MASTER SHEET'!$BA$5:$BA$201,"&lt;&gt;*N/A*")+COUNTIFS('NDC MASTER SHEET'!$B$5:$B$201,"Sub-Saharan Africa",'NDC MASTER SHEET'!$F$5:$F$201,"*2050*", 'NDC MASTER SHEET'!$BA$5:$BA$201,"&lt;&gt;*N/A*")</f>
        <v>0</v>
      </c>
      <c r="E167" s="101">
        <f>COUNTIFS('NDC MASTER SHEET'!$B$5:$B$201,"Eastern Europe &amp; Central Asia",'NDC MASTER SHEET'!$F$5:$F$201,"2050", 'NDC MASTER SHEET'!$BA$5:$BA$201,"&lt;&gt;*N/A*")+COUNTIFS('NDC MASTER SHEET'!$B$5:$B$201,"Eastern Europe &amp; Central Asia",'NDC MASTER SHEET'!$F$5:$F$201,"*2050*", 'NDC MASTER SHEET'!$BA$5:$BA$201,"&lt;&gt;*N/A*")</f>
        <v>1</v>
      </c>
      <c r="F167" s="185">
        <f>COUNTIFS('NDC MASTER SHEET'!$B$5:$B$201,"Europe",'NDC MASTER SHEET'!$F$5:$F$201,"2050", 'NDC MASTER SHEET'!$BA$5:$BA$201,"&lt;&gt;*N/A*")+COUNTIFS('NDC MASTER SHEET'!$B$5:$B$201,"Europe",'NDC MASTER SHEET'!$F$5:$F$201,"*2050*", 'NDC MASTER SHEET'!$BA$5:$BA$201,"&lt;&gt;*N/A*")</f>
        <v>1</v>
      </c>
      <c r="G167" s="185">
        <f>COUNTIFS('NDC MASTER SHEET'!$B$5:$B$201,"Latin America &amp; the Caribbean",'NDC MASTER SHEET'!$F$5:$F$201,"2050", 'NDC MASTER SHEET'!$BA$5:$BA$201,"&lt;&gt;*N/A*")+COUNTIFS('NDC MASTER SHEET'!$B$5:$B$201,"Latin America &amp; the Caribbean",'NDC MASTER SHEET'!$F$5:$F$201,"*2050*", 'NDC MASTER SHEET'!$BA$5:$BA$201,"&lt;&gt;*N/A*")</f>
        <v>1</v>
      </c>
      <c r="H167" s="185">
        <f>COUNTIFS('NDC MASTER SHEET'!$B$5:$B$201,"Northern America",'NDC MASTER SHEET'!$F$5:$F$201,"2050", 'NDC MASTER SHEET'!$BA$5:$BA$201,"&lt;&gt;*N/A*")+COUNTIFS('NDC MASTER SHEET'!$B$5:$B$201,"Northern America",'NDC MASTER SHEET'!$F$5:$F$201,"*2050*", 'NDC MASTER SHEET'!$BA$5:$BA$201,"&lt;&gt;*N/A*")</f>
        <v>0</v>
      </c>
      <c r="I167" s="185">
        <f>COUNTIFS('NDC MASTER SHEET'!$B$5:$B$201,"Oceania",'NDC MASTER SHEET'!$F$5:$F$201,"2050", 'NDC MASTER SHEET'!$BA$5:$BA$201,"&lt;&gt;*N/A*")+COUNTIFS('NDC MASTER SHEET'!$B$5:$B$201,"Oceania",'NDC MASTER SHEET'!$F$5:$F$201,"*2050*", 'NDC MASTER SHEET'!$BA$5:$BA$201,"&lt;&gt;*N/A*")</f>
        <v>1</v>
      </c>
      <c r="J167" s="240">
        <f>SUM(B167:I167)</f>
        <v>5</v>
      </c>
      <c r="K167" s="2"/>
      <c r="M167" s="2"/>
      <c r="N167" s="2"/>
      <c r="O167" s="2"/>
      <c r="P167" s="2"/>
      <c r="Q167" s="2"/>
    </row>
    <row r="168" spans="1:17" ht="13.5" customHeight="1">
      <c r="A168" s="84" t="s">
        <v>324</v>
      </c>
      <c r="B168" s="109"/>
      <c r="C168" s="109"/>
      <c r="D168" s="109"/>
      <c r="E168" s="109"/>
      <c r="F168" s="109"/>
      <c r="G168" s="109"/>
      <c r="H168" s="109"/>
      <c r="I168" s="109"/>
      <c r="J168" s="114"/>
      <c r="K168" s="2"/>
    </row>
    <row r="169" spans="1:17" ht="13.5" customHeight="1">
      <c r="A169" s="66" t="s">
        <v>325</v>
      </c>
      <c r="B169" s="101">
        <f>COUNTIFS('NDC MASTER SHEET'!$B$5:$B$201,"Asia",'NDC MASTER SHEET'!$C$5:$C$201,"&lt;&gt;N/A",'NDC MASTER SHEET'!$C$5:$C$201,"&lt;&gt;Policies and actions",'NDC MASTER SHEET'!$G$5:$G$201,"N/A", 'NDC MASTER SHEET'!$BA$5:$BA$201,"&lt;&gt;*N/A*")</f>
        <v>19</v>
      </c>
      <c r="C169" s="101">
        <f>COUNTIFS('NDC MASTER SHEET'!$B$5:$B$201,"North Africa &amp; the Middle East",'NDC MASTER SHEET'!$C$5:$C$201,"&lt;&gt;N/A",'NDC MASTER SHEET'!$C$5:$C$201,"&lt;&gt;Policies and actions",'NDC MASTER SHEET'!$G$5:$G$201,"N/A", 'NDC MASTER SHEET'!$BA$5:$BA$201,"&lt;&gt;*N/A*")</f>
        <v>14</v>
      </c>
      <c r="D169" s="101">
        <f>COUNTIFS('NDC MASTER SHEET'!$B$5:$B$201,"Sub-Saharan Africa",'NDC MASTER SHEET'!$C$5:$C$201,"&lt;&gt;N/A",'NDC MASTER SHEET'!$C$5:$C$201,"&lt;&gt;Policies and actions",'NDC MASTER SHEET'!$G$5:$G$201,"N/A", 'NDC MASTER SHEET'!$BA$5:$BA$201,"&lt;&gt;*N/A*")</f>
        <v>46</v>
      </c>
      <c r="E169" s="101">
        <f>COUNTIFS('NDC MASTER SHEET'!$B$5:$B$201,"Eastern Europe &amp; Central Asia",'NDC MASTER SHEET'!$C$5:$C$201,"&lt;&gt;N/A",'NDC MASTER SHEET'!$C$5:$C$201,"&lt;&gt;Policies and actions",'NDC MASTER SHEET'!$G$5:$G$201,"N/A", 'NDC MASTER SHEET'!$BA$5:$BA$201,"&lt;&gt;*N/A*")</f>
        <v>17</v>
      </c>
      <c r="F169" s="101">
        <f>COUNTIFS('NDC MASTER SHEET'!$B$5:$B$201,"Europe",'NDC MASTER SHEET'!$C$5:$C$201,"&lt;&gt;N/A",'NDC MASTER SHEET'!$C$5:$C$201,"&lt;&gt;Policies and actions",'NDC MASTER SHEET'!$G$5:$G$201,"N/A", 'NDC MASTER SHEET'!$BA$5:$BA$201,"&lt;&gt;*N/A*")</f>
        <v>33</v>
      </c>
      <c r="G169" s="185">
        <f>COUNTIFS('NDC MASTER SHEET'!$B$5:$B$201,"Latin America &amp; the Caribbean",'NDC MASTER SHEET'!$C$5:$C$201,"&lt;&gt;N/A",'NDC MASTER SHEET'!$C$5:$C$201,"&lt;&gt;Policies and actions",'NDC MASTER SHEET'!$G$5:$G$201,"N/A", 'NDC MASTER SHEET'!$BA$5:$BA$201,"&lt;&gt;*N/A*")</f>
        <v>26</v>
      </c>
      <c r="H169" s="185">
        <f>COUNTIFS('NDC MASTER SHEET'!$B$5:$B$201,"Northern America",'NDC MASTER SHEET'!$C$5:$C$201,"&lt;&gt;N/A",'NDC MASTER SHEET'!$C$5:$C$201,"&lt;&gt;Policies and actions",'NDC MASTER SHEET'!$G$5:$G$201,"N/A", 'NDC MASTER SHEET'!$BA$5:$BA$201,"&lt;&gt;*N/A*")</f>
        <v>2</v>
      </c>
      <c r="I169" s="185">
        <f>COUNTIFS('NDC MASTER SHEET'!$B$5:$B$201,"Oceania",'NDC MASTER SHEET'!$C$5:$C$201,"&lt;&gt;N/A",'NDC MASTER SHEET'!$C$5:$C$201,"&lt;&gt;Policies and actions",'NDC MASTER SHEET'!$G$5:$G$201,"N/A", 'NDC MASTER SHEET'!$BA$5:$BA$201,"&lt;&gt;*N/A*")</f>
        <v>10</v>
      </c>
      <c r="J169" s="240">
        <f>SUM(B169:I169)</f>
        <v>167</v>
      </c>
      <c r="K169" s="220"/>
      <c r="L169" s="252"/>
    </row>
    <row r="170" spans="1:17" ht="13.5" customHeight="1">
      <c r="A170" s="66" t="s">
        <v>326</v>
      </c>
      <c r="B170" s="101">
        <f>COUNTIFS('NDC MASTER SHEET'!$B$5:$B$201,"Asia",'NDC MASTER SHEET'!$G$5:$G$201,"Yes", 'NDC MASTER SHEET'!$BA$5:$BA$201,"&lt;&gt;*N/A*")</f>
        <v>2</v>
      </c>
      <c r="C170" s="101">
        <f>COUNTIFS('NDC MASTER SHEET'!$B$5:$B$201,"North Africa &amp; the Middle East",'NDC MASTER SHEET'!$G$5:$G$201,"Yes", 'NDC MASTER SHEET'!$BA$5:$BA$201,"&lt;&gt;*N/A*")</f>
        <v>0</v>
      </c>
      <c r="D170" s="101">
        <f>COUNTIFS('NDC MASTER SHEET'!$B$5:$B$201,"Sub-Saharan Africa",'NDC MASTER SHEET'!$G$5:$G$201,"Yes", 'NDC MASTER SHEET'!$BA$5:$BA$201,"&lt;&gt;*N/A*")</f>
        <v>1</v>
      </c>
      <c r="E170" s="101">
        <f>COUNTIFS('NDC MASTER SHEET'!$B$5:$B$201,"Eastern Europe &amp; Central Asia",'NDC MASTER SHEET'!$G$5:$G$201,"Yes", 'NDC MASTER SHEET'!$BA$5:$BA$201,"&lt;&gt;*N/A*")</f>
        <v>0</v>
      </c>
      <c r="F170" s="101">
        <f>COUNTIFS('NDC MASTER SHEET'!$B$5:$B$201,"Europe",'NDC MASTER SHEET'!$G$5:$G$201,"Yes", 'NDC MASTER SHEET'!$BA$5:$BA$201,"&lt;&gt;*N/A*")</f>
        <v>3</v>
      </c>
      <c r="G170" s="185">
        <f>COUNTIFS('NDC MASTER SHEET'!$B$5:$B$201,"Latin America &amp; the Caribbean",'NDC MASTER SHEET'!$G$5:$G$201,"Yes", 'NDC MASTER SHEET'!$BA$5:$BA$201,"&lt;&gt;*N/A*")</f>
        <v>1</v>
      </c>
      <c r="H170" s="185">
        <f>COUNTIFS('NDC MASTER SHEET'!$B$5:$B$201,"Northern America",'NDC MASTER SHEET'!$G$5:$G$201,"Yes", 'NDC MASTER SHEET'!$BA$5:$BA$201,"&lt;&gt;*N/A*")</f>
        <v>0</v>
      </c>
      <c r="I170" s="185">
        <f>COUNTIFS('NDC MASTER SHEET'!$B$5:$B$201,"Oceania",'NDC MASTER SHEET'!$G$5:$G$201,"Yes", 'NDC MASTER SHEET'!$BA$5:$BA$201,"&lt;&gt;*N/A*")</f>
        <v>2</v>
      </c>
      <c r="J170" s="240">
        <f>SUM(B170:I170)</f>
        <v>9</v>
      </c>
      <c r="K170" s="2"/>
      <c r="L170" s="252"/>
    </row>
    <row r="171" spans="1:17">
      <c r="A171" s="80" t="s">
        <v>327</v>
      </c>
      <c r="B171" s="110">
        <f>COUNTIFS('NDC MASTER SHEET'!$B$5:$B$201,"Asia",'NDC MASTER SHEET'!$C$5:$C$201,"Policies and actions", 'NDC MASTER SHEET'!$BA$5:$BA$201,"&lt;&gt;*N/A*")</f>
        <v>3</v>
      </c>
      <c r="C171" s="110">
        <f>COUNTIFS('NDC MASTER SHEET'!$B$5:$B$201,"Asia",'NDC MASTER SHEET'!$C$5:$C$201,"Policies and actions", 'NDC MASTER SHEET'!$BA$5:$BA$201,"&lt;&gt;*N/A*")</f>
        <v>3</v>
      </c>
      <c r="D171" s="110">
        <f>COUNTIFS('NDC MASTER SHEET'!$B$5:$B$201,"Sub-Saharan Africa",'NDC MASTER SHEET'!$C$5:$C$201,"Policies and actions", 'NDC MASTER SHEET'!$BA$5:$BA$201,"&lt;&gt;*N/A*")</f>
        <v>2</v>
      </c>
      <c r="E171" s="110">
        <f>COUNTIFS('NDC MASTER SHEET'!$B$5:$B$201,"Eastern Europe &amp; Central Asia",'NDC MASTER SHEET'!$C$5:$C$201,"Policies and actions", 'NDC MASTER SHEET'!$BA$5:$BA$201,"&lt;&gt;*N/A*")</f>
        <v>0</v>
      </c>
      <c r="F171" s="110">
        <f>COUNTIFS('NDC MASTER SHEET'!$B$5:$B$201,"Europe",'NDC MASTER SHEET'!$C$5:$C$201,"Policies and actions", 'NDC MASTER SHEET'!$BA$5:$BA$201,"&lt;&gt;*N/A*")</f>
        <v>0</v>
      </c>
      <c r="G171" s="110">
        <f>COUNTIFS('NDC MASTER SHEET'!$B$5:$B$201,"Latin America &amp; the Caribbean",'NDC MASTER SHEET'!$C$5:$C$201,"Policies and actions", 'NDC MASTER SHEET'!$BA$5:$BA$201,"&lt;&gt;*N/A*")</f>
        <v>6</v>
      </c>
      <c r="H171" s="110">
        <f>COUNTIFS('NDC MASTER SHEET'!$B$5:$B$201,"Northern America",'NDC MASTER SHEET'!$C$5:$C$201,"Policies and actions", 'NDC MASTER SHEET'!$BA$5:$BA$201,"&lt;&gt;*N/A*")</f>
        <v>0</v>
      </c>
      <c r="I171" s="110">
        <f>COUNTIFS('NDC MASTER SHEET'!$B$5:$B$201,"Oceania",'NDC MASTER SHEET'!$C$5:$C$201,"Policies and actions", 'NDC MASTER SHEET'!$BA$5:$BA$201,"&lt;&gt;*N/A*")</f>
        <v>4</v>
      </c>
      <c r="J171" s="253">
        <f>SUM(B171:I171)</f>
        <v>18</v>
      </c>
      <c r="K171" s="2"/>
      <c r="L171" s="252"/>
    </row>
    <row r="172" spans="1:17">
      <c r="A172" s="27" t="s">
        <v>336</v>
      </c>
      <c r="B172" s="2"/>
      <c r="C172" s="2"/>
      <c r="D172" s="2"/>
      <c r="E172" s="2"/>
      <c r="F172" s="2"/>
      <c r="G172" s="2"/>
      <c r="H172" s="2"/>
      <c r="I172" s="2"/>
      <c r="J172" s="19"/>
    </row>
    <row r="173" spans="1:17">
      <c r="B173" s="2"/>
      <c r="C173" s="2"/>
      <c r="D173" s="2"/>
      <c r="E173" s="2"/>
      <c r="F173" s="2"/>
      <c r="G173" s="2"/>
      <c r="H173" s="2"/>
      <c r="I173" s="2"/>
      <c r="J173" s="19"/>
    </row>
    <row r="174" spans="1:17" ht="31.5" customHeight="1">
      <c r="A174" s="731" t="s">
        <v>408</v>
      </c>
      <c r="B174" s="731"/>
      <c r="C174" s="731"/>
      <c r="D174" s="731"/>
      <c r="E174" s="731"/>
      <c r="G174" s="731" t="s">
        <v>409</v>
      </c>
      <c r="H174" s="731"/>
      <c r="I174" s="731"/>
      <c r="J174" s="731"/>
      <c r="K174" s="731"/>
      <c r="L174" s="731"/>
      <c r="M174" s="731"/>
      <c r="N174" s="731"/>
      <c r="O174" s="731"/>
    </row>
    <row r="175" spans="1:17">
      <c r="A175" s="27"/>
      <c r="B175" s="2"/>
      <c r="C175" s="2"/>
      <c r="D175" s="2"/>
      <c r="E175" s="2"/>
      <c r="F175" s="2"/>
      <c r="G175" s="2"/>
      <c r="H175" s="2"/>
      <c r="I175" s="2"/>
      <c r="J175" s="19"/>
    </row>
    <row r="176" spans="1:17">
      <c r="A176" s="27"/>
      <c r="B176" s="2"/>
      <c r="C176" s="2"/>
      <c r="D176" s="2"/>
      <c r="E176" s="2"/>
      <c r="F176" s="2"/>
      <c r="G176" s="2"/>
      <c r="H176" s="2"/>
      <c r="I176" s="2"/>
      <c r="J176" s="19"/>
    </row>
    <row r="177" spans="1:10">
      <c r="A177" s="27"/>
      <c r="B177" s="2"/>
      <c r="C177" s="2"/>
      <c r="D177" s="2"/>
      <c r="E177" s="2"/>
      <c r="F177" s="2"/>
      <c r="G177" s="2"/>
      <c r="H177" s="2"/>
      <c r="I177" s="2"/>
      <c r="J177" s="19"/>
    </row>
    <row r="178" spans="1:10">
      <c r="A178" s="27"/>
      <c r="B178" s="2"/>
      <c r="C178" s="2"/>
      <c r="D178" s="2"/>
      <c r="E178" s="2"/>
      <c r="F178" s="2"/>
      <c r="G178" s="2"/>
      <c r="H178" s="2"/>
      <c r="I178" s="2"/>
      <c r="J178" s="19"/>
    </row>
    <row r="179" spans="1:10">
      <c r="A179" s="27"/>
      <c r="B179" s="2"/>
      <c r="C179" s="2"/>
      <c r="D179" s="2"/>
      <c r="E179" s="2"/>
      <c r="F179" s="2"/>
      <c r="G179" s="2"/>
      <c r="H179" s="2"/>
      <c r="I179" s="2"/>
      <c r="J179" s="19"/>
    </row>
    <row r="180" spans="1:10">
      <c r="A180" s="27"/>
      <c r="B180" s="2"/>
      <c r="C180" s="2"/>
      <c r="D180" s="2"/>
      <c r="E180" s="2"/>
      <c r="F180" s="2"/>
      <c r="G180" s="2"/>
      <c r="H180" s="2"/>
      <c r="I180" s="2"/>
      <c r="J180" s="19"/>
    </row>
    <row r="181" spans="1:10">
      <c r="A181" s="27"/>
      <c r="B181" s="2"/>
      <c r="C181" s="2"/>
      <c r="D181" s="2"/>
      <c r="E181" s="2"/>
      <c r="F181" s="2"/>
      <c r="G181" s="2"/>
      <c r="H181" s="2"/>
      <c r="I181" s="2"/>
      <c r="J181" s="19"/>
    </row>
    <row r="182" spans="1:10">
      <c r="A182" s="27"/>
      <c r="B182" s="2"/>
      <c r="C182" s="2"/>
      <c r="D182" s="2"/>
      <c r="E182" s="2"/>
      <c r="F182" s="2"/>
      <c r="G182" s="2"/>
      <c r="H182" s="2"/>
      <c r="I182" s="2"/>
      <c r="J182" s="19"/>
    </row>
    <row r="183" spans="1:10">
      <c r="A183" s="27"/>
      <c r="B183" s="2"/>
      <c r="C183" s="2"/>
      <c r="D183" s="2"/>
      <c r="E183" s="2"/>
      <c r="F183" s="2"/>
      <c r="G183" s="2"/>
      <c r="H183" s="2"/>
      <c r="I183" s="2"/>
      <c r="J183" s="19"/>
    </row>
    <row r="184" spans="1:10">
      <c r="A184" s="27"/>
      <c r="B184" s="2"/>
      <c r="C184" s="2"/>
      <c r="D184" s="2"/>
      <c r="E184" s="2"/>
      <c r="F184" s="2"/>
      <c r="G184" s="2"/>
      <c r="H184" s="2"/>
      <c r="I184" s="2"/>
      <c r="J184" s="19"/>
    </row>
    <row r="185" spans="1:10">
      <c r="A185" s="27"/>
      <c r="B185" s="2"/>
      <c r="C185" s="2"/>
      <c r="D185" s="2"/>
      <c r="E185" s="2"/>
      <c r="F185" s="2"/>
      <c r="G185" s="2"/>
      <c r="H185" s="2"/>
      <c r="I185" s="2"/>
      <c r="J185" s="19"/>
    </row>
    <row r="186" spans="1:10">
      <c r="A186" s="27"/>
      <c r="B186" s="2"/>
      <c r="C186" s="2"/>
      <c r="D186" s="2"/>
      <c r="E186" s="2"/>
      <c r="F186" s="2"/>
      <c r="G186" s="2"/>
      <c r="H186" s="2"/>
      <c r="I186" s="2"/>
      <c r="J186" s="19"/>
    </row>
    <row r="187" spans="1:10">
      <c r="A187" s="27"/>
      <c r="B187" s="2"/>
      <c r="C187" s="2"/>
      <c r="D187" s="2"/>
      <c r="E187" s="2"/>
      <c r="F187" s="2"/>
      <c r="G187" s="2"/>
      <c r="H187" s="2"/>
      <c r="I187" s="2"/>
      <c r="J187" s="19"/>
    </row>
    <row r="188" spans="1:10">
      <c r="A188" s="27"/>
      <c r="B188" s="2"/>
      <c r="C188" s="2"/>
      <c r="D188" s="2"/>
      <c r="E188" s="2"/>
      <c r="F188" s="2"/>
      <c r="G188" s="2"/>
      <c r="H188" s="2"/>
      <c r="I188" s="2"/>
      <c r="J188" s="19"/>
    </row>
    <row r="189" spans="1:10">
      <c r="A189" s="27"/>
      <c r="B189" s="2"/>
      <c r="C189" s="2"/>
      <c r="D189" s="2"/>
      <c r="E189" s="2"/>
      <c r="F189" s="2"/>
      <c r="G189" s="2"/>
      <c r="H189" s="2"/>
      <c r="I189" s="2"/>
      <c r="J189" s="19"/>
    </row>
    <row r="190" spans="1:10">
      <c r="A190" s="27"/>
      <c r="B190" s="2"/>
      <c r="C190" s="2"/>
      <c r="D190" s="2"/>
      <c r="E190" s="2"/>
      <c r="F190" s="2"/>
      <c r="G190" s="2"/>
      <c r="H190" s="2"/>
      <c r="I190" s="2"/>
      <c r="J190" s="19"/>
    </row>
    <row r="191" spans="1:10">
      <c r="A191" s="27"/>
      <c r="B191" s="2"/>
      <c r="C191" s="2"/>
      <c r="D191" s="2"/>
      <c r="E191" s="2"/>
      <c r="F191" s="2"/>
      <c r="G191" s="2"/>
      <c r="H191" s="2"/>
      <c r="I191" s="2"/>
      <c r="J191" s="19"/>
    </row>
    <row r="192" spans="1:10">
      <c r="A192" s="27"/>
      <c r="B192" s="2"/>
      <c r="C192" s="2"/>
      <c r="D192" s="2"/>
      <c r="E192" s="2"/>
      <c r="F192" s="2"/>
      <c r="G192" s="2"/>
      <c r="H192" s="2"/>
      <c r="I192" s="2"/>
      <c r="J192" s="19"/>
    </row>
    <row r="193" spans="1:17">
      <c r="A193" s="27"/>
      <c r="B193" s="2"/>
      <c r="C193" s="2"/>
      <c r="D193" s="2"/>
      <c r="E193" s="2"/>
      <c r="F193" s="2"/>
      <c r="G193" s="2"/>
      <c r="H193" s="2"/>
      <c r="I193" s="2"/>
      <c r="J193" s="19"/>
    </row>
    <row r="194" spans="1:17">
      <c r="A194" s="27"/>
      <c r="B194" s="2"/>
      <c r="C194" s="2"/>
      <c r="D194" s="2"/>
      <c r="E194" s="2"/>
      <c r="F194" s="2"/>
      <c r="G194" s="2"/>
      <c r="H194" s="2"/>
      <c r="I194" s="2"/>
      <c r="J194" s="19"/>
    </row>
    <row r="195" spans="1:17" ht="14.4" customHeight="1">
      <c r="A195" s="748" t="s">
        <v>2192</v>
      </c>
      <c r="B195" s="749"/>
      <c r="C195" s="749"/>
      <c r="D195" s="749"/>
      <c r="E195" s="749"/>
      <c r="F195" s="749"/>
      <c r="G195" s="749"/>
      <c r="H195" s="749"/>
      <c r="I195" s="749"/>
      <c r="J195" s="750"/>
      <c r="K195" s="627"/>
      <c r="L195" s="151"/>
    </row>
    <row r="196" spans="1:17" ht="48">
      <c r="A196" s="42"/>
      <c r="B196" s="290" t="s">
        <v>23</v>
      </c>
      <c r="C196" s="290" t="s">
        <v>453</v>
      </c>
      <c r="D196" s="99" t="s">
        <v>455</v>
      </c>
      <c r="E196" s="99" t="s">
        <v>456</v>
      </c>
      <c r="F196" s="99" t="s">
        <v>457</v>
      </c>
      <c r="G196" s="99" t="s">
        <v>458</v>
      </c>
      <c r="H196" s="99" t="s">
        <v>459</v>
      </c>
      <c r="I196" s="99" t="s">
        <v>454</v>
      </c>
      <c r="J196" s="40" t="s">
        <v>170</v>
      </c>
      <c r="K196" s="289"/>
    </row>
    <row r="197" spans="1:17">
      <c r="A197" s="87" t="s">
        <v>331</v>
      </c>
      <c r="B197" s="83"/>
      <c r="C197" s="83"/>
      <c r="D197" s="83"/>
      <c r="E197" s="83"/>
      <c r="F197" s="83"/>
      <c r="G197" s="83"/>
      <c r="H197" s="83"/>
      <c r="I197" s="83"/>
      <c r="J197" s="628"/>
      <c r="K197" s="260"/>
    </row>
    <row r="198" spans="1:17">
      <c r="A198" s="66" t="s">
        <v>330</v>
      </c>
      <c r="B198" s="101">
        <f>COUNTIFS('NDC MASTER SHEET'!$B$5:$B$201,"Asia",'NDC MASTER SHEET'!$AJ$5:$AJ$201,"&lt;&gt;*N/A*", 'NDC MASTER SHEET'!$BA$5:$BA$201,"&lt;&gt;*N/A*")</f>
        <v>11</v>
      </c>
      <c r="C198" s="101">
        <f>COUNTIFS('NDC MASTER SHEET'!$B$5:$B$201,"North Africa &amp; the Middle East",'NDC MASTER SHEET'!$AJ$5:$AJ$201,"&lt;&gt;*N/A*", 'NDC MASTER SHEET'!$BA$5:$BA$201,"&lt;&gt;*N/A*")</f>
        <v>5</v>
      </c>
      <c r="D198" s="101">
        <f>COUNTIFS('NDC MASTER SHEET'!$B$5:$B$201,"Sub-Saharan Africa",'NDC MASTER SHEET'!$AJ$5:$AJ$201,"&lt;&gt;*N/A*", 'NDC MASTER SHEET'!$BA$5:$BA$201,"&lt;&gt;*N/A*")</f>
        <v>44</v>
      </c>
      <c r="E198" s="101">
        <f>COUNTIFS('NDC MASTER SHEET'!$B$5:$B$201,"Eastern Europe &amp; Central Asia",'NDC MASTER SHEET'!$AJ$5:$AJ$201,"&lt;&gt;*N/A*", 'NDC MASTER SHEET'!$BA$5:$BA$201,"&lt;&gt;*N/A*")</f>
        <v>4</v>
      </c>
      <c r="F198" s="101">
        <f>COUNTIFS('NDC MASTER SHEET'!$B$5:$B$201,"Europe",'NDC MASTER SHEET'!$AJ$5:$AJ$201,"&lt;&gt;*N/A*", 'NDC MASTER SHEET'!$BA$5:$BA$201,"&lt;&gt;*N/A*")</f>
        <v>0</v>
      </c>
      <c r="G198" s="101">
        <f>COUNTIFS('NDC MASTER SHEET'!$B$5:$B$201,"Latin America &amp; the Caribbean",'NDC MASTER SHEET'!$AJ$5:$AJ$201,"&lt;&gt;*N/A*", 'NDC MASTER SHEET'!$BA$5:$BA$201,"&lt;&gt;*N/A*")</f>
        <v>12</v>
      </c>
      <c r="H198" s="101">
        <f>COUNTIFS('NDC MASTER SHEET'!$B$5:$B$201,"Northern America",'NDC MASTER SHEET'!$AJ$5:$AJ$201,"&lt;&gt;*N/A*", 'NDC MASTER SHEET'!$BA$5:$BA$201,"&lt;&gt;*N/A*")</f>
        <v>0</v>
      </c>
      <c r="I198" s="185">
        <f>COUNTIFS('NDC MASTER SHEET'!$B$5:$B$201,"Oceania",'NDC MASTER SHEET'!$AJ$5:$AJ$201,"&lt;&gt;*N/A*", 'NDC MASTER SHEET'!$BA$5:$BA$201,"&lt;&gt;*N/A*")</f>
        <v>7</v>
      </c>
      <c r="J198" s="629">
        <f>SUM(B198:I198)</f>
        <v>83</v>
      </c>
      <c r="K198" s="260"/>
    </row>
    <row r="199" spans="1:17">
      <c r="A199" s="87" t="s">
        <v>973</v>
      </c>
      <c r="B199" s="111"/>
      <c r="C199" s="111"/>
      <c r="D199" s="111"/>
      <c r="E199" s="111"/>
      <c r="F199" s="111"/>
      <c r="G199" s="111"/>
      <c r="H199" s="111"/>
      <c r="I199" s="111"/>
      <c r="J199" s="630"/>
      <c r="K199" s="260"/>
    </row>
    <row r="200" spans="1:17" ht="13.5" customHeight="1">
      <c r="A200" s="61" t="s">
        <v>159</v>
      </c>
      <c r="B200" s="212">
        <f>SUMIFS('NDC MASTER SHEET'!$AG$5:$AG$201,'NDC MASTER SHEET'!$B$5:$B$201,"Asia", 'NDC MASTER SHEET'!$BA$5:$BA$201,"&lt;&gt;*N/A*")</f>
        <v>872.72</v>
      </c>
      <c r="C200" s="212">
        <f>SUMIFS('NDC MASTER SHEET'!$AG$5:$AG$201,'NDC MASTER SHEET'!$B$5:$B$201,"North Africa &amp; the Middle East", 'NDC MASTER SHEET'!$BA$5:$BA$201,"&lt;&gt;*N/A*")</f>
        <v>256.17499999999995</v>
      </c>
      <c r="D200" s="212">
        <f>SUMIFS('NDC MASTER SHEET'!$AG$5:$AG$201,'NDC MASTER SHEET'!$B$5:$B$201,"Sub-Saharan Africa", 'NDC MASTER SHEET'!$BA$5:$BA$201,"&lt;&gt;*N/A*")</f>
        <v>1905.8570000000002</v>
      </c>
      <c r="E200" s="212">
        <f>SUMIFS('NDC MASTER SHEET'!$AG$5:$AG$201,'NDC MASTER SHEET'!$B$5:$B$201,"Eastern Europe &amp; Central Asia", 'NDC MASTER SHEET'!$BA$5:$BA$201,"&lt;&gt;*N/A*")</f>
        <v>0</v>
      </c>
      <c r="F200" s="105">
        <f>SUMIFS('NDC MASTER SHEET'!$AG$5:$AG$201,'NDC MASTER SHEET'!$B$5:$B$201,"Europe", 'NDC MASTER SHEET'!$BA$5:$BA$201,"&lt;&gt;*N/A*")-SUMIFS('NDC MASTER SHEET'!$AG$5:$AG$201,'NDC MASTER SHEET'!$A$5:$A$201,"*European*", 'NDC MASTER SHEET'!$BA$5:$BA$201,"&lt;&gt;*N/A*")</f>
        <v>0</v>
      </c>
      <c r="G200" s="212">
        <f>SUMIFS('NDC MASTER SHEET'!$AG$5:$AG$201,'NDC MASTER SHEET'!$B$5:$B$201,"Latin America &amp; the Caribbean", 'NDC MASTER SHEET'!$BA$5:$BA$201,"&lt;&gt;*N/A*")</f>
        <v>18.045000000000002</v>
      </c>
      <c r="H200" s="105">
        <f>SUMIFS('NDC MASTER SHEET'!$AG$5:$AG$201,'NDC MASTER SHEET'!$B$5:$B$201,"Northern America", 'NDC MASTER SHEET'!$BA$5:$BA$201,"&lt;&gt;*N/A*")</f>
        <v>0</v>
      </c>
      <c r="I200" s="249">
        <f>SUMIFS('NDC MASTER SHEET'!$AG$5:$AG$201,'NDC MASTER SHEET'!$B$5:$B$201,"Oceania", 'NDC MASTER SHEET'!$BA$5:$BA$201,"&lt;&gt;*N/A*")</f>
        <v>0.315</v>
      </c>
      <c r="J200" s="631">
        <f>SUM(B200:I200)</f>
        <v>3053.1120000000005</v>
      </c>
      <c r="K200" s="260"/>
    </row>
    <row r="201" spans="1:17">
      <c r="A201" s="61" t="s">
        <v>158</v>
      </c>
      <c r="B201" s="214">
        <f>SUMIFS('NDC MASTER SHEET'!$AH$5:$AH$201,'NDC MASTER SHEET'!$B$5:$B$201,"Asia", 'NDC MASTER SHEET'!$BA$5:$BA$201,"&lt;&gt;*N/A*")</f>
        <v>222.185</v>
      </c>
      <c r="C201" s="214">
        <f>SUMIFS('NDC MASTER SHEET'!$AH$5:$AH$201,'NDC MASTER SHEET'!$B$5:$B$201,"North Africa &amp; the Middle East", 'NDC MASTER SHEET'!$BA$5:$BA$201,"&lt;&gt;*N/A*")</f>
        <v>94.222999999999999</v>
      </c>
      <c r="D201" s="214">
        <f>SUMIFS('NDC MASTER SHEET'!$AH$5:$AH$201,'NDC MASTER SHEET'!$B$5:$B$201,"Sub-Saharan Africa", 'NDC MASTER SHEET'!$BA$5:$BA$201,"&lt;&gt;*N/A*")</f>
        <v>892.40690000000006</v>
      </c>
      <c r="E201" s="214">
        <f>SUMIFS('NDC MASTER SHEET'!$AH$5:$AH$201,'NDC MASTER SHEET'!$B$5:$B$201,"Eastern Europe &amp; Central Asia", 'NDC MASTER SHEET'!$BA$5:$BA$201,"&lt;&gt;*N/A*")</f>
        <v>16.72</v>
      </c>
      <c r="F201" s="215">
        <f>SUMIFS('NDC MASTER SHEET'!$AH$5:$AH$201,'NDC MASTER SHEET'!$B$5:$B$201,"Europe", 'NDC MASTER SHEET'!$BA$5:$BA$201,"&lt;&gt;*N/A*")-SUMIFS('NDC MASTER SHEET'!$AH$5:$AH$201,'NDC MASTER SHEET'!$A$5:$A$201,"*European*", 'NDC MASTER SHEET'!$BA$5:$BA$201,"&lt;&gt;*N/A*")</f>
        <v>0</v>
      </c>
      <c r="G201" s="214">
        <f>SUMIFS('NDC MASTER SHEET'!$AH$5:$AH$201,'NDC MASTER SHEET'!$B$5:$B$201,"Latin America &amp; the Caribbean", 'NDC MASTER SHEET'!$BA$5:$BA$201,"&lt;&gt;*N/A*")</f>
        <v>23.472999999999999</v>
      </c>
      <c r="H201" s="215">
        <f>SUMIFS('NDC MASTER SHEET'!$AH$5:$AH$201,'NDC MASTER SHEET'!$B$5:$B$201,"Northern America", 'NDC MASTER SHEET'!$BA$5:$BA$201,"&lt;&gt;*N/A*")</f>
        <v>0</v>
      </c>
      <c r="I201" s="214">
        <f>SUMIFS('NDC MASTER SHEET'!$AH$5:$AH$201,'NDC MASTER SHEET'!$B$5:$B$201,"Oceania", 'NDC MASTER SHEET'!$BA$5:$BA$201,"&lt;&gt;*N/A*")</f>
        <v>0.84599999999999997</v>
      </c>
      <c r="J201" s="631">
        <f>SUM(B201:I201)</f>
        <v>1249.8539000000001</v>
      </c>
      <c r="K201" s="151"/>
    </row>
    <row r="202" spans="1:17">
      <c r="A202" s="62" t="s">
        <v>270</v>
      </c>
      <c r="B202" s="112">
        <f t="shared" ref="B202:I202" si="6">B203-SUM(B200:B201)</f>
        <v>1459.9999999999998</v>
      </c>
      <c r="C202" s="112">
        <f t="shared" si="6"/>
        <v>2.7400000000000091</v>
      </c>
      <c r="D202" s="112">
        <f t="shared" si="6"/>
        <v>329.73799999999983</v>
      </c>
      <c r="E202" s="112">
        <f t="shared" si="6"/>
        <v>11.300000000000004</v>
      </c>
      <c r="F202" s="112">
        <f t="shared" si="6"/>
        <v>0</v>
      </c>
      <c r="G202" s="112">
        <f t="shared" si="6"/>
        <v>7.3960000000000008</v>
      </c>
      <c r="H202" s="112">
        <f t="shared" si="6"/>
        <v>0</v>
      </c>
      <c r="I202" s="250">
        <f t="shared" si="6"/>
        <v>3.5320000000000005</v>
      </c>
      <c r="J202" s="631">
        <f>SUM(B202:I202)</f>
        <v>1814.7059999999994</v>
      </c>
      <c r="K202" s="260"/>
    </row>
    <row r="203" spans="1:17" ht="15" customHeight="1">
      <c r="A203" s="75" t="s">
        <v>179</v>
      </c>
      <c r="B203" s="213">
        <f>SUMIFS('NDC MASTER SHEET'!$AI$5:$AI$201,'NDC MASTER SHEET'!$B$5:$B$201,"Asia", 'NDC MASTER SHEET'!$BA$5:$BA$201,"&lt;&gt;*N/A*")</f>
        <v>2554.9049999999997</v>
      </c>
      <c r="C203" s="213">
        <f>SUMIFS('NDC MASTER SHEET'!$AI$5:$AI$201,'NDC MASTER SHEET'!$B$5:$B$201,"North Africa &amp; the Middle East", 'NDC MASTER SHEET'!$BA$5:$BA$201,"&lt;&gt;*N/A*")</f>
        <v>353.13799999999998</v>
      </c>
      <c r="D203" s="213">
        <f>SUMIFS('NDC MASTER SHEET'!$AI$5:$AI$201,'NDC MASTER SHEET'!$B$5:$B$201,"Sub-Saharan Africa", 'NDC MASTER SHEET'!$BA$5:$BA$201,"&lt;&gt;*N/A*")</f>
        <v>3128.0019000000002</v>
      </c>
      <c r="E203" s="213">
        <f>SUMIFS('NDC MASTER SHEET'!$AI$5:$AI$201,'NDC MASTER SHEET'!$B$5:$B$201,"Eastern Europe &amp; Central Asia", 'NDC MASTER SHEET'!$BA$5:$BA$201,"&lt;&gt;*N/A*")</f>
        <v>28.020000000000003</v>
      </c>
      <c r="F203" s="113">
        <f>SUMIFS('NDC MASTER SHEET'!$AI$5:$AI$201,'NDC MASTER SHEET'!$B$5:$B$201,"Europe", 'NDC MASTER SHEET'!$BA$5:$BA$201,"&lt;&gt;*N/A*")-SUMIFS('NDC MASTER SHEET'!$AI$5:$AI$201,'NDC MASTER SHEET'!$A$5:$A$201,"*European*", 'NDC MASTER SHEET'!$BA$5:$BA$201,"&lt;&gt;*N/A*")</f>
        <v>0</v>
      </c>
      <c r="G203" s="213">
        <f>SUMIFS('NDC MASTER SHEET'!$AI$5:$AI$201,'NDC MASTER SHEET'!$B$5:$B$201,"Latin America &amp; the Caribbean", 'NDC MASTER SHEET'!$BA$5:$BA$201,"&lt;&gt;*N/A*")</f>
        <v>48.914000000000001</v>
      </c>
      <c r="H203" s="113">
        <f>SUMIFS('NDC MASTER SHEET'!$AI$5:$AI$201,'NDC MASTER SHEET'!$B$5:$B$201,"Northern America", 'NDC MASTER SHEET'!$BA$5:$BA$201,"&lt;&gt;*N/A*")</f>
        <v>0</v>
      </c>
      <c r="I203" s="251">
        <f>SUMIFS('NDC MASTER SHEET'!$AI$5:$AI$201,'NDC MASTER SHEET'!$B$5:$B$201,"Oceania", 'NDC MASTER SHEET'!$BA$5:$BA$201,"&lt;&gt;*N/A*")</f>
        <v>4.6930000000000005</v>
      </c>
      <c r="J203" s="632">
        <f>SUM(B203:I203)</f>
        <v>6117.6719000000003</v>
      </c>
      <c r="K203" s="260"/>
      <c r="L203" s="29"/>
      <c r="M203" s="29"/>
      <c r="N203" s="2"/>
      <c r="O203" s="29"/>
      <c r="P203" s="2"/>
      <c r="Q203" s="29"/>
    </row>
    <row r="204" spans="1:17" ht="15" customHeight="1">
      <c r="I204" s="217"/>
      <c r="J204" s="217"/>
      <c r="L204" s="260"/>
    </row>
    <row r="205" spans="1:17" ht="15" customHeight="1">
      <c r="A205" s="730" t="s">
        <v>410</v>
      </c>
      <c r="B205" s="730"/>
      <c r="C205" s="730"/>
      <c r="D205" s="730"/>
      <c r="E205" s="730"/>
      <c r="F205" s="730"/>
    </row>
    <row r="206" spans="1:17" ht="15" customHeight="1"/>
    <row r="207" spans="1:17" ht="15" customHeight="1"/>
    <row r="208" spans="1:17"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spans="1:18" ht="15" customHeight="1"/>
    <row r="226" spans="1:18" ht="15" customHeight="1"/>
    <row r="227" spans="1:18" ht="15" customHeight="1"/>
    <row r="228" spans="1:18" ht="14.4">
      <c r="A228" s="748" t="s">
        <v>2193</v>
      </c>
      <c r="B228" s="749"/>
      <c r="C228" s="749"/>
      <c r="D228" s="749"/>
      <c r="E228" s="749"/>
      <c r="F228" s="749"/>
      <c r="G228" s="749"/>
      <c r="H228" s="749"/>
      <c r="I228" s="749"/>
      <c r="J228" s="750"/>
    </row>
    <row r="229" spans="1:18" ht="48" customHeight="1">
      <c r="A229" s="42"/>
      <c r="B229" s="98" t="s">
        <v>23</v>
      </c>
      <c r="C229" s="98" t="s">
        <v>247</v>
      </c>
      <c r="D229" s="99" t="s">
        <v>437</v>
      </c>
      <c r="E229" s="99" t="s">
        <v>438</v>
      </c>
      <c r="F229" s="99" t="s">
        <v>249</v>
      </c>
      <c r="G229" s="99" t="s">
        <v>439</v>
      </c>
      <c r="H229" s="99" t="s">
        <v>459</v>
      </c>
      <c r="I229" s="99" t="s">
        <v>454</v>
      </c>
      <c r="J229" s="40" t="s">
        <v>170</v>
      </c>
      <c r="K229" s="2"/>
    </row>
    <row r="230" spans="1:18">
      <c r="A230" s="84" t="s">
        <v>329</v>
      </c>
      <c r="B230" s="85"/>
      <c r="C230" s="85"/>
      <c r="D230" s="85"/>
      <c r="E230" s="85"/>
      <c r="F230" s="85"/>
      <c r="G230" s="85"/>
      <c r="H230" s="85"/>
      <c r="I230" s="85"/>
      <c r="J230" s="86"/>
    </row>
    <row r="231" spans="1:18" ht="15.75" customHeight="1">
      <c r="A231" s="61" t="s">
        <v>330</v>
      </c>
      <c r="B231" s="101">
        <f>COUNTIFS('NDC MASTER SHEET'!$B$5:$B$201,"Asia",'NDC MASTER SHEET'!AS5:AS201,"1")</f>
        <v>19</v>
      </c>
      <c r="C231" s="101">
        <f>COUNTIFS('NDC MASTER SHEET'!$B$5:$B$201,"North Africa &amp; the Middle East",'NDC MASTER SHEET'!AS5:AS201,"1")</f>
        <v>12</v>
      </c>
      <c r="D231" s="101">
        <f>COUNTIFS('NDC MASTER SHEET'!$B$5:$B$201,"Sub-Saharan Africa",'NDC MASTER SHEET'!AS5:AS201,"1")</f>
        <v>33</v>
      </c>
      <c r="E231" s="101">
        <f>COUNTIFS('NDC MASTER SHEET'!$B$5:$B$201,"Eastern Europe &amp; Central Asia",'NDC MASTER SHEET'!AS5:AS201,"1")</f>
        <v>9</v>
      </c>
      <c r="F231" s="101">
        <f>COUNTIFS('NDC MASTER SHEET'!$B$5:$B$201,"Europe",'NDC MASTER SHEET'!AS5:AS201,"1")</f>
        <v>36</v>
      </c>
      <c r="G231" s="101">
        <f>COUNTIFS('NDC MASTER SHEET'!$B$5:$B$201,"Latin America &amp; the Caribbean",'NDC MASTER SHEET'!AS5:AS201,"1")</f>
        <v>25</v>
      </c>
      <c r="H231" s="101">
        <f>COUNTIFS('NDC MASTER SHEET'!$B$5:$B$201,"Northern America",'NDC MASTER SHEET'!AS5:AS201,"1")</f>
        <v>2</v>
      </c>
      <c r="I231" s="185">
        <f>COUNTIFS('NDC MASTER SHEET'!$B$5:$B$201,"Oceania",'NDC MASTER SHEET'!AS5:AS201,"1")</f>
        <v>11</v>
      </c>
      <c r="J231" s="240">
        <f>SUM(B231:I231)</f>
        <v>147</v>
      </c>
      <c r="K231" s="2"/>
      <c r="L231" s="2"/>
      <c r="M231" s="2"/>
      <c r="N231" s="2"/>
      <c r="O231" s="2"/>
      <c r="P231" s="2"/>
      <c r="Q231" s="2"/>
      <c r="R231" s="2"/>
    </row>
    <row r="232" spans="1:18">
      <c r="A232" s="84" t="s">
        <v>393</v>
      </c>
      <c r="B232" s="109"/>
      <c r="C232" s="109"/>
      <c r="D232" s="109"/>
      <c r="E232" s="109"/>
      <c r="F232" s="109"/>
      <c r="G232" s="109"/>
      <c r="H232" s="109"/>
      <c r="I232" s="109"/>
      <c r="J232" s="114"/>
      <c r="K232" s="2"/>
      <c r="L232" s="2"/>
      <c r="M232" s="2"/>
      <c r="N232" s="2"/>
      <c r="O232" s="2"/>
      <c r="P232" s="2"/>
      <c r="Q232" s="2"/>
      <c r="R232" s="2"/>
    </row>
    <row r="233" spans="1:18">
      <c r="A233" s="61" t="s">
        <v>364</v>
      </c>
      <c r="B233" s="101">
        <f>COUNTIFS('NDC MASTER SHEET'!$B$5:$B$201,"Asia",'NDC MASTER SHEET'!$AM$5:$AM$201,"Yes")+COUNTIFS('NDC MASTER SHEET'!$B$5:$B$201,"Asia",'NDC MASTER SHEET'!$AM$5:$AM$201,"Will be considered")+COUNTIFS('NDC MASTER SHEET'!$B$5:$B$201,"Asia",'NDC MASTER SHEET'!$AM$5:$AM$201,"Yes, but not mentioned in the NDC")</f>
        <v>16</v>
      </c>
      <c r="C233" s="101">
        <f>COUNTIFS('NDC MASTER SHEET'!$B$5:$B$201,"North Africa &amp; the Middle East",'NDC MASTER SHEET'!$AM$5:$AM$201,"Yes")+COUNTIFS('NDC MASTER SHEET'!$B$5:$B$201,"North Africa &amp; the Middle East",'NDC MASTER SHEET'!$AM$5:$AM$201,"Will be considered")+COUNTIFS('NDC MASTER SHEET'!$B$5:$B$201,"North Africa &amp; the Middle East",'NDC MASTER SHEET'!$AM$5:$AM$201,"Yes, but not mentioned in the NDC")</f>
        <v>11</v>
      </c>
      <c r="D233" s="101">
        <f>COUNTIFS('NDC MASTER SHEET'!$B$5:$B$201,"Sub-Saharan Africa",'NDC MASTER SHEET'!$AM$5:$AM$201,"Yes")+COUNTIFS('NDC MASTER SHEET'!$B$5:$B$201,"Sub-Saharan Africa",'NDC MASTER SHEET'!$AM$5:$AM$201,"Will be considered")+COUNTIFS('NDC MASTER SHEET'!$B$5:$B$201,"Sub-Saharan Africa",'NDC MASTER SHEET'!$AM$5:$AM$201,"Yes, but not mentioned in the NDC")</f>
        <v>28</v>
      </c>
      <c r="E233" s="101">
        <f>COUNTIFS('NDC MASTER SHEET'!$B$5:$B$201,"Eastern Europe &amp; Central Asia",'NDC MASTER SHEET'!$AM$5:$AM$201,"Yes")+COUNTIFS('NDC MASTER SHEET'!$B$5:$B$201,"Eastern Europe &amp; Central Asia",'NDC MASTER SHEET'!$AM$5:$AM$201,"Will be considered")+COUNTIFS('NDC MASTER SHEET'!$B$5:$B$201,"Eastern Europe &amp; Central Asia",'NDC MASTER SHEET'!$AM$5:$AM$201,"Yes, but not mentioned in the NDC")</f>
        <v>7</v>
      </c>
      <c r="F233" s="101">
        <f>COUNTIFS('NDC MASTER SHEET'!$B$5:$B$201,"Europe",'NDC MASTER SHEET'!$AM$5:$AM$201,"Yes")+COUNTIFS('NDC MASTER SHEET'!$B$5:$B$201,"Europe",'NDC MASTER SHEET'!$AM$5:$AM$201,"Will be considered")+COUNTIFS('NDC MASTER SHEET'!$B$5:$B$201,"Europe",'NDC MASTER SHEET'!$AM$5:$AM$201,"Yes, but not mentioned in the NDC")</f>
        <v>6</v>
      </c>
      <c r="G233" s="101">
        <f>COUNTIFS('NDC MASTER SHEET'!$B$5:$B$201,"Latin America &amp; the Caribbean",'NDC MASTER SHEET'!$AM$5:$AM$201,"Yes")+COUNTIFS('NDC MASTER SHEET'!$B$5:$B$201,"Latin America &amp; the Caribbean",'NDC MASTER SHEET'!$AM$5:$AM$201,"Will be considered")+COUNTIFS('NDC MASTER SHEET'!$B$5:$B$201,"Latin America &amp; the Caribbean",'NDC MASTER SHEET'!$AM$5:$AM$201,"Yes, but not mentioned in the NDC")</f>
        <v>18</v>
      </c>
      <c r="H233" s="101">
        <f>COUNTIFS('NDC MASTER SHEET'!$B$5:$B$201,"Northern America",'NDC MASTER SHEET'!$AM$5:$AM$201,"Yes")+COUNTIFS('NDC MASTER SHEET'!$B$5:$B$201,"Northern America",'NDC MASTER SHEET'!$AM$5:$AM$201,"Will be considered")+COUNTIFS('NDC MASTER SHEET'!$B$5:$B$201,"Northern America",'NDC MASTER SHEET'!$AM$5:$AM$201,"Yes, but not mentioned in the NDC")</f>
        <v>1</v>
      </c>
      <c r="I233" s="185">
        <f>COUNTIFS('NDC MASTER SHEET'!$B$5:$B$201,"Oceania",'NDC MASTER SHEET'!$AM$5:$AM$201,"Yes")+COUNTIFS('NDC MASTER SHEET'!$B$5:$B$201,"Oceania",'NDC MASTER SHEET'!$AM$5:$AM$201,"Will be considered")+COUNTIFS('NDC MASTER SHEET'!$B$5:$B$201,"Oceania",'NDC MASTER SHEET'!$AM$5:$AM$201,"Yes, but not mentioned in the NDC")</f>
        <v>7</v>
      </c>
      <c r="J233" s="240">
        <f t="shared" ref="J233:J238" si="7">SUM(B233:I233)</f>
        <v>94</v>
      </c>
      <c r="K233" s="2"/>
      <c r="L233" s="2"/>
      <c r="M233" s="2"/>
      <c r="N233" s="2"/>
      <c r="O233" s="2"/>
      <c r="P233" s="2"/>
      <c r="Q233" s="2"/>
      <c r="R233" s="2"/>
    </row>
    <row r="234" spans="1:18">
      <c r="A234" s="62" t="s">
        <v>365</v>
      </c>
      <c r="B234" s="101">
        <f>COUNTIFS('NDC MASTER SHEET'!$B$5:$B$201,"Asia",'NDC MASTER SHEET'!$AN$5:$AN$201,"Yes")+COUNTIFS('NDC MASTER SHEET'!$B$5:$B$201,"Asia",'NDC MASTER SHEET'!$AN$5:$AN$201,"Will be considered")+COUNTIFS('NDC MASTER SHEET'!$B$5:$B$201,"Asia",'NDC MASTER SHEET'!$AN$5:$AN$201,"Yes, but not mentioned in the NDC")</f>
        <v>4</v>
      </c>
      <c r="C234" s="101">
        <f>COUNTIFS('NDC MASTER SHEET'!$B$5:$B$201,"North Africa &amp; the Middle East",'NDC MASTER SHEET'!$AN$5:$AN$201,"Yes")+COUNTIFS('NDC MASTER SHEET'!$B$5:$B$201,"North Africa &amp; the Middle East",'NDC MASTER SHEET'!$AN$5:$AN$201,"Will be considered")+COUNTIFS('NDC MASTER SHEET'!$B$5:$B$201,"North Africa &amp; the Middle East",'NDC MASTER SHEET'!$AN$5:$AN$201,"Yes, but not mentioned in the NDC")</f>
        <v>2</v>
      </c>
      <c r="D234" s="101">
        <f>COUNTIFS('NDC MASTER SHEET'!$B$5:$B$201,"Sub-Saharan Africa",'NDC MASTER SHEET'!$AN$5:$AN$201,"Yes")+COUNTIFS('NDC MASTER SHEET'!$B$5:$B$201,"Sub-Saharan Africa",'NDC MASTER SHEET'!$AN$5:$AN$201,"Will be considered")+COUNTIFS('NDC MASTER SHEET'!$B$5:$B$201,"Sub-Saharan Africa",'NDC MASTER SHEET'!$AN$5:$AN$201,"Yes, but not mentioned in the NDC")</f>
        <v>5</v>
      </c>
      <c r="E234" s="101">
        <f>COUNTIFS('NDC MASTER SHEET'!$B$5:$B$201,"Eastern Europe &amp; Central Asia",'NDC MASTER SHEET'!$AN$5:$AN$201,"Yes")+COUNTIFS('NDC MASTER SHEET'!$B$5:$B$201,"Eastern Europe &amp; Central Asia",'NDC MASTER SHEET'!$AN$5:$AN$201,"Will be considered")+COUNTIFS('NDC MASTER SHEET'!$B$5:$B$201,"Eastern Europe &amp; Central Asia",'NDC MASTER SHEET'!$AN$5:$AN$201,"Yes, but not mentioned in the NDC")</f>
        <v>2</v>
      </c>
      <c r="F234" s="101">
        <f>COUNTIFS('NDC MASTER SHEET'!$B$5:$B$201,"Europe",'NDC MASTER SHEET'!$AN$5:$AN$201,"Yes")+COUNTIFS('NDC MASTER SHEET'!$B$5:$B$201,"Europe",'NDC MASTER SHEET'!$AN$5:$AN$201,"Will be considered")+COUNTIFS('NDC MASTER SHEET'!$B$5:$B$201,"Europe",'NDC MASTER SHEET'!$AN$5:$AN$201,"Yes, but not mentioned in the NDC")</f>
        <v>2</v>
      </c>
      <c r="G234" s="101">
        <f>COUNTIFS('NDC MASTER SHEET'!$B$5:$B$201,"Latin America &amp; the Caribbean",'NDC MASTER SHEET'!$AN$5:$AN$201,"Yes")+COUNTIFS('NDC MASTER SHEET'!$B$5:$B$201,"Latin America &amp; the Caribbean",'NDC MASTER SHEET'!$AN$5:$AN$201,"Will be considered")+COUNTIFS('NDC MASTER SHEET'!$B$5:$B$201,"Latin America &amp; the Caribbean",'NDC MASTER SHEET'!$AN$5:$AN$201,"Yes, but not mentioned in the NDC")</f>
        <v>5</v>
      </c>
      <c r="H234" s="101">
        <f>COUNTIFS('NDC MASTER SHEET'!$B$5:$B$201,"Northern America",'NDC MASTER SHEET'!$AN$5:$AN$201,"Yes")+COUNTIFS('NDC MASTER SHEET'!$B$5:$B$201,"Northern America",'NDC MASTER SHEET'!$AN$5:$AN$201,"Will be considered")+COUNTIFS('NDC MASTER SHEET'!$B$5:$B$201,"Northern America",'NDC MASTER SHEET'!$AN$5:$AN$201,"Yes, but not mentioned in the NDC")</f>
        <v>2</v>
      </c>
      <c r="I234" s="185">
        <f>COUNTIFS('NDC MASTER SHEET'!$B$5:$B$201,"Oceania",'NDC MASTER SHEET'!$AN$5:$AN$201,"Yes")+COUNTIFS('NDC MASTER SHEET'!$B$5:$B$201,"Oceania",'NDC MASTER SHEET'!$AN$5:$AN$201,"Will be considered")+COUNTIFS('NDC MASTER SHEET'!$B$5:$B$201,"Oceania",'NDC MASTER SHEET'!$AN$5:$AN$201,"Yes, but not mentioned in the NDC")</f>
        <v>3</v>
      </c>
      <c r="J234" s="240">
        <f t="shared" si="7"/>
        <v>25</v>
      </c>
      <c r="K234" s="2"/>
      <c r="L234" s="2"/>
      <c r="M234" s="2"/>
      <c r="N234" s="2"/>
      <c r="O234" s="2"/>
      <c r="P234" s="2"/>
      <c r="Q234" s="2"/>
      <c r="R234" s="2"/>
    </row>
    <row r="235" spans="1:18">
      <c r="A235" s="63" t="s">
        <v>366</v>
      </c>
      <c r="B235" s="101">
        <f>COUNTIFS('NDC MASTER SHEET'!$B$5:$B$201,"Asia",'NDC MASTER SHEET'!$AO$5:$AO$201,"Yes")+COUNTIFS('NDC MASTER SHEET'!$B$5:$B$201,"Asia",'NDC MASTER SHEET'!$AO$5:$AO$201,"Will be considered")+COUNTIFS('NDC MASTER SHEET'!$B$5:$B$201,"Asia",'NDC MASTER SHEET'!$AO$5:$AO$201,"Yes, but not mentioned in the NDC")</f>
        <v>9</v>
      </c>
      <c r="C235" s="101">
        <f>COUNTIFS('NDC MASTER SHEET'!$B$5:$B$201,"North Africa &amp; the Middle East",'NDC MASTER SHEET'!$AO$5:$AO$201,"Yes")+COUNTIFS('NDC MASTER SHEET'!$B$5:$B$201,"North Africa &amp; the Middle East",'NDC MASTER SHEET'!$AO$5:$AO$201,"Will be considered")+COUNTIFS('NDC MASTER SHEET'!$B$5:$B$201,"North Africa &amp; the Middle East",'NDC MASTER SHEET'!$AO$5:$AO$201,"Yes, but not mentioned in the NDC")</f>
        <v>5</v>
      </c>
      <c r="D235" s="101">
        <f>COUNTIFS('NDC MASTER SHEET'!$B$5:$B$201,"Sub-Saharan Africa",'NDC MASTER SHEET'!$AO$5:$AO$201,"Yes")+COUNTIFS('NDC MASTER SHEET'!$B$5:$B$201,"Sub-Saharan Africa",'NDC MASTER SHEET'!$AO$5:$AO$201,"Will be considered")+COUNTIFS('NDC MASTER SHEET'!$B$5:$B$201,"Sub-Saharan Africa",'NDC MASTER SHEET'!$AO$5:$AO$201,"Yes, but not mentioned in the NDC")</f>
        <v>6</v>
      </c>
      <c r="E235" s="101">
        <f>COUNTIFS('NDC MASTER SHEET'!$B$5:$B$201,"Eastern Europe &amp; Central Asia",'NDC MASTER SHEET'!$AO$5:$AO$201,"Yes")+COUNTIFS('NDC MASTER SHEET'!$B$5:$B$201,"Eastern Europe &amp; Central Asia",'NDC MASTER SHEET'!$AO$5:$AO$201,"Will be considered")+COUNTIFS('NDC MASTER SHEET'!$B$5:$B$201,"Eastern Europe &amp; Central Asia",'NDC MASTER SHEET'!$AO$5:$AO$201,"Yes, but not mentioned in the NDC")</f>
        <v>2</v>
      </c>
      <c r="F235" s="101">
        <f>COUNTIFS('NDC MASTER SHEET'!$B$5:$B$201,"Europe",'NDC MASTER SHEET'!$AO$5:$AO$201,"Yes")+COUNTIFS('NDC MASTER SHEET'!$B$5:$B$201,"Europe",'NDC MASTER SHEET'!$AO$5:$AO$201,"Will be considered")+COUNTIFS('NDC MASTER SHEET'!$B$5:$B$201,"Europe",'NDC MASTER SHEET'!$AO$5:$AO$201,"Yes, but not mentioned in the NDC")</f>
        <v>2</v>
      </c>
      <c r="G235" s="101">
        <f>COUNTIFS('NDC MASTER SHEET'!$B$5:$B$201,"Latin America &amp; the Caribbean",'NDC MASTER SHEET'!$AO$5:$AO$201,"Yes")+COUNTIFS('NDC MASTER SHEET'!$B$5:$B$201,"Latin America &amp; the Caribbean",'NDC MASTER SHEET'!$AO$5:$AO$201,"Will be considered")+COUNTIFS('NDC MASTER SHEET'!$B$5:$B$201,"Latin America &amp; the Caribbean",'NDC MASTER SHEET'!$AO$5:$AO$201,"Yes, but not mentioned in the NDC")</f>
        <v>8</v>
      </c>
      <c r="H235" s="101">
        <f>COUNTIFS('NDC MASTER SHEET'!$B$5:$B$201,"Northern America",'NDC MASTER SHEET'!$AO$5:$AO$201,"Yes")+COUNTIFS('NDC MASTER SHEET'!$B$5:$B$201,"Northern America",'NDC MASTER SHEET'!$AO$5:$AO$201,"Will be considered")+COUNTIFS('NDC MASTER SHEET'!$B$5:$B$201,"Northern America",'NDC MASTER SHEET'!$AO$5:$AO$201,"Yes, but not mentioned in the NDC")</f>
        <v>1</v>
      </c>
      <c r="I235" s="185">
        <f>COUNTIFS('NDC MASTER SHEET'!$B$5:$B$201,"Oceania",'NDC MASTER SHEET'!$AO$5:$AO$201,"Yes")+COUNTIFS('NDC MASTER SHEET'!$B$5:$B$201,"Oceania",'NDC MASTER SHEET'!$AO$5:$AO$201,"Will be considered")+COUNTIFS('NDC MASTER SHEET'!$B$5:$B$201,"Oceania",'NDC MASTER SHEET'!$AO$5:$AO$201,"Yes, but not mentioned in the NDC")</f>
        <v>2</v>
      </c>
      <c r="J235" s="240">
        <f t="shared" si="7"/>
        <v>35</v>
      </c>
      <c r="K235" s="2"/>
      <c r="L235" s="2"/>
      <c r="M235" s="2"/>
      <c r="N235" s="2"/>
      <c r="O235" s="2"/>
      <c r="P235" s="2"/>
      <c r="Q235" s="2"/>
      <c r="R235" s="2"/>
    </row>
    <row r="236" spans="1:18">
      <c r="A236" s="64" t="s">
        <v>367</v>
      </c>
      <c r="B236" s="101">
        <f>COUNTIFS('NDC MASTER SHEET'!$B$5:$B$201,"Asia",'NDC MASTER SHEET'!$AP$5:$AP$201,"Yes")+COUNTIFS('NDC MASTER SHEET'!$B$5:$B$201,"Asia",'NDC MASTER SHEET'!$AP$5:$AP$201,"Will be considered")+COUNTIFS('NDC MASTER SHEET'!$B$5:$B$201,"Asia",'NDC MASTER SHEET'!$AP$5:$AP$201,"Yes, but not mentioned in the NDC")</f>
        <v>4</v>
      </c>
      <c r="C236" s="101">
        <f>COUNTIFS('NDC MASTER SHEET'!$B$5:$B$201,"North Africa &amp; the Middle East",'NDC MASTER SHEET'!$AP$5:$AP$201,"Yes")+COUNTIFS('NDC MASTER SHEET'!$B$5:$B$201,"North Africa &amp; the Middle East",'NDC MASTER SHEET'!$AP$5:$AP$201,"Will be considered")+COUNTIFS('NDC MASTER SHEET'!$B$5:$B$201,"North Africa &amp; the Middle East",'NDC MASTER SHEET'!$AP$5:$AP$201,"Yes, but not mentioned in the NDC")</f>
        <v>1</v>
      </c>
      <c r="D236" s="101">
        <f>COUNTIFS('NDC MASTER SHEET'!$B$5:$B$201,"Sub-Saharan Africa",'NDC MASTER SHEET'!$AP$5:$AP$201,"Yes")+COUNTIFS('NDC MASTER SHEET'!$B$5:$B$201,"Sub-Saharan Africa",'NDC MASTER SHEET'!$AP$5:$AP$201,"Will be considered")+COUNTIFS('NDC MASTER SHEET'!$B$5:$B$201,"Sub-Saharan Africa",'NDC MASTER SHEET'!$AP$5:$AP$201,"Yes, but not mentioned in the NDC")</f>
        <v>1</v>
      </c>
      <c r="E236" s="101">
        <f>COUNTIFS('NDC MASTER SHEET'!$B$5:$B$201,"Eastern Europe &amp; Central Asia",'NDC MASTER SHEET'!$AP$5:$AP$201,"Yes")+COUNTIFS('NDC MASTER SHEET'!$B$5:$B$201,"Eastern Europe &amp; Central Asia",'NDC MASTER SHEET'!$AP$5:$AP$201,"Will be considered")+COUNTIFS('NDC MASTER SHEET'!$B$5:$B$201,"Eastern Europe &amp; Central Asia",'NDC MASTER SHEET'!$AP$5:$AP$201,"Yes, but not mentioned in the NDC")</f>
        <v>1</v>
      </c>
      <c r="F236" s="101">
        <f>COUNTIFS('NDC MASTER SHEET'!$B$5:$B$201,"Europe",'NDC MASTER SHEET'!$AP$5:$AP$201,"Yes")+COUNTIFS('NDC MASTER SHEET'!$B$5:$B$201,"Europe",'NDC MASTER SHEET'!$AP$5:$AP$201,"Will be considered")+COUNTIFS('NDC MASTER SHEET'!$B$5:$B$201,"Europe",'NDC MASTER SHEET'!$AP$5:$AP$201,"Yes, but not mentioned in the NDC")</f>
        <v>31</v>
      </c>
      <c r="G236" s="101">
        <f>COUNTIFS('NDC MASTER SHEET'!$B$5:$B$201,"Latin America &amp; the Caribbean",'NDC MASTER SHEET'!$AP$5:$AP$201,"Yes")+COUNTIFS('NDC MASTER SHEET'!$B$5:$B$201,"Latin America &amp; the Caribbean",'NDC MASTER SHEET'!$AP$5:$AP$201,"Will be considered")+COUNTIFS('NDC MASTER SHEET'!$B$5:$B$201,"Latin America &amp; the Caribbean",'NDC MASTER SHEET'!$AP$5:$AP$201,"Yes, but not mentioned in the NDC")</f>
        <v>4</v>
      </c>
      <c r="H236" s="101">
        <f>COUNTIFS('NDC MASTER SHEET'!$B$5:$B$201,"Northern America",'NDC MASTER SHEET'!$AP$5:$AP$201,"Yes")+COUNTIFS('NDC MASTER SHEET'!$B$5:$B$201,"Northern America",'NDC MASTER SHEET'!$AP$5:$AP$201,"Will be considered")+COUNTIFS('NDC MASTER SHEET'!$B$5:$B$201,"Northern America",'NDC MASTER SHEET'!$AP$5:$AP$201,"Yes, but not mentioned in the NDC")</f>
        <v>2</v>
      </c>
      <c r="I236" s="185">
        <f>COUNTIFS('NDC MASTER SHEET'!$B$5:$B$201,"Oceania",'NDC MASTER SHEET'!$AP$5:$AP$201,"Yes")+COUNTIFS('NDC MASTER SHEET'!$B$5:$B$201,"Oceania",'NDC MASTER SHEET'!$AP$5:$AP$201,"Will be considered")+COUNTIFS('NDC MASTER SHEET'!$B$5:$B$201,"Oceania",'NDC MASTER SHEET'!$AP$5:$AP$201,"Yes, but not mentioned in the NDC")</f>
        <v>3</v>
      </c>
      <c r="J236" s="240">
        <f t="shared" si="7"/>
        <v>47</v>
      </c>
      <c r="K236" s="2"/>
      <c r="L236" s="2"/>
      <c r="M236" s="2"/>
      <c r="N236" s="2"/>
      <c r="O236" s="2"/>
      <c r="P236" s="2"/>
      <c r="Q236" s="2"/>
      <c r="R236" s="2"/>
    </row>
    <row r="237" spans="1:18">
      <c r="A237" s="64" t="s">
        <v>237</v>
      </c>
      <c r="B237" s="101">
        <f>COUNTIFS('NDC MASTER SHEET'!$B$5:$B$201,"Asia",'NDC MASTER SHEET'!$AQ$5:$AQ$201,"Yes")+COUNTIFS('NDC MASTER SHEET'!$B$5:$B$201,"Asia",'NDC MASTER SHEET'!$AQ$5:$AQ$201,"Will be considered")+COUNTIFS('NDC MASTER SHEET'!$B$5:$B$201,"Asia",'NDC MASTER SHEET'!$AQ$5:$AQ$201,"Yes, but not mentioned in the NDC")</f>
        <v>1</v>
      </c>
      <c r="C237" s="101">
        <f>COUNTIFS('NDC MASTER SHEET'!$B$5:$B$201,"North Africa &amp; the Middle East",'NDC MASTER SHEET'!$AQ$5:$AQ$201,"Yes")+COUNTIFS('NDC MASTER SHEET'!$B$5:$B$201,"North Africa &amp; the Middle East",'NDC MASTER SHEET'!$AQ$5:$AQ$201,"Will be considered")+COUNTIFS('NDC MASTER SHEET'!$B$5:$B$201,"North Africa &amp; the Middle East",'NDC MASTER SHEET'!$AQ$5:$AQ$201,"Yes, but not mentioned in the NDC")</f>
        <v>1</v>
      </c>
      <c r="D237" s="101">
        <f>COUNTIFS('NDC MASTER SHEET'!$B$5:$B$201,"Sub-Saharan Africa",'NDC MASTER SHEET'!$AQ$5:$AQ$201,"Yes")+COUNTIFS('NDC MASTER SHEET'!$B$5:$B$201,"Sub-Saharan Africa",'NDC MASTER SHEET'!$AQ$5:$AQ$201,"Will be considered")+COUNTIFS('NDC MASTER SHEET'!$B$5:$B$201,"Sub-Saharan Africa",'NDC MASTER SHEET'!$AQ$5:$AQ$201,"Yes, but not mentioned in the NDC")</f>
        <v>11</v>
      </c>
      <c r="E237" s="101">
        <f>COUNTIFS('NDC MASTER SHEET'!$B$5:$B$201,"Eastern Europe &amp; Central Asia",'NDC MASTER SHEET'!$AQ$5:$AQ$201,"Yes")+COUNTIFS('NDC MASTER SHEET'!$B$5:$B$201,"Eastern Europe &amp; Central Asia",'NDC MASTER SHEET'!$AQ$5:$AQ$201,"Will be considered")+COUNTIFS('NDC MASTER SHEET'!$B$5:$B$201,"Eastern Europe &amp; Central Asia",'NDC MASTER SHEET'!$AQ$5:$AQ$201,"Yes, but not mentioned in the NDC")</f>
        <v>1</v>
      </c>
      <c r="F237" s="101">
        <f>COUNTIFS('NDC MASTER SHEET'!$B$5:$B$201,"Europe",'NDC MASTER SHEET'!$AQ$5:$AQ$201,"Yes")+COUNTIFS('NDC MASTER SHEET'!$B$5:$B$201,"Europe",'NDC MASTER SHEET'!$AQ$5:$AQ$201,"Will be considered")+COUNTIFS('NDC MASTER SHEET'!$B$5:$B$201,"Europe",'NDC MASTER SHEET'!$AQ$5:$AQ$201,"Yes, but not mentioned in the NDC")</f>
        <v>1</v>
      </c>
      <c r="G237" s="101">
        <f>COUNTIFS('NDC MASTER SHEET'!$B$5:$B$201,"Latin America &amp; the Caribbean",'NDC MASTER SHEET'!$AQ$5:$AQ$201,"Yes")+COUNTIFS('NDC MASTER SHEET'!$B$5:$B$201,"Latin America &amp; the Caribbean",'NDC MASTER SHEET'!$AQ$5:$AQ$201,"Will be considered")+COUNTIFS('NDC MASTER SHEET'!$B$5:$B$201,"Latin America &amp; the Caribbean",'NDC MASTER SHEET'!$AQ$5:$AQ$201,"Yes, but not mentioned in the NDC")</f>
        <v>3</v>
      </c>
      <c r="H237" s="101">
        <f>COUNTIFS('NDC MASTER SHEET'!$B$5:$B$201,"Northern America",'NDC MASTER SHEET'!$AQ$5:$AQ$201,"Yes")+COUNTIFS('NDC MASTER SHEET'!$B$5:$B$201,"Northern America",'NDC MASTER SHEET'!$AQ$5:$AQ$201,"Will be considered")+COUNTIFS('NDC MASTER SHEET'!$B$5:$B$201,"Northern America",'NDC MASTER SHEET'!$AQ$5:$AQ$201,"Yes, but not mentioned in the NDC")</f>
        <v>0</v>
      </c>
      <c r="I237" s="185">
        <f>COUNTIFS('NDC MASTER SHEET'!$B$5:$B$201,"Oceania",'NDC MASTER SHEET'!$AQ$5:$AQ$201,"Yes")+COUNTIFS('NDC MASTER SHEET'!$B$5:$B$201,"Oceania",'NDC MASTER SHEET'!$AQ$5:$AQ$201,"Will be considered")+COUNTIFS('NDC MASTER SHEET'!$B$5:$B$201,"Oceania",'NDC MASTER SHEET'!$AQ$5:$AQ$201,"Yes, but not mentioned in the NDC")</f>
        <v>1</v>
      </c>
      <c r="J237" s="240">
        <f t="shared" si="7"/>
        <v>19</v>
      </c>
      <c r="K237" s="2"/>
      <c r="L237" s="2"/>
      <c r="M237" s="2"/>
      <c r="N237" s="2"/>
      <c r="O237" s="2"/>
      <c r="P237" s="2"/>
      <c r="Q237" s="2"/>
      <c r="R237" s="2"/>
    </row>
    <row r="238" spans="1:18" ht="15.75" customHeight="1">
      <c r="A238" s="65" t="s">
        <v>382</v>
      </c>
      <c r="B238" s="110">
        <f>COUNTIFS('NDC MASTER SHEET'!$B$5:$B$201,"Asia",'NDC MASTER SHEET'!$AR$5:$AR$201,"Yes")+COUNTIFS('NDC MASTER SHEET'!$B$5:$B$201,"Asia",'NDC MASTER SHEET'!$AR$5:$AR$201,"Will be considered")+COUNTIFS('NDC MASTER SHEET'!$B$5:$B$201,"Asia",'NDC MASTER SHEET'!$AR$5:$AR$201,"Yes, but not mentioned in the NDC")</f>
        <v>10</v>
      </c>
      <c r="C238" s="110">
        <f>COUNTIFS('NDC MASTER SHEET'!$B$5:$B$201,"North Africa &amp; the Middle East",'NDC MASTER SHEET'!$AR$5:$AR$201,"Yes")+COUNTIFS('NDC MASTER SHEET'!$B$5:$B$201,"North Africa &amp; the Middle East",'NDC MASTER SHEET'!$AR$5:$AR$201,"Will be considered")+COUNTIFS('NDC MASTER SHEET'!$B$5:$B$201,"North Africa &amp; the Middle East",'NDC MASTER SHEET'!$AR$5:$AR$201,"Yes, but not mentioned in the NDC")</f>
        <v>1</v>
      </c>
      <c r="D238" s="110">
        <f>COUNTIFS('NDC MASTER SHEET'!$B$5:$B$201,"Sub-Saharan Africa",'NDC MASTER SHEET'!$AR$5:$AR$201,"Yes")+COUNTIFS('NDC MASTER SHEET'!$B$5:$B$201,"Sub-Saharan Africa",'NDC MASTER SHEET'!$AR$5:$AR$201,"Will be considered")+COUNTIFS('NDC MASTER SHEET'!$B$5:$B$201,"Sub-Saharan Africa",'NDC MASTER SHEET'!$AR$5:$AR$201,"Yes, but not mentioned in the NDC")</f>
        <v>2</v>
      </c>
      <c r="E238" s="110">
        <f>COUNTIFS('NDC MASTER SHEET'!$B$5:$B$201,"Eastern Europe &amp; Central Asia",'NDC MASTER SHEET'!$AR$5:$AR$201,"Yes")+COUNTIFS('NDC MASTER SHEET'!$B$5:$B$201,"Eastern Europe &amp; Central Asia",'NDC MASTER SHEET'!$AR$5:$AR$201,"Will be considered")+COUNTIFS('NDC MASTER SHEET'!$B$5:$B$201,"Eastern Europe &amp; Central Asia",'NDC MASTER SHEET'!$AR$5:$AR$201,"Yes, but not mentioned in the NDC")</f>
        <v>0</v>
      </c>
      <c r="F238" s="110">
        <f>COUNTIFS('NDC MASTER SHEET'!$B$5:$B$201,"Europe",'NDC MASTER SHEET'!$AR$5:$AR$201,"Yes")+COUNTIFS('NDC MASTER SHEET'!$B$5:$B$201,"Europe",'NDC MASTER SHEET'!$AR$5:$AR$201,"Will be considered")+COUNTIFS('NDC MASTER SHEET'!$B$5:$B$201,"Europe",'NDC MASTER SHEET'!$AR$5:$AR$201,"Yes, but not mentioned in the NDC")</f>
        <v>0</v>
      </c>
      <c r="G238" s="110">
        <f>COUNTIFS('NDC MASTER SHEET'!$B$5:$B$201,"Latin America &amp; the Caribbean",'NDC MASTER SHEET'!$AR$5:$AR$201,"Yes")+COUNTIFS('NDC MASTER SHEET'!$B$5:$B$201,"Latin America &amp; the Caribbean",'NDC MASTER SHEET'!$AR$5:$AR$201,"Will be considered")+COUNTIFS('NDC MASTER SHEET'!$B$5:$B$201,"Latin America &amp; the Caribbean",'NDC MASTER SHEET'!$AR$5:$AR$201,"Yes, but not mentioned in the NDC")</f>
        <v>3</v>
      </c>
      <c r="H238" s="110">
        <f>COUNTIFS('NDC MASTER SHEET'!$B$5:$B$201,"Northern America",'NDC MASTER SHEET'!$AR$5:$AR$201,"Yes")+COUNTIFS('NDC MASTER SHEET'!$B$5:$B$201,"Northern America",'NDC MASTER SHEET'!$AR$5:$AR$201,"Will be considered")+COUNTIFS('NDC MASTER SHEET'!$B$5:$B$201,"Northern America",'NDC MASTER SHEET'!$AR$5:$AR$201,"Yes, but not mentioned in the NDC")</f>
        <v>0</v>
      </c>
      <c r="I238" s="244">
        <f>COUNTIFS('NDC MASTER SHEET'!$B$5:$B$201,"Oceania",'NDC MASTER SHEET'!$AR$5:$AR$201,"Yes")+COUNTIFS('NDC MASTER SHEET'!$B$5:$B$201,"Oceania",'NDC MASTER SHEET'!$AR$5:$AR$201,"Will be considered")+COUNTIFS('NDC MASTER SHEET'!$B$5:$B$201,"Oceania",'NDC MASTER SHEET'!$AR$5:$AR$201,"Yes, but not mentioned in the NDC")</f>
        <v>1</v>
      </c>
      <c r="J238" s="285">
        <f t="shared" si="7"/>
        <v>17</v>
      </c>
      <c r="L238" s="2"/>
      <c r="M238" s="2"/>
      <c r="N238" s="2"/>
      <c r="O238" s="2"/>
      <c r="P238" s="2"/>
      <c r="Q238" s="2"/>
      <c r="R238" s="2"/>
    </row>
    <row r="239" spans="1:18">
      <c r="A239" s="76" t="s">
        <v>974</v>
      </c>
      <c r="B239" s="2"/>
      <c r="C239" s="2"/>
      <c r="D239" s="2"/>
      <c r="E239" s="2"/>
      <c r="F239" s="2"/>
      <c r="G239" s="2"/>
      <c r="H239" s="2"/>
      <c r="I239" s="2"/>
      <c r="J239" s="19"/>
    </row>
    <row r="240" spans="1:18">
      <c r="A240" s="27" t="s">
        <v>421</v>
      </c>
    </row>
    <row r="241" spans="1:31">
      <c r="A241" s="18" t="s">
        <v>975</v>
      </c>
    </row>
    <row r="242" spans="1:31">
      <c r="A242" s="27" t="s">
        <v>422</v>
      </c>
    </row>
    <row r="243" spans="1:31" s="184" customFormat="1">
      <c r="A243"/>
      <c r="B243"/>
      <c r="C243"/>
      <c r="D243"/>
      <c r="E243"/>
      <c r="F243"/>
      <c r="G243"/>
      <c r="H243"/>
      <c r="I243"/>
      <c r="J243"/>
      <c r="K243"/>
      <c r="L243"/>
      <c r="M243"/>
      <c r="N243"/>
      <c r="O243"/>
      <c r="P243"/>
      <c r="Q243"/>
      <c r="R243"/>
      <c r="S243"/>
      <c r="T243"/>
      <c r="U243"/>
      <c r="V243"/>
      <c r="W243"/>
      <c r="X243"/>
      <c r="Y243"/>
      <c r="Z243"/>
      <c r="AA243"/>
      <c r="AB243"/>
      <c r="AC243"/>
      <c r="AD243"/>
      <c r="AE243"/>
    </row>
    <row r="244" spans="1:31" s="184" customFormat="1" ht="14.4">
      <c r="A244" s="730" t="s">
        <v>440</v>
      </c>
      <c r="B244" s="730"/>
      <c r="C244" s="730"/>
      <c r="D244" s="730"/>
      <c r="E244" s="730"/>
      <c r="F244" s="730"/>
      <c r="G244" s="730"/>
      <c r="H244" s="730"/>
      <c r="I244" s="730"/>
    </row>
    <row r="245" spans="1:31" s="184" customFormat="1"/>
    <row r="246" spans="1:31" s="184" customFormat="1"/>
    <row r="247" spans="1:31" s="184" customFormat="1"/>
    <row r="248" spans="1:31" s="184" customFormat="1"/>
    <row r="249" spans="1:31" s="184" customFormat="1"/>
    <row r="250" spans="1:31" s="184" customFormat="1"/>
    <row r="251" spans="1:31" s="184" customFormat="1"/>
    <row r="252" spans="1:31" s="184" customFormat="1"/>
    <row r="253" spans="1:31" s="184" customFormat="1"/>
    <row r="254" spans="1:31" s="184" customFormat="1"/>
    <row r="255" spans="1:31" s="184" customFormat="1"/>
    <row r="256" spans="1:31" s="184" customFormat="1"/>
    <row r="257" spans="1:31" s="184" customFormat="1"/>
    <row r="258" spans="1:31" s="184" customFormat="1"/>
    <row r="259" spans="1:31" s="184" customFormat="1"/>
    <row r="260" spans="1:31" s="184" customFormat="1"/>
    <row r="261" spans="1:31" s="184" customFormat="1"/>
    <row r="262" spans="1:31" s="184" customFormat="1"/>
    <row r="263" spans="1:31" s="184" customFormat="1"/>
    <row r="264" spans="1:31" s="184" customFormat="1"/>
    <row r="265" spans="1:31" s="184" customFormat="1"/>
    <row r="266" spans="1:31" s="184" customFormat="1"/>
    <row r="267" spans="1:31" s="184" customFormat="1"/>
    <row r="268" spans="1:31" s="184" customFormat="1"/>
    <row r="269" spans="1:31" s="184" customFormat="1"/>
    <row r="270" spans="1:31">
      <c r="A270" s="184"/>
      <c r="B270" s="184"/>
      <c r="C270" s="184"/>
      <c r="D270" s="184"/>
      <c r="E270" s="184"/>
      <c r="F270" s="184"/>
      <c r="G270" s="184"/>
      <c r="H270" s="184"/>
      <c r="I270" s="184"/>
      <c r="J270" s="184"/>
      <c r="K270" s="184"/>
      <c r="L270" s="239"/>
      <c r="M270" s="239"/>
      <c r="N270" s="239"/>
      <c r="O270" s="239"/>
      <c r="P270" s="239"/>
      <c r="Q270" s="239"/>
      <c r="R270" s="239"/>
      <c r="S270" s="239"/>
      <c r="T270" s="239"/>
      <c r="U270" s="239"/>
      <c r="V270" s="239"/>
      <c r="W270" s="239"/>
      <c r="X270" s="184"/>
      <c r="Y270" s="184"/>
      <c r="Z270" s="184"/>
      <c r="AA270" s="184"/>
      <c r="AB270" s="184"/>
      <c r="AC270" s="184"/>
      <c r="AD270" s="184"/>
      <c r="AE270" s="184"/>
    </row>
    <row r="271" spans="1:31" ht="14.4">
      <c r="A271" s="754" t="s">
        <v>2194</v>
      </c>
      <c r="B271" s="755"/>
      <c r="C271" s="755"/>
      <c r="D271" s="755"/>
      <c r="E271" s="755"/>
      <c r="F271" s="755"/>
      <c r="G271" s="755"/>
      <c r="H271" s="755"/>
      <c r="I271" s="755"/>
      <c r="J271" s="756"/>
      <c r="L271" s="239"/>
      <c r="M271" s="239"/>
      <c r="N271" s="239"/>
      <c r="O271" s="239"/>
      <c r="P271" s="239"/>
      <c r="Q271" s="239"/>
      <c r="R271" s="239"/>
      <c r="S271" s="239"/>
      <c r="T271" s="239"/>
      <c r="U271" s="239"/>
      <c r="V271" s="239"/>
      <c r="W271" s="239"/>
    </row>
    <row r="272" spans="1:31" ht="48">
      <c r="A272" s="42"/>
      <c r="B272" s="98" t="s">
        <v>23</v>
      </c>
      <c r="C272" s="98" t="s">
        <v>477</v>
      </c>
      <c r="D272" s="99" t="s">
        <v>478</v>
      </c>
      <c r="E272" s="99" t="s">
        <v>438</v>
      </c>
      <c r="F272" s="99" t="s">
        <v>479</v>
      </c>
      <c r="G272" s="99" t="s">
        <v>480</v>
      </c>
      <c r="H272" s="99" t="s">
        <v>481</v>
      </c>
      <c r="I272" s="99" t="s">
        <v>454</v>
      </c>
      <c r="J272" s="40" t="s">
        <v>170</v>
      </c>
      <c r="K272" s="289"/>
      <c r="L272" s="239"/>
      <c r="M272" s="239"/>
      <c r="N272" s="239"/>
      <c r="O272" s="239"/>
      <c r="P272" s="239"/>
      <c r="Q272" s="239"/>
      <c r="R272" s="239"/>
      <c r="S272" s="239"/>
      <c r="T272" s="239"/>
      <c r="U272" s="239"/>
      <c r="V272" s="239"/>
      <c r="W272" s="239"/>
    </row>
    <row r="273" spans="1:23">
      <c r="A273" s="61" t="s">
        <v>431</v>
      </c>
      <c r="B273" s="101">
        <f>COUNTIFS('NDC MASTER SHEET'!$B$5:$B$201,"Asia",'NDC MASTER SHEET'!$H$5:$H$201,"2020", 'NDC MASTER SHEET'!$I$5:$I$201,"2030", 'NDC MASTER SHEET'!$BA$5:$BA$201,"&lt;&gt;*N/A*")</f>
        <v>3</v>
      </c>
      <c r="C273" s="101">
        <f>COUNTIFS('NDC MASTER SHEET'!$B$5:$B$201,"North Africa &amp; the Middle East",'NDC MASTER SHEET'!$H$5:$H$201,"2020", 'NDC MASTER SHEET'!$I$5:$I$201,"2030", 'NDC MASTER SHEET'!$BA$5:$BA$201,"&lt;&gt;*N/A*")</f>
        <v>3</v>
      </c>
      <c r="D273" s="101">
        <f>COUNTIFS('NDC MASTER SHEET'!$B$5:$B$201,"Sub-Saharan Africa",'NDC MASTER SHEET'!$H$5:$H$201,"2020", 'NDC MASTER SHEET'!$I$5:$I$201,"2030", 'NDC MASTER SHEET'!$BA$5:$BA$201,"&lt;&gt;*N/A*")</f>
        <v>9</v>
      </c>
      <c r="E273" s="101">
        <f>COUNTIFS('NDC MASTER SHEET'!$B$5:$B$201,"Eastern Europe &amp; Central Asia",'NDC MASTER SHEET'!$H$5:$H$201,"2020", 'NDC MASTER SHEET'!$I$5:$I$201,"2030", 'NDC MASTER SHEET'!$BA$5:$BA$201,"&lt;&gt;*N/A*")</f>
        <v>2</v>
      </c>
      <c r="F273" s="101">
        <f>COUNTIFS('NDC MASTER SHEET'!$B$5:$B$201,"Europe",'NDC MASTER SHEET'!$H$5:$H$201,"2020", 'NDC MASTER SHEET'!$I$5:$I$201,"2030", 'NDC MASTER SHEET'!$BA$5:$BA$201,"&lt;&gt;*N/A*")</f>
        <v>0</v>
      </c>
      <c r="G273" s="101">
        <f>COUNTIFS('NDC MASTER SHEET'!$B$5:$B$201,"Latin America &amp; the Caribbean",'NDC MASTER SHEET'!$H$5:$H$201,"2020", 'NDC MASTER SHEET'!$I$5:$I$201,"2030", 'NDC MASTER SHEET'!$BA$5:$BA$201,"&lt;&gt;*N/A*")</f>
        <v>5</v>
      </c>
      <c r="H273" s="101">
        <f>COUNTIFS('NDC MASTER SHEET'!$B$5:$B$201,"Northern America",'NDC MASTER SHEET'!$H$5:$H$201,"2020", 'NDC MASTER SHEET'!$I$5:$I$201,"2030", 'NDC MASTER SHEET'!$BA$5:$BA$201,"&lt;&gt;*N/A*")</f>
        <v>0</v>
      </c>
      <c r="I273" s="185">
        <f>COUNTIFS('NDC MASTER SHEET'!$B$5:$B$201,"Oceania",'NDC MASTER SHEET'!$H$5:$H$201,"2020", 'NDC MASTER SHEET'!$I$5:$I$201,"2030", 'NDC MASTER SHEET'!$BA$5:$BA$201,"&lt;&gt;*N/A*")</f>
        <v>3</v>
      </c>
      <c r="J273" s="240">
        <f t="shared" ref="J273:J278" si="8">SUM(B273:I273)</f>
        <v>25</v>
      </c>
      <c r="K273" s="260"/>
      <c r="L273" s="239"/>
      <c r="M273" s="239"/>
      <c r="N273" s="239"/>
      <c r="O273" s="239"/>
      <c r="P273" s="239"/>
      <c r="Q273" s="239"/>
      <c r="R273" s="239"/>
      <c r="S273" s="239"/>
      <c r="T273" s="239"/>
      <c r="U273" s="239"/>
      <c r="V273" s="239"/>
      <c r="W273" s="239"/>
    </row>
    <row r="274" spans="1:23">
      <c r="A274" s="61" t="s">
        <v>432</v>
      </c>
      <c r="B274" s="101">
        <f>COUNTIFS('NDC MASTER SHEET'!$B$5:$B$201,"Asia",'NDC MASTER SHEET'!$H$5:$H$201,"2021", 'NDC MASTER SHEET'!$I$5:$I$201,"2030", 'NDC MASTER SHEET'!$BA$5:$BA$201,"&lt;&gt;*N/A*")</f>
        <v>13</v>
      </c>
      <c r="C274" s="101">
        <f>COUNTIFS('NDC MASTER SHEET'!$B$5:$B$201,"North Africa &amp; the Middle East",'NDC MASTER SHEET'!$H$5:$H$201,"2021", 'NDC MASTER SHEET'!$I$5:$I$201,"2030", 'NDC MASTER SHEET'!$BA$5:$BA$201,"&lt;&gt;*N/A*")</f>
        <v>4</v>
      </c>
      <c r="D274" s="101">
        <f>COUNTIFS('NDC MASTER SHEET'!$B$5:$B$201,"Sub-Saharan Africa",'NDC MASTER SHEET'!$H$5:$H$201,"2021", 'NDC MASTER SHEET'!$I$5:$I$201,"2030", 'NDC MASTER SHEET'!$BA$5:$BA$201,"&lt;&gt;*N/A*")</f>
        <v>21</v>
      </c>
      <c r="E274" s="101">
        <f>COUNTIFS('NDC MASTER SHEET'!$B$5:$B$201,"Eastern Europe &amp; Central Asia",'NDC MASTER SHEET'!$H$5:$H$201,"2021", 'NDC MASTER SHEET'!$I$5:$I$201,"2030", 'NDC MASTER SHEET'!$BA$5:$BA$201,"&lt;&gt;*N/A*")</f>
        <v>12</v>
      </c>
      <c r="F274" s="101">
        <f>COUNTIFS('NDC MASTER SHEET'!$B$5:$B$201,"Europe",'NDC MASTER SHEET'!$H$5:$H$201,"2021", 'NDC MASTER SHEET'!$I$5:$I$201,"2030", 'NDC MASTER SHEET'!$BA$5:$BA$201,"&lt;&gt;*N/A*")</f>
        <v>33</v>
      </c>
      <c r="G274" s="101">
        <f>COUNTIFS('NDC MASTER SHEET'!$B$5:$B$201,"Latin America &amp; the Caribbean",'NDC MASTER SHEET'!$H$5:$H$201,"2021", 'NDC MASTER SHEET'!$I$5:$I$201,"2030", 'NDC MASTER SHEET'!$BA$5:$BA$201,"&lt;&gt;*N/A*")</f>
        <v>9</v>
      </c>
      <c r="H274" s="101">
        <f>COUNTIFS('NDC MASTER SHEET'!$B$5:$B$201,"Northern America",'NDC MASTER SHEET'!$H$5:$H$201,"2021", 'NDC MASTER SHEET'!$I$5:$I$201,"2030", 'NDC MASTER SHEET'!$BA$5:$BA$201,"&lt;&gt;*N/A*")</f>
        <v>1</v>
      </c>
      <c r="I274" s="185">
        <f>COUNTIFS('NDC MASTER SHEET'!$B$5:$B$201,"Oceania",'NDC MASTER SHEET'!$H$5:$H$201,"2021", 'NDC MASTER SHEET'!$I$5:$I$201,"2030", 'NDC MASTER SHEET'!$BA$5:$BA$201,"&lt;&gt;*N/A*")</f>
        <v>5</v>
      </c>
      <c r="J274" s="240">
        <f t="shared" si="8"/>
        <v>98</v>
      </c>
      <c r="L274" s="239"/>
      <c r="M274" s="239"/>
      <c r="N274" s="239"/>
      <c r="O274" s="239"/>
      <c r="P274" s="239"/>
      <c r="Q274" s="239"/>
      <c r="R274" s="239"/>
      <c r="S274" s="239"/>
      <c r="T274" s="239"/>
      <c r="U274" s="239"/>
      <c r="V274" s="239"/>
      <c r="W274" s="239"/>
    </row>
    <row r="275" spans="1:23">
      <c r="A275" s="61" t="s">
        <v>433</v>
      </c>
      <c r="B275" s="101">
        <f>COUNTIFS('NDC MASTER SHEET'!$B$5:$B$201,"Asia",'NDC MASTER SHEET'!$H$5:$H$201,"2020", 'NDC MASTER SHEET'!$I$5:$I$201,"2025", 'NDC MASTER SHEET'!$BA$5:$BA$201,"&lt;&gt;*N/A*")</f>
        <v>1</v>
      </c>
      <c r="C275" s="101">
        <f>COUNTIFS('NDC MASTER SHEET'!$B$5:$B$201,"North Africa &amp; the Middle East",'NDC MASTER SHEET'!$H$5:$H$201,"2020", 'NDC MASTER SHEET'!$I$5:$I$201,"2025", 'NDC MASTER SHEET'!$BA$5:$BA$201,"&lt;&gt;*N/A*")</f>
        <v>0</v>
      </c>
      <c r="D275" s="101">
        <f>COUNTIFS('NDC MASTER SHEET'!$B$5:$B$201,"Sub-Saharan Africa",'NDC MASTER SHEET'!$H$5:$H$201,"2020", 'NDC MASTER SHEET'!$I$5:$I$201,"2025", 'NDC MASTER SHEET'!$BA$5:$BA$201,"&lt;&gt;*N/A*")</f>
        <v>2</v>
      </c>
      <c r="E275" s="101">
        <f>COUNTIFS('NDC MASTER SHEET'!$B$5:$B$201,"Eastern Europe &amp; Central Asia",'NDC MASTER SHEET'!$H$5:$H$201,"2020", 'NDC MASTER SHEET'!$I$5:$I$201,"2025", 'NDC MASTER SHEET'!$BA$5:$BA$201,"&lt;&gt;*N/A*")</f>
        <v>0</v>
      </c>
      <c r="F275" s="101">
        <f>COUNTIFS('NDC MASTER SHEET'!$B$5:$B$201,"Europe",'NDC MASTER SHEET'!$H$5:$H$201,"2020", 'NDC MASTER SHEET'!$I$5:$I$201,"2025", 'NDC MASTER SHEET'!$BA$5:$BA$201,"&lt;&gt;*N/A*")</f>
        <v>0</v>
      </c>
      <c r="G275" s="101">
        <f>COUNTIFS('NDC MASTER SHEET'!$B$5:$B$201,"Latin America &amp; the Caribbean",'NDC MASTER SHEET'!$H$5:$H$201,"2020", 'NDC MASTER SHEET'!$I$5:$I$201,"2025", 'NDC MASTER SHEET'!$BA$5:$BA$201,"&lt;&gt;*N/A*")</f>
        <v>1</v>
      </c>
      <c r="H275" s="101">
        <f>COUNTIFS('NDC MASTER SHEET'!$B$5:$B$201,"Northern America",'NDC MASTER SHEET'!$H$5:$H$201,"2020", 'NDC MASTER SHEET'!$I$5:$I$201,"2025", 'NDC MASTER SHEET'!$BA$5:$BA$201,"&lt;&gt;*N/A*")</f>
        <v>0</v>
      </c>
      <c r="I275" s="185">
        <f>COUNTIFS('NDC MASTER SHEET'!$B$5:$B$201,"Oceania",'NDC MASTER SHEET'!$H$5:$H$201,"2020", 'NDC MASTER SHEET'!$I$5:$I$201,"2025", 'NDC MASTER SHEET'!$BA$5:$BA$201,"&lt;&gt;*N/A*")</f>
        <v>2</v>
      </c>
      <c r="J275" s="240">
        <f t="shared" si="8"/>
        <v>6</v>
      </c>
      <c r="L275" s="239"/>
      <c r="M275" s="239"/>
      <c r="N275" s="239"/>
      <c r="O275" s="239"/>
      <c r="P275" s="239"/>
      <c r="Q275" s="239"/>
      <c r="R275" s="239"/>
      <c r="S275" s="239"/>
      <c r="T275" s="239"/>
      <c r="U275" s="239"/>
      <c r="V275" s="239"/>
      <c r="W275" s="239"/>
    </row>
    <row r="276" spans="1:23">
      <c r="A276" s="61" t="s">
        <v>434</v>
      </c>
      <c r="B276" s="101">
        <f>COUNTIFS('NDC MASTER SHEET'!$B$5:$B$201,"Asia",'NDC MASTER SHEET'!$H$5:$H$201,"2021", 'NDC MASTER SHEET'!$I$5:$I$201,"2025", 'NDC MASTER SHEET'!$BA$5:$BA$201,"&lt;&gt;*N/A*")</f>
        <v>0</v>
      </c>
      <c r="C276" s="101">
        <f>COUNTIFS('NDC MASTER SHEET'!$B$5:$B$201,"North Africa &amp; the Middle East",'NDC MASTER SHEET'!$H$5:$H$201,"2021", 'NDC MASTER SHEET'!$I$5:$I$201,"2025", 'NDC MASTER SHEET'!$BA$5:$BA$201,"&lt;&gt;*N/A*")</f>
        <v>0</v>
      </c>
      <c r="D276" s="101">
        <f>COUNTIFS('NDC MASTER SHEET'!$B$5:$B$201,"Sub-Saharan Africa",'NDC MASTER SHEET'!$H$5:$H$201,"2021", 'NDC MASTER SHEET'!$I$5:$I$201,"2025", 'NDC MASTER SHEET'!$BA$5:$BA$201,"&lt;&gt;*N/A*")</f>
        <v>0</v>
      </c>
      <c r="E276" s="101">
        <f>COUNTIFS('NDC MASTER SHEET'!$B$5:$B$201,"Eastern Europe &amp; Central Asia",'NDC MASTER SHEET'!$H$5:$H$201,"2021", 'NDC MASTER SHEET'!$I$5:$I$201,"2025", 'NDC MASTER SHEET'!$BA$5:$BA$201,"&lt;&gt;*N/A*")</f>
        <v>0</v>
      </c>
      <c r="F276" s="101">
        <f>COUNTIFS('NDC MASTER SHEET'!$B$5:$B$201,"Europe",'NDC MASTER SHEET'!$H$5:$H$201,"2021", 'NDC MASTER SHEET'!$I$5:$I$201,"2025", 'NDC MASTER SHEET'!$BA$5:$BA$201,"&lt;&gt;*N/A*")</f>
        <v>0</v>
      </c>
      <c r="G276" s="101">
        <f>COUNTIFS('NDC MASTER SHEET'!$B$5:$B$201,"Latin America &amp; the Caribbean",'NDC MASTER SHEET'!$H$5:$H$201,"2021", 'NDC MASTER SHEET'!$I$5:$I$201,"2025", 'NDC MASTER SHEET'!$BA$5:$BA$201,"&lt;&gt;*N/A*")</f>
        <v>0</v>
      </c>
      <c r="H276" s="101">
        <f>COUNTIFS('NDC MASTER SHEET'!$B$5:$B$201,"Northern America",'NDC MASTER SHEET'!$H$5:$H$201,"2021", 'NDC MASTER SHEET'!$I$5:$I$201,"2025", 'NDC MASTER SHEET'!$BA$5:$BA$201,"&lt;&gt;*N/A*")</f>
        <v>0</v>
      </c>
      <c r="I276" s="185">
        <f>COUNTIFS('NDC MASTER SHEET'!$B$5:$B$201,"Oceania",'NDC MASTER SHEET'!$H$5:$H$201,"2021", 'NDC MASTER SHEET'!$I$5:$I$201,"2025", 'NDC MASTER SHEET'!$BA$5:$BA$201,"&lt;&gt;*N/A*")</f>
        <v>0</v>
      </c>
      <c r="J276" s="240">
        <f t="shared" si="8"/>
        <v>0</v>
      </c>
      <c r="L276" s="239"/>
      <c r="M276" s="239"/>
      <c r="N276" s="239"/>
      <c r="O276" s="239"/>
      <c r="P276" s="239"/>
      <c r="Q276" s="239"/>
      <c r="R276" s="239"/>
      <c r="S276" s="239"/>
      <c r="T276" s="239"/>
      <c r="U276" s="239"/>
      <c r="V276" s="239"/>
      <c r="W276" s="239"/>
    </row>
    <row r="277" spans="1:23">
      <c r="A277" s="61" t="s">
        <v>435</v>
      </c>
      <c r="B277" s="101">
        <f>COUNTIFS('NDC MASTER SHEET'!$B$5:$B$201,"Asia",'NDC MASTER SHEET'!$H$5:$H$201,"N/A", 'NDC MASTER SHEET'!$I$5:$I$201,"N/A", 'NDC MASTER SHEET'!$BA$5:$BA$201,"&lt;&gt;*N/A*")</f>
        <v>3</v>
      </c>
      <c r="C277" s="101">
        <f>COUNTIFS('NDC MASTER SHEET'!$B$5:$B$201,"North Africa &amp; the Middle East",'NDC MASTER SHEET'!$H$5:$H$201,"N/A", 'NDC MASTER SHEET'!$I$5:$I$201,"N/A", 'NDC MASTER SHEET'!$BA$5:$BA$201,"&lt;&gt;*N/A*")</f>
        <v>4</v>
      </c>
      <c r="D277" s="101">
        <f>COUNTIFS('NDC MASTER SHEET'!$B$5:$B$201,"Sub-Saharan Africa",'NDC MASTER SHEET'!$H$5:$H$201,"N/A", 'NDC MASTER SHEET'!$I$5:$I$201,"N/A", 'NDC MASTER SHEET'!$BA$5:$BA$201,"&lt;&gt;*N/A*")</f>
        <v>3</v>
      </c>
      <c r="E277" s="101">
        <f>COUNTIFS('NDC MASTER SHEET'!$B$5:$B$201,"Eastern Europe &amp; Central Asia",'NDC MASTER SHEET'!$H$5:$H$201,"N/A", 'NDC MASTER SHEET'!$I$5:$I$201,"N/A", 'NDC MASTER SHEET'!$BA$5:$BA$201,"&lt;&gt;*N/A*")</f>
        <v>1</v>
      </c>
      <c r="F277" s="101">
        <f>COUNTIFS('NDC MASTER SHEET'!$B$5:$B$201,"Europe",'NDC MASTER SHEET'!$H$5:$H$201,"N/A", 'NDC MASTER SHEET'!$I$5:$I$201,"N/A", 'NDC MASTER SHEET'!$BA$5:$BA$201,"&lt;&gt;*N/A*")</f>
        <v>1</v>
      </c>
      <c r="G277" s="101">
        <f>COUNTIFS('NDC MASTER SHEET'!$B$5:$B$201,"Latin America &amp; the Caribbean",'NDC MASTER SHEET'!$H$5:$H$201,"N/A", 'NDC MASTER SHEET'!$I$5:$I$201,"N/A", 'NDC MASTER SHEET'!$BA$5:$BA$201,"&lt;&gt;*N/A*")</f>
        <v>4</v>
      </c>
      <c r="H277" s="101">
        <f>COUNTIFS('NDC MASTER SHEET'!$B$5:$B$201,"Northern America",'NDC MASTER SHEET'!$H$5:$H$201,"N/A", 'NDC MASTER SHEET'!$I$5:$I$201,"N/A", 'NDC MASTER SHEET'!$BA$5:$BA$201,"&lt;&gt;*N/A*")</f>
        <v>0</v>
      </c>
      <c r="I277" s="185">
        <f>COUNTIFS('NDC MASTER SHEET'!$B$5:$B$201,"Oceania",'NDC MASTER SHEET'!$H$5:$H$201,"N/A", 'NDC MASTER SHEET'!$I$5:$I$201,"N/A", 'NDC MASTER SHEET'!$BA$5:$BA$201,"&lt;&gt;*N/A*")</f>
        <v>1</v>
      </c>
      <c r="J277" s="240">
        <f t="shared" si="8"/>
        <v>17</v>
      </c>
      <c r="L277" s="239"/>
      <c r="M277" s="239"/>
      <c r="N277" s="239"/>
      <c r="O277" s="239"/>
      <c r="P277" s="239"/>
      <c r="Q277" s="239"/>
      <c r="R277" s="239"/>
      <c r="S277" s="239"/>
      <c r="T277" s="239"/>
      <c r="U277" s="239"/>
      <c r="V277" s="239"/>
      <c r="W277" s="239"/>
    </row>
    <row r="278" spans="1:23">
      <c r="A278" s="154" t="s">
        <v>436</v>
      </c>
      <c r="B278" s="110">
        <f t="shared" ref="B278:I278" si="9">B279-SUM(B273:B277)</f>
        <v>4</v>
      </c>
      <c r="C278" s="110">
        <f t="shared" si="9"/>
        <v>9</v>
      </c>
      <c r="D278" s="110">
        <f t="shared" si="9"/>
        <v>14</v>
      </c>
      <c r="E278" s="110">
        <f t="shared" si="9"/>
        <v>2</v>
      </c>
      <c r="F278" s="110">
        <f t="shared" si="9"/>
        <v>2</v>
      </c>
      <c r="G278" s="110">
        <f t="shared" si="9"/>
        <v>14</v>
      </c>
      <c r="H278" s="110">
        <f t="shared" si="9"/>
        <v>1</v>
      </c>
      <c r="I278" s="244">
        <f t="shared" si="9"/>
        <v>5</v>
      </c>
      <c r="J278" s="241">
        <f t="shared" si="8"/>
        <v>51</v>
      </c>
      <c r="L278" s="239"/>
      <c r="M278" s="239"/>
      <c r="N278" s="239"/>
      <c r="O278" s="239"/>
      <c r="P278" s="239"/>
      <c r="Q278" s="239"/>
      <c r="R278" s="239"/>
      <c r="S278" s="239"/>
      <c r="T278" s="239"/>
      <c r="U278" s="239"/>
      <c r="V278" s="239"/>
      <c r="W278" s="239"/>
    </row>
    <row r="279" spans="1:23">
      <c r="A279" s="186" t="s">
        <v>441</v>
      </c>
      <c r="B279" s="107">
        <f>B32</f>
        <v>24</v>
      </c>
      <c r="C279" s="107">
        <f t="shared" ref="C279:I279" si="10">C30</f>
        <v>20</v>
      </c>
      <c r="D279" s="107">
        <f t="shared" si="10"/>
        <v>49</v>
      </c>
      <c r="E279" s="107">
        <f t="shared" si="10"/>
        <v>17</v>
      </c>
      <c r="F279" s="107">
        <f t="shared" si="10"/>
        <v>36</v>
      </c>
      <c r="G279" s="107">
        <f t="shared" si="10"/>
        <v>33</v>
      </c>
      <c r="H279" s="107">
        <f t="shared" si="10"/>
        <v>2</v>
      </c>
      <c r="I279" s="107">
        <f t="shared" si="10"/>
        <v>16</v>
      </c>
      <c r="J279" s="242">
        <f>SUM(J273:J278)</f>
        <v>197</v>
      </c>
      <c r="L279" s="239"/>
      <c r="M279" s="239"/>
      <c r="N279" s="239"/>
      <c r="O279" s="239"/>
      <c r="P279" s="239"/>
      <c r="Q279" s="239"/>
      <c r="R279" s="239"/>
      <c r="S279" s="239"/>
      <c r="T279" s="239"/>
      <c r="U279" s="239"/>
      <c r="V279" s="239"/>
      <c r="W279" s="239"/>
    </row>
    <row r="280" spans="1:23">
      <c r="B280" s="101"/>
      <c r="C280" s="185"/>
      <c r="D280" s="185"/>
      <c r="E280" s="101"/>
      <c r="F280" s="101"/>
      <c r="G280" s="101"/>
      <c r="H280" s="101"/>
      <c r="I280" s="185"/>
      <c r="J280" s="185"/>
      <c r="L280" s="239"/>
      <c r="M280" s="239"/>
      <c r="N280" s="239"/>
      <c r="O280" s="239"/>
      <c r="P280" s="239"/>
      <c r="Q280" s="239"/>
      <c r="R280" s="239"/>
      <c r="S280" s="239"/>
      <c r="T280" s="239"/>
      <c r="U280" s="239"/>
      <c r="V280" s="239"/>
      <c r="W280" s="239"/>
    </row>
    <row r="281" spans="1:23">
      <c r="B281" s="202"/>
      <c r="C281" s="185"/>
      <c r="D281" s="217"/>
      <c r="I281" s="217"/>
      <c r="J281" s="217"/>
      <c r="L281" s="239"/>
      <c r="M281" s="239"/>
      <c r="N281" s="239"/>
      <c r="O281" s="239"/>
      <c r="P281" s="239"/>
      <c r="Q281" s="239"/>
      <c r="R281" s="239"/>
      <c r="S281" s="239"/>
      <c r="T281" s="239"/>
      <c r="U281" s="239"/>
      <c r="V281" s="239"/>
      <c r="W281" s="239"/>
    </row>
    <row r="282" spans="1:23">
      <c r="B282" s="101"/>
      <c r="C282" s="185"/>
      <c r="D282" s="217"/>
      <c r="L282" s="239"/>
      <c r="M282" s="239"/>
      <c r="N282" s="239"/>
      <c r="O282" s="239"/>
      <c r="P282" s="239"/>
      <c r="Q282" s="239"/>
      <c r="R282" s="239"/>
      <c r="S282" s="239"/>
      <c r="T282" s="239"/>
      <c r="U282" s="239"/>
      <c r="V282" s="239"/>
      <c r="W282" s="239"/>
    </row>
    <row r="283" spans="1:23">
      <c r="B283" s="101"/>
      <c r="C283" s="185"/>
      <c r="D283" s="217"/>
      <c r="L283" s="239"/>
      <c r="M283" s="239"/>
      <c r="N283" s="239"/>
      <c r="O283" s="239"/>
      <c r="P283" s="239"/>
      <c r="Q283" s="239"/>
      <c r="R283" s="239"/>
      <c r="S283" s="239"/>
      <c r="T283" s="239"/>
      <c r="U283" s="239"/>
      <c r="V283" s="239"/>
      <c r="W283" s="239"/>
    </row>
    <row r="284" spans="1:23">
      <c r="B284" s="202"/>
      <c r="L284" s="239"/>
      <c r="M284" s="239"/>
      <c r="N284" s="239"/>
      <c r="O284" s="239"/>
      <c r="P284" s="239"/>
      <c r="Q284" s="239"/>
      <c r="R284" s="239"/>
      <c r="S284" s="239"/>
      <c r="T284" s="239"/>
      <c r="U284" s="239"/>
      <c r="V284" s="239"/>
      <c r="W284" s="239"/>
    </row>
    <row r="285" spans="1:23">
      <c r="L285" s="239"/>
      <c r="M285" s="239"/>
      <c r="N285" s="239"/>
      <c r="O285" s="239"/>
      <c r="P285" s="239"/>
      <c r="Q285" s="239"/>
      <c r="R285" s="239"/>
      <c r="S285" s="239"/>
      <c r="T285" s="239"/>
      <c r="U285" s="239"/>
      <c r="V285" s="239"/>
      <c r="W285" s="239"/>
    </row>
    <row r="286" spans="1:23">
      <c r="L286" s="239"/>
      <c r="M286" s="239"/>
      <c r="N286" s="239"/>
      <c r="O286" s="239"/>
      <c r="P286" s="239"/>
      <c r="Q286" s="239"/>
      <c r="R286" s="239"/>
      <c r="S286" s="239"/>
      <c r="T286" s="239"/>
      <c r="U286" s="239"/>
      <c r="V286" s="239"/>
      <c r="W286" s="239"/>
    </row>
    <row r="287" spans="1:23">
      <c r="L287" s="239"/>
      <c r="M287" s="239"/>
      <c r="N287" s="239"/>
      <c r="O287" s="239"/>
      <c r="P287" s="239"/>
      <c r="Q287" s="239"/>
      <c r="R287" s="239"/>
      <c r="S287" s="239"/>
      <c r="T287" s="239"/>
      <c r="U287" s="239"/>
      <c r="V287" s="239"/>
      <c r="W287" s="239"/>
    </row>
    <row r="288" spans="1:23">
      <c r="L288" s="239"/>
      <c r="M288" s="239"/>
      <c r="N288" s="239"/>
      <c r="O288" s="239"/>
      <c r="P288" s="239"/>
      <c r="Q288" s="239"/>
      <c r="R288" s="239"/>
      <c r="S288" s="239"/>
      <c r="T288" s="239"/>
      <c r="U288" s="239"/>
      <c r="V288" s="239"/>
      <c r="W288" s="239"/>
    </row>
    <row r="289" spans="12:23">
      <c r="L289" s="239"/>
      <c r="M289" s="239"/>
      <c r="N289" s="239"/>
      <c r="O289" s="239"/>
      <c r="P289" s="239"/>
      <c r="Q289" s="239"/>
      <c r="R289" s="239"/>
      <c r="S289" s="239"/>
      <c r="T289" s="239"/>
      <c r="U289" s="239"/>
      <c r="V289" s="239"/>
      <c r="W289" s="239"/>
    </row>
  </sheetData>
  <mergeCells count="43">
    <mergeCell ref="R48:T48"/>
    <mergeCell ref="A27:Q27"/>
    <mergeCell ref="A60:D60"/>
    <mergeCell ref="A92:J92"/>
    <mergeCell ref="F60:M60"/>
    <mergeCell ref="A76:E76"/>
    <mergeCell ref="K30:Q30"/>
    <mergeCell ref="K31:Q31"/>
    <mergeCell ref="K32:Q32"/>
    <mergeCell ref="K33:Q33"/>
    <mergeCell ref="H48:I48"/>
    <mergeCell ref="J48:K48"/>
    <mergeCell ref="L48:M48"/>
    <mergeCell ref="N48:O48"/>
    <mergeCell ref="P48:Q48"/>
    <mergeCell ref="A271:J271"/>
    <mergeCell ref="A244:I244"/>
    <mergeCell ref="A114:D114"/>
    <mergeCell ref="A129:D129"/>
    <mergeCell ref="A228:J228"/>
    <mergeCell ref="A205:F205"/>
    <mergeCell ref="A174:E174"/>
    <mergeCell ref="F114:K114"/>
    <mergeCell ref="F129:K129"/>
    <mergeCell ref="G174:O174"/>
    <mergeCell ref="A149:J149"/>
    <mergeCell ref="A195:J195"/>
    <mergeCell ref="A3:F3"/>
    <mergeCell ref="A131:D131"/>
    <mergeCell ref="F131:K131"/>
    <mergeCell ref="A1:R1"/>
    <mergeCell ref="K28:Q28"/>
    <mergeCell ref="K35:Q35"/>
    <mergeCell ref="K36:Q36"/>
    <mergeCell ref="K37:Q37"/>
    <mergeCell ref="K41:Q41"/>
    <mergeCell ref="H3:M3"/>
    <mergeCell ref="A47:Z47"/>
    <mergeCell ref="U48:W48"/>
    <mergeCell ref="X48:Z48"/>
    <mergeCell ref="B48:C48"/>
    <mergeCell ref="D48:E48"/>
    <mergeCell ref="F48:G48"/>
  </mergeCells>
  <phoneticPr fontId="7"/>
  <pageMargins left="0.7" right="0.7" top="0.75" bottom="0.75" header="0.3" footer="0.3"/>
  <pageSetup paperSize="9" orientation="portrait" r:id="rId1"/>
  <ignoredErrors>
    <ignoredError sqref="C35"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Guidance</vt:lpstr>
      <vt:lpstr>NDC MASTER SHEET</vt:lpstr>
      <vt:lpstr>NDC Change Tracker</vt:lpstr>
      <vt:lpstr>Analytics</vt:lpstr>
      <vt:lpstr>Guidance!Print_Area</vt:lpstr>
    </vt:vector>
  </TitlesOfParts>
  <Company>IGES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rocamora</dc:creator>
  <cp:lastModifiedBy>IGES</cp:lastModifiedBy>
  <cp:lastPrinted>2019-01-17T05:14:08Z</cp:lastPrinted>
  <dcterms:created xsi:type="dcterms:W3CDTF">2015-10-08T05:34:56Z</dcterms:created>
  <dcterms:modified xsi:type="dcterms:W3CDTF">2022-10-21T06:36:01Z</dcterms:modified>
</cp:coreProperties>
</file>