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qlabs.sharepoint.com/sites/Services/Freigegebene Dokumente/Bayer Pharma/Thyroid/Deliverables/WP3_V03.01/Data/"/>
    </mc:Choice>
  </mc:AlternateContent>
  <xr:revisionPtr revIDLastSave="583" documentId="114_{1B460739-B874-4CE1-ADFD-66B91895CDF5}" xr6:coauthVersionLast="45" xr6:coauthVersionMax="45" xr10:uidLastSave="{31A6FA2A-5D9C-4489-B82C-79BAC62EBF99}"/>
  <bookViews>
    <workbookView xWindow="-120" yWindow="-120" windowWidth="38640" windowHeight="21240" tabRatio="1000" firstSheet="20" activeTab="33" xr2:uid="{5E22A3C1-B219-4F36-A58E-DEA78550FA08}"/>
  </bookViews>
  <sheets>
    <sheet name="Cooper1983Tab1" sheetId="15" r:id="rId1"/>
    <sheet name="Cooper1983Fig34" sheetId="16" r:id="rId2"/>
    <sheet name="DiStefano1982aFig4" sheetId="4" r:id="rId3"/>
    <sheet name="DiStefano1982baselineT3&amp;T4" sheetId="22" r:id="rId4"/>
    <sheet name="Tuomisto1975baselineTSH" sheetId="23" r:id="rId5"/>
    <sheet name="DiStefano1982bFig2" sheetId="5" r:id="rId6"/>
    <sheet name="Eisenberg2008Fig45" sheetId="14" r:id="rId7"/>
    <sheet name="Eisenberg2008Fig9" sheetId="17" r:id="rId8"/>
    <sheet name="Eisenberg2008Fig8" sheetId="1" r:id="rId9"/>
    <sheet name="Ekterot2013Fig6" sheetId="18" r:id="rId10"/>
    <sheet name="Leonard2016Fig3" sheetId="7" r:id="rId11"/>
    <sheet name="Leonard2016Fig5" sheetId="9" r:id="rId12"/>
    <sheet name="Leonard2016Fig6ab" sheetId="10" r:id="rId13"/>
    <sheet name="Leonard2016Fig6cd" sheetId="11" r:id="rId14"/>
    <sheet name="McGuire1981Fig5" sheetId="19" r:id="rId15"/>
    <sheet name="Hays1980Fig12" sheetId="21" r:id="rId16"/>
    <sheet name="Laurberg_2007" sheetId="30" r:id="rId17"/>
    <sheet name="Silva1977Fig1" sheetId="2" r:id="rId18"/>
    <sheet name="Silva1978" sheetId="3" r:id="rId19"/>
    <sheet name="Wong2005Fig2" sheetId="12" r:id="rId20"/>
    <sheet name="Larsen_1977" sheetId="24" r:id="rId21"/>
    <sheet name="Kampmann_1975" sheetId="26" r:id="rId22"/>
    <sheet name="Wong_2005" sheetId="29" r:id="rId23"/>
    <sheet name="Pilo1990Fig5" sheetId="13" r:id="rId24"/>
    <sheet name="Skellern_1973" sheetId="31" r:id="rId25"/>
    <sheet name="Cooper_1984b" sheetId="32" r:id="rId26"/>
    <sheet name="Cooper_1983" sheetId="34" r:id="rId27"/>
    <sheet name="Cooper_1984b_PD" sheetId="35" r:id="rId28"/>
    <sheet name="Okumara_1986" sheetId="33" r:id="rId29"/>
    <sheet name="Mendes_2014" sheetId="27" r:id="rId30"/>
    <sheet name="Reeth_1987" sheetId="36" r:id="rId31"/>
    <sheet name="Andrare_1999" sheetId="37" r:id="rId32"/>
    <sheet name="Engasser_1980" sheetId="38" r:id="rId33"/>
    <sheet name="Nelson_1982" sheetId="39" r:id="rId34"/>
    <sheet name="Michael_1989" sheetId="40" r:id="rId35"/>
    <sheet name="Kato_2010" sheetId="41" r:id="rId36"/>
    <sheet name="Oppenheimer_1968" sheetId="43" r:id="rId37"/>
    <sheet name="Marchant_1971" sheetId="44" r:id="rId38"/>
    <sheet name="MetaInfo" sheetId="25" r:id="rId39"/>
    <sheet name="Rat_T4_iv_doseNorm" sheetId="42" r:id="rId4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30" l="1"/>
  <c r="J13" i="30" l="1"/>
  <c r="J14" i="30"/>
  <c r="J15" i="30"/>
  <c r="J16" i="30"/>
  <c r="J17" i="30"/>
  <c r="J18" i="30"/>
  <c r="J19" i="30"/>
  <c r="J20" i="30"/>
  <c r="J21" i="30"/>
  <c r="J3" i="36"/>
  <c r="J4" i="36"/>
  <c r="J5" i="36"/>
  <c r="J6" i="36"/>
  <c r="J7" i="36"/>
  <c r="J8" i="36"/>
  <c r="J9" i="36"/>
  <c r="J10" i="36"/>
  <c r="J2" i="36"/>
  <c r="J6" i="37"/>
  <c r="J7" i="37"/>
  <c r="J5" i="37"/>
  <c r="J3" i="37"/>
  <c r="J4" i="37"/>
  <c r="J2" i="37"/>
  <c r="B76" i="42" l="1"/>
  <c r="B77" i="42"/>
  <c r="B78" i="42"/>
  <c r="B75" i="42"/>
  <c r="C76" i="42"/>
  <c r="C77" i="42"/>
  <c r="C78" i="42"/>
  <c r="C75" i="42"/>
  <c r="G75" i="42"/>
  <c r="I3" i="43" l="1"/>
  <c r="I4" i="43"/>
  <c r="I5" i="43"/>
  <c r="I6" i="43"/>
  <c r="I7" i="43"/>
  <c r="I8" i="43"/>
  <c r="I9" i="43"/>
  <c r="I2" i="43"/>
  <c r="J6" i="43" l="1"/>
  <c r="J7" i="43"/>
  <c r="J8" i="43"/>
  <c r="J9" i="43"/>
  <c r="J3" i="43"/>
  <c r="J4" i="43"/>
  <c r="J5" i="43"/>
  <c r="J2" i="43" l="1"/>
  <c r="E40" i="42" l="1"/>
  <c r="E41" i="42"/>
  <c r="E42" i="42"/>
  <c r="E39" i="42"/>
  <c r="B64" i="42"/>
  <c r="B65" i="42"/>
  <c r="B66" i="42"/>
  <c r="B67" i="42"/>
  <c r="B68" i="42"/>
  <c r="B69" i="42"/>
  <c r="B70" i="42"/>
  <c r="B71" i="42"/>
  <c r="B63" i="42"/>
  <c r="C56" i="42"/>
  <c r="C57" i="42"/>
  <c r="C58" i="42"/>
  <c r="C59" i="42"/>
  <c r="C60" i="42"/>
  <c r="C55" i="42"/>
  <c r="H55" i="42"/>
  <c r="G55" i="42"/>
  <c r="D47" i="42"/>
  <c r="D48" i="42"/>
  <c r="D49" i="42"/>
  <c r="D50" i="42"/>
  <c r="D51" i="42"/>
  <c r="D52" i="42"/>
  <c r="C48" i="42"/>
  <c r="C49" i="42"/>
  <c r="C50" i="42"/>
  <c r="C51" i="42"/>
  <c r="C52" i="42"/>
  <c r="C47" i="42"/>
  <c r="H46" i="42"/>
  <c r="G46" i="42"/>
  <c r="F52" i="42"/>
  <c r="F51" i="42"/>
  <c r="F50" i="42"/>
  <c r="F49" i="42"/>
  <c r="F48" i="42"/>
  <c r="F47" i="42"/>
  <c r="B48" i="42"/>
  <c r="B49" i="42"/>
  <c r="B50" i="42"/>
  <c r="B51" i="42"/>
  <c r="B52" i="42"/>
  <c r="B47" i="42"/>
  <c r="B40" i="42"/>
  <c r="B41" i="42"/>
  <c r="B42" i="42"/>
  <c r="B39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5" i="42"/>
  <c r="G38" i="42"/>
  <c r="H38" i="42"/>
  <c r="H4" i="42"/>
  <c r="J29" i="29" l="1"/>
  <c r="J30" i="29"/>
  <c r="J31" i="29"/>
  <c r="J32" i="29"/>
  <c r="J33" i="29"/>
  <c r="J34" i="29"/>
  <c r="J35" i="29"/>
  <c r="J36" i="29"/>
  <c r="J37" i="29"/>
  <c r="J21" i="29"/>
  <c r="K21" i="29"/>
  <c r="J22" i="29"/>
  <c r="K22" i="29"/>
  <c r="J23" i="29"/>
  <c r="K23" i="29"/>
  <c r="J24" i="29"/>
  <c r="K24" i="29"/>
  <c r="J25" i="29"/>
  <c r="K25" i="29"/>
  <c r="J26" i="29"/>
  <c r="K26" i="29"/>
  <c r="J27" i="29"/>
  <c r="K27" i="29"/>
  <c r="J28" i="29"/>
  <c r="K28" i="29"/>
  <c r="K20" i="29"/>
  <c r="J20" i="29"/>
  <c r="T20" i="29"/>
  <c r="T21" i="29"/>
  <c r="T22" i="29"/>
  <c r="T23" i="29"/>
  <c r="T24" i="29"/>
  <c r="T25" i="29"/>
  <c r="J2" i="41" l="1"/>
  <c r="I8" i="41" l="1"/>
  <c r="J8" i="41"/>
  <c r="I9" i="41"/>
  <c r="J9" i="41"/>
  <c r="I10" i="41"/>
  <c r="J10" i="41"/>
  <c r="I11" i="41"/>
  <c r="J11" i="41"/>
  <c r="I12" i="41"/>
  <c r="J12" i="41"/>
  <c r="I13" i="41"/>
  <c r="J13" i="41"/>
  <c r="I3" i="41"/>
  <c r="I4" i="41"/>
  <c r="I5" i="41"/>
  <c r="I6" i="41"/>
  <c r="I7" i="41"/>
  <c r="I2" i="41"/>
  <c r="J3" i="41"/>
  <c r="J4" i="41"/>
  <c r="J5" i="41"/>
  <c r="J6" i="41"/>
  <c r="J7" i="41"/>
  <c r="K2" i="40" l="1"/>
  <c r="K3" i="40"/>
  <c r="K4" i="40"/>
  <c r="K5" i="40"/>
  <c r="K6" i="40"/>
  <c r="K7" i="40"/>
  <c r="K8" i="40"/>
  <c r="K9" i="40"/>
  <c r="K10" i="40"/>
  <c r="K11" i="40"/>
  <c r="K12" i="40"/>
  <c r="K13" i="40"/>
  <c r="J3" i="40"/>
  <c r="J4" i="40"/>
  <c r="J5" i="40"/>
  <c r="J6" i="40"/>
  <c r="J7" i="40"/>
  <c r="J8" i="40"/>
  <c r="J9" i="40"/>
  <c r="J10" i="40"/>
  <c r="J11" i="40"/>
  <c r="J12" i="40"/>
  <c r="J13" i="40"/>
  <c r="J2" i="40"/>
  <c r="S8" i="40" l="1"/>
  <c r="S9" i="40"/>
  <c r="S10" i="40"/>
  <c r="S11" i="40"/>
  <c r="S12" i="40"/>
  <c r="S13" i="40"/>
  <c r="S3" i="40"/>
  <c r="S4" i="40"/>
  <c r="S5" i="40"/>
  <c r="S6" i="40"/>
  <c r="S7" i="40"/>
  <c r="S2" i="40"/>
  <c r="K3" i="30" l="1"/>
  <c r="K4" i="30"/>
  <c r="K5" i="30"/>
  <c r="K6" i="30"/>
  <c r="K7" i="30"/>
  <c r="K8" i="30"/>
  <c r="K9" i="30"/>
  <c r="K10" i="30"/>
  <c r="K11" i="30"/>
  <c r="K12" i="30"/>
  <c r="K14" i="30"/>
  <c r="K15" i="30"/>
  <c r="K16" i="30"/>
  <c r="K17" i="30"/>
  <c r="K18" i="30"/>
  <c r="K19" i="30"/>
  <c r="K20" i="30"/>
  <c r="K21" i="30"/>
  <c r="K13" i="30"/>
  <c r="J12" i="36" l="1"/>
  <c r="J13" i="36"/>
  <c r="J14" i="36"/>
  <c r="J15" i="36"/>
  <c r="J16" i="36"/>
  <c r="J17" i="36"/>
  <c r="J18" i="36"/>
  <c r="J19" i="36"/>
  <c r="J11" i="36"/>
  <c r="O18" i="25" l="1"/>
  <c r="M18" i="25"/>
  <c r="K3" i="37" l="1"/>
  <c r="K2" i="37"/>
  <c r="K11" i="36" l="1"/>
  <c r="K12" i="36"/>
  <c r="K13" i="36"/>
  <c r="K14" i="36"/>
  <c r="K15" i="36"/>
  <c r="K16" i="36"/>
  <c r="K17" i="36"/>
  <c r="K18" i="36"/>
  <c r="K19" i="36"/>
  <c r="Q11" i="36"/>
  <c r="Q12" i="36"/>
  <c r="Q13" i="36"/>
  <c r="Q14" i="36"/>
  <c r="Q15" i="36"/>
  <c r="Q16" i="36"/>
  <c r="Q17" i="36"/>
  <c r="Q18" i="36"/>
  <c r="Q19" i="36"/>
  <c r="I19" i="36"/>
  <c r="I18" i="36"/>
  <c r="I17" i="36"/>
  <c r="I16" i="36"/>
  <c r="I15" i="36"/>
  <c r="I14" i="36"/>
  <c r="I13" i="36"/>
  <c r="I12" i="36"/>
  <c r="I11" i="36"/>
  <c r="K2" i="36"/>
  <c r="K3" i="36"/>
  <c r="K4" i="36"/>
  <c r="K5" i="36"/>
  <c r="K6" i="36"/>
  <c r="K7" i="36"/>
  <c r="K8" i="36"/>
  <c r="K9" i="36"/>
  <c r="K10" i="36"/>
  <c r="Q3" i="36"/>
  <c r="Q4" i="36"/>
  <c r="Q5" i="36"/>
  <c r="Q6" i="36"/>
  <c r="Q7" i="36"/>
  <c r="Q8" i="36"/>
  <c r="Q9" i="36"/>
  <c r="Q10" i="36"/>
  <c r="Q2" i="36"/>
  <c r="I3" i="36"/>
  <c r="I4" i="36"/>
  <c r="I5" i="36"/>
  <c r="I6" i="36"/>
  <c r="I7" i="36"/>
  <c r="I8" i="36"/>
  <c r="I9" i="36"/>
  <c r="I10" i="36"/>
  <c r="I2" i="36"/>
  <c r="T3" i="30" l="1"/>
  <c r="T4" i="30"/>
  <c r="T5" i="30"/>
  <c r="T6" i="30"/>
  <c r="T7" i="30"/>
  <c r="T8" i="30"/>
  <c r="T9" i="30"/>
  <c r="T10" i="30"/>
  <c r="T11" i="30"/>
  <c r="T13" i="30"/>
  <c r="T14" i="30"/>
  <c r="T15" i="30"/>
  <c r="T16" i="30"/>
  <c r="T17" i="30"/>
  <c r="T18" i="30"/>
  <c r="T19" i="30"/>
  <c r="T20" i="30"/>
  <c r="T21" i="30"/>
  <c r="I14" i="30"/>
  <c r="I15" i="30"/>
  <c r="I16" i="30"/>
  <c r="I17" i="30"/>
  <c r="I18" i="30"/>
  <c r="I19" i="30"/>
  <c r="I20" i="30"/>
  <c r="I21" i="30"/>
  <c r="I13" i="30"/>
  <c r="K2" i="30"/>
  <c r="J3" i="30"/>
  <c r="J4" i="30"/>
  <c r="J5" i="30"/>
  <c r="J6" i="30"/>
  <c r="J7" i="30"/>
  <c r="J8" i="30"/>
  <c r="J9" i="30"/>
  <c r="J10" i="30"/>
  <c r="J11" i="30"/>
  <c r="J2" i="30"/>
  <c r="I4" i="30"/>
  <c r="I5" i="30"/>
  <c r="I6" i="30"/>
  <c r="I7" i="30"/>
  <c r="I8" i="30"/>
  <c r="I9" i="30"/>
  <c r="I10" i="30"/>
  <c r="I11" i="30"/>
  <c r="I3" i="30"/>
  <c r="J10" i="35"/>
  <c r="P3" i="35" l="1"/>
  <c r="J3" i="35" s="1"/>
  <c r="P4" i="35"/>
  <c r="P5" i="35"/>
  <c r="P6" i="35"/>
  <c r="P7" i="35"/>
  <c r="P8" i="35"/>
  <c r="P2" i="35"/>
  <c r="J9" i="34" l="1"/>
  <c r="J17" i="35" l="1"/>
  <c r="K17" i="35"/>
  <c r="J18" i="35"/>
  <c r="K18" i="35"/>
  <c r="J19" i="35"/>
  <c r="K19" i="35"/>
  <c r="J20" i="35"/>
  <c r="K20" i="35"/>
  <c r="J21" i="35"/>
  <c r="K21" i="35"/>
  <c r="J22" i="35"/>
  <c r="K22" i="35"/>
  <c r="K10" i="35"/>
  <c r="J11" i="35"/>
  <c r="K11" i="35"/>
  <c r="J12" i="35"/>
  <c r="K12" i="35"/>
  <c r="J13" i="35"/>
  <c r="K13" i="35"/>
  <c r="J14" i="35"/>
  <c r="K14" i="35"/>
  <c r="J15" i="35"/>
  <c r="K15" i="35"/>
  <c r="Q3" i="35"/>
  <c r="K3" i="35" s="1"/>
  <c r="Q4" i="35"/>
  <c r="K4" i="35" s="1"/>
  <c r="Q5" i="35"/>
  <c r="Q6" i="35"/>
  <c r="Q7" i="35"/>
  <c r="K7" i="35" s="1"/>
  <c r="Q8" i="35"/>
  <c r="K8" i="35" s="1"/>
  <c r="Q9" i="35"/>
  <c r="K9" i="35" s="1"/>
  <c r="Q10" i="35"/>
  <c r="Q11" i="35"/>
  <c r="Q12" i="35"/>
  <c r="Q13" i="35"/>
  <c r="Q14" i="35"/>
  <c r="Q15" i="35"/>
  <c r="Q16" i="35"/>
  <c r="Q17" i="35"/>
  <c r="Q18" i="35"/>
  <c r="Q19" i="35"/>
  <c r="Q20" i="35"/>
  <c r="Q21" i="35"/>
  <c r="Q22" i="35"/>
  <c r="J4" i="35"/>
  <c r="J5" i="35"/>
  <c r="K5" i="35"/>
  <c r="J6" i="35"/>
  <c r="K6" i="35"/>
  <c r="J7" i="35"/>
  <c r="J8" i="35"/>
  <c r="Q2" i="35"/>
  <c r="K2" i="35" s="1"/>
  <c r="P22" i="35"/>
  <c r="P17" i="35"/>
  <c r="P18" i="35"/>
  <c r="P19" i="35"/>
  <c r="P20" i="35"/>
  <c r="P21" i="35"/>
  <c r="P16" i="35"/>
  <c r="J16" i="35" s="1"/>
  <c r="P10" i="35"/>
  <c r="P11" i="35"/>
  <c r="P12" i="35"/>
  <c r="P13" i="35"/>
  <c r="P14" i="35"/>
  <c r="P15" i="35"/>
  <c r="P9" i="35"/>
  <c r="J9" i="35" s="1"/>
  <c r="W7" i="35"/>
  <c r="W6" i="35"/>
  <c r="W5" i="35"/>
  <c r="W4" i="35"/>
  <c r="W3" i="35"/>
  <c r="W2" i="35"/>
  <c r="J14" i="34"/>
  <c r="W8" i="34"/>
  <c r="W7" i="34"/>
  <c r="W6" i="34"/>
  <c r="W5" i="34"/>
  <c r="W4" i="34"/>
  <c r="W3" i="34"/>
  <c r="K16" i="35" l="1"/>
  <c r="J2" i="35"/>
  <c r="P18" i="34"/>
  <c r="P19" i="34"/>
  <c r="P20" i="34"/>
  <c r="P21" i="34"/>
  <c r="P22" i="34"/>
  <c r="P17" i="34"/>
  <c r="P11" i="34"/>
  <c r="P12" i="34"/>
  <c r="P13" i="34"/>
  <c r="P14" i="34"/>
  <c r="P15" i="34"/>
  <c r="P10" i="34"/>
  <c r="P4" i="34"/>
  <c r="P5" i="34"/>
  <c r="P6" i="34"/>
  <c r="P7" i="34"/>
  <c r="P8" i="34"/>
  <c r="P3" i="34"/>
  <c r="C11" i="7"/>
  <c r="C12" i="7"/>
  <c r="C13" i="7"/>
  <c r="C14" i="7"/>
  <c r="C15" i="7"/>
  <c r="C16" i="7"/>
  <c r="C17" i="7"/>
  <c r="C10" i="7"/>
  <c r="C3" i="7"/>
  <c r="C4" i="7"/>
  <c r="C5" i="7"/>
  <c r="C6" i="7"/>
  <c r="C7" i="7"/>
  <c r="C8" i="7"/>
  <c r="C9" i="7"/>
  <c r="C2" i="7"/>
  <c r="K10" i="34" l="1"/>
  <c r="K11" i="34"/>
  <c r="K12" i="34"/>
  <c r="K13" i="34"/>
  <c r="K14" i="34"/>
  <c r="K15" i="34"/>
  <c r="J11" i="34"/>
  <c r="J12" i="34"/>
  <c r="J13" i="34"/>
  <c r="J15" i="34"/>
  <c r="J10" i="34"/>
  <c r="K3" i="34"/>
  <c r="K4" i="34"/>
  <c r="K5" i="34"/>
  <c r="K6" i="34"/>
  <c r="K7" i="34"/>
  <c r="K8" i="34"/>
  <c r="J4" i="34"/>
  <c r="J5" i="34"/>
  <c r="J6" i="34"/>
  <c r="J7" i="34"/>
  <c r="J8" i="34"/>
  <c r="J3" i="34"/>
  <c r="K17" i="34" l="1"/>
  <c r="K18" i="34"/>
  <c r="K19" i="34"/>
  <c r="K20" i="34"/>
  <c r="K21" i="34"/>
  <c r="K22" i="34"/>
  <c r="J18" i="34"/>
  <c r="J19" i="34"/>
  <c r="J20" i="34"/>
  <c r="J21" i="34"/>
  <c r="J22" i="34"/>
  <c r="J17" i="34"/>
  <c r="J17" i="32" l="1"/>
  <c r="I17" i="32"/>
  <c r="K12" i="33" l="1"/>
  <c r="K13" i="33"/>
  <c r="K14" i="33"/>
  <c r="K15" i="33"/>
  <c r="K16" i="33"/>
  <c r="K17" i="33"/>
  <c r="K18" i="33"/>
  <c r="K19" i="33"/>
  <c r="K11" i="33"/>
  <c r="I19" i="33"/>
  <c r="I18" i="33"/>
  <c r="I17" i="33"/>
  <c r="I16" i="33"/>
  <c r="I15" i="33"/>
  <c r="I14" i="33"/>
  <c r="I13" i="33"/>
  <c r="I12" i="33"/>
  <c r="I11" i="33"/>
  <c r="I3" i="33"/>
  <c r="I4" i="33"/>
  <c r="I5" i="33"/>
  <c r="I6" i="33"/>
  <c r="I7" i="33"/>
  <c r="I8" i="33"/>
  <c r="I9" i="33"/>
  <c r="I10" i="33"/>
  <c r="I2" i="33"/>
  <c r="I2" i="32" l="1"/>
  <c r="J11" i="32" l="1"/>
  <c r="J12" i="32"/>
  <c r="J13" i="32"/>
  <c r="J14" i="32"/>
  <c r="J15" i="32"/>
  <c r="J16" i="32"/>
  <c r="J10" i="32"/>
  <c r="I16" i="32"/>
  <c r="I15" i="32"/>
  <c r="I14" i="32"/>
  <c r="I13" i="32"/>
  <c r="I12" i="32"/>
  <c r="I11" i="32"/>
  <c r="I10" i="32"/>
  <c r="I4" i="32"/>
  <c r="I5" i="32"/>
  <c r="I6" i="32"/>
  <c r="I7" i="32"/>
  <c r="I8" i="32"/>
  <c r="I9" i="32"/>
  <c r="I3" i="32"/>
  <c r="J15" i="31" l="1"/>
  <c r="J14" i="31"/>
  <c r="J13" i="31"/>
  <c r="J12" i="31"/>
  <c r="J11" i="31"/>
  <c r="J10" i="31"/>
  <c r="J9" i="31"/>
  <c r="J3" i="31"/>
  <c r="J4" i="31"/>
  <c r="J5" i="31"/>
  <c r="J6" i="31"/>
  <c r="J7" i="31"/>
  <c r="J8" i="31"/>
  <c r="J2" i="31"/>
  <c r="J15" i="29" l="1"/>
  <c r="J16" i="29"/>
  <c r="J17" i="29"/>
  <c r="J18" i="29"/>
  <c r="J19" i="29"/>
  <c r="J14" i="29"/>
  <c r="V15" i="29"/>
  <c r="V16" i="29"/>
  <c r="V17" i="29"/>
  <c r="V18" i="29"/>
  <c r="V19" i="29"/>
  <c r="V14" i="29"/>
  <c r="J9" i="29" l="1"/>
  <c r="J10" i="29"/>
  <c r="J11" i="29"/>
  <c r="J12" i="29"/>
  <c r="J13" i="29"/>
  <c r="J8" i="29"/>
  <c r="J3" i="29"/>
  <c r="J4" i="29"/>
  <c r="J5" i="29"/>
  <c r="J6" i="29"/>
  <c r="J7" i="29"/>
  <c r="J2" i="29"/>
  <c r="J17" i="24" l="1"/>
  <c r="J18" i="24"/>
  <c r="J19" i="24"/>
  <c r="J16" i="24"/>
  <c r="K16" i="24" l="1"/>
  <c r="K17" i="24"/>
  <c r="K18" i="24"/>
  <c r="K19" i="24"/>
  <c r="U2" i="24" l="1"/>
  <c r="U3" i="24"/>
  <c r="U4" i="24"/>
  <c r="U5" i="24"/>
  <c r="U6" i="24"/>
  <c r="U7" i="24"/>
  <c r="K15" i="24" l="1"/>
  <c r="P17" i="24"/>
  <c r="P18" i="24"/>
  <c r="P19" i="24"/>
  <c r="K11" i="24"/>
  <c r="K12" i="24"/>
  <c r="K14" i="24"/>
  <c r="J12" i="24"/>
  <c r="J13" i="24"/>
  <c r="J14" i="24"/>
  <c r="J15" i="24"/>
  <c r="P13" i="24"/>
  <c r="K13" i="24" s="1"/>
  <c r="P14" i="24"/>
  <c r="P12" i="24"/>
  <c r="J9" i="24"/>
  <c r="J10" i="24"/>
  <c r="J11" i="24"/>
  <c r="J8" i="24"/>
  <c r="P10" i="24"/>
  <c r="K10" i="24" s="1"/>
  <c r="P9" i="24"/>
  <c r="K9" i="24" s="1"/>
  <c r="K5" i="24"/>
  <c r="K6" i="24"/>
  <c r="K7" i="24"/>
  <c r="T5" i="24"/>
  <c r="T6" i="24"/>
  <c r="T7" i="24"/>
  <c r="J7" i="24" s="1"/>
  <c r="J5" i="24"/>
  <c r="J6" i="24"/>
  <c r="P5" i="24"/>
  <c r="P6" i="24"/>
  <c r="P7" i="24"/>
  <c r="K2" i="24"/>
  <c r="K3" i="24"/>
  <c r="K4" i="24"/>
  <c r="T3" i="24"/>
  <c r="J3" i="24" s="1"/>
  <c r="T4" i="24"/>
  <c r="J4" i="24" s="1"/>
  <c r="T2" i="24"/>
  <c r="J2" i="24" s="1"/>
  <c r="P3" i="24"/>
  <c r="P4" i="24"/>
  <c r="P2" i="24"/>
  <c r="C160" i="14" l="1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59" i="14"/>
  <c r="C65" i="14" l="1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64" i="14"/>
  <c r="C15" i="17"/>
  <c r="C14" i="17"/>
  <c r="C13" i="17"/>
  <c r="C12" i="17"/>
  <c r="C11" i="17"/>
  <c r="C10" i="17"/>
  <c r="C9" i="17"/>
  <c r="M9" i="2" l="1"/>
  <c r="M10" i="2"/>
  <c r="M11" i="2"/>
  <c r="M12" i="2"/>
  <c r="M8" i="2"/>
  <c r="L7" i="2" l="1"/>
  <c r="J7" i="2" s="1"/>
  <c r="L12" i="2"/>
  <c r="L11" i="2"/>
  <c r="L10" i="2"/>
  <c r="L9" i="2"/>
  <c r="L8" i="2"/>
  <c r="B15" i="17" l="1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R174" i="14" l="1"/>
  <c r="R175" i="14"/>
  <c r="R176" i="14"/>
  <c r="R177" i="14"/>
  <c r="R178" i="14"/>
  <c r="R179" i="14"/>
  <c r="R180" i="14"/>
  <c r="R181" i="14"/>
  <c r="R182" i="14"/>
  <c r="R183" i="14"/>
  <c r="R184" i="14"/>
  <c r="R185" i="14"/>
  <c r="R186" i="14"/>
  <c r="R187" i="14"/>
  <c r="R188" i="14"/>
  <c r="R189" i="14"/>
  <c r="R190" i="14"/>
  <c r="R191" i="14"/>
  <c r="Q175" i="14"/>
  <c r="Q176" i="14"/>
  <c r="Q177" i="14"/>
  <c r="Q178" i="14"/>
  <c r="Q179" i="14"/>
  <c r="Q180" i="14"/>
  <c r="Q181" i="14"/>
  <c r="Q182" i="14"/>
  <c r="Q183" i="14"/>
  <c r="Q184" i="14"/>
  <c r="Q185" i="14"/>
  <c r="Q186" i="14"/>
  <c r="Q187" i="14"/>
  <c r="Q188" i="14"/>
  <c r="Q189" i="14"/>
  <c r="Q190" i="14"/>
  <c r="Q191" i="14"/>
  <c r="Q174" i="14"/>
  <c r="B3" i="14" l="1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2" i="14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" i="1"/>
  <c r="D2" i="18" l="1"/>
  <c r="D3" i="18"/>
  <c r="D4" i="18"/>
  <c r="D5" i="18"/>
  <c r="D6" i="18"/>
  <c r="D7" i="18"/>
  <c r="D8" i="18"/>
  <c r="D9" i="18"/>
  <c r="D10" i="18"/>
  <c r="D11" i="18"/>
  <c r="D12" i="18"/>
  <c r="D13" i="18"/>
  <c r="C3" i="18"/>
  <c r="C4" i="18"/>
  <c r="C5" i="18"/>
  <c r="C6" i="18"/>
  <c r="C7" i="18"/>
  <c r="C8" i="18"/>
  <c r="C9" i="18"/>
  <c r="C10" i="18"/>
  <c r="C11" i="18"/>
  <c r="C12" i="18"/>
  <c r="C13" i="18"/>
  <c r="C2" i="18"/>
  <c r="L15" i="21" l="1"/>
  <c r="L16" i="21"/>
  <c r="L17" i="21"/>
  <c r="L18" i="21"/>
  <c r="L19" i="21"/>
  <c r="L20" i="21"/>
  <c r="L21" i="21"/>
  <c r="L22" i="21"/>
  <c r="L23" i="21"/>
  <c r="L24" i="21"/>
  <c r="L25" i="21"/>
  <c r="L14" i="21"/>
  <c r="K15" i="21"/>
  <c r="K16" i="21"/>
  <c r="K17" i="21"/>
  <c r="K18" i="21"/>
  <c r="K19" i="21"/>
  <c r="K20" i="21"/>
  <c r="K21" i="21"/>
  <c r="K22" i="21"/>
  <c r="K23" i="21"/>
  <c r="K24" i="21"/>
  <c r="K25" i="21"/>
  <c r="K14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F24" i="21"/>
  <c r="F25" i="21"/>
  <c r="F23" i="21"/>
  <c r="L13" i="21"/>
  <c r="L3" i="21"/>
  <c r="L4" i="21"/>
  <c r="L8" i="21"/>
  <c r="K2" i="21"/>
  <c r="F2" i="13"/>
  <c r="K13" i="21"/>
  <c r="K3" i="21"/>
  <c r="K4" i="21"/>
  <c r="K5" i="21"/>
  <c r="K6" i="21"/>
  <c r="K7" i="21"/>
  <c r="K8" i="21"/>
  <c r="K9" i="21"/>
  <c r="K10" i="21"/>
  <c r="K11" i="21"/>
  <c r="K12" i="21"/>
  <c r="I13" i="21"/>
  <c r="I12" i="21"/>
  <c r="L12" i="21" s="1"/>
  <c r="I10" i="21"/>
  <c r="L10" i="21" s="1"/>
  <c r="I9" i="21"/>
  <c r="L9" i="21" s="1"/>
  <c r="I8" i="21"/>
  <c r="I7" i="21"/>
  <c r="L7" i="21" s="1"/>
  <c r="I6" i="21"/>
  <c r="L6" i="21" s="1"/>
  <c r="I5" i="21"/>
  <c r="L5" i="21" s="1"/>
  <c r="I4" i="21"/>
  <c r="I3" i="21"/>
  <c r="I11" i="21"/>
  <c r="L11" i="21" s="1"/>
  <c r="I2" i="21"/>
  <c r="L2" i="21" s="1"/>
  <c r="F13" i="21"/>
  <c r="F12" i="21"/>
  <c r="F11" i="21"/>
  <c r="E18" i="16"/>
  <c r="F2" i="4"/>
  <c r="F13" i="5"/>
  <c r="F47" i="13"/>
  <c r="F2" i="19"/>
  <c r="H27" i="7" l="1"/>
  <c r="H28" i="7"/>
  <c r="H29" i="7"/>
  <c r="H30" i="7"/>
  <c r="H31" i="7"/>
  <c r="H32" i="7"/>
  <c r="H33" i="7"/>
  <c r="H34" i="7"/>
  <c r="H35" i="7"/>
  <c r="H36" i="7"/>
  <c r="H25" i="7"/>
  <c r="H26" i="7"/>
  <c r="F3" i="19" l="1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C34" i="16" l="1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14" i="15" l="1"/>
  <c r="E15" i="15"/>
  <c r="E16" i="15"/>
  <c r="E17" i="15"/>
  <c r="E13" i="15"/>
  <c r="C13" i="15"/>
  <c r="C14" i="15"/>
  <c r="C15" i="15"/>
  <c r="C16" i="15"/>
  <c r="C17" i="15"/>
  <c r="F32" i="4" l="1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2" i="5"/>
  <c r="F11" i="5"/>
  <c r="F10" i="5"/>
  <c r="F9" i="5"/>
  <c r="F8" i="5"/>
  <c r="F7" i="5"/>
  <c r="F6" i="5"/>
  <c r="F5" i="5"/>
  <c r="F4" i="5"/>
  <c r="F3" i="5"/>
  <c r="F2" i="5"/>
  <c r="F3" i="13" l="1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J12" i="2" l="1"/>
  <c r="J10" i="2"/>
  <c r="J9" i="2"/>
  <c r="J8" i="2"/>
  <c r="K9" i="2"/>
  <c r="K10" i="2"/>
  <c r="J11" i="2"/>
  <c r="K12" i="2"/>
  <c r="K11" i="2"/>
  <c r="K8" i="2"/>
  <c r="E2" i="1"/>
  <c r="G2" i="18"/>
  <c r="H13" i="18"/>
  <c r="G13" i="18"/>
  <c r="G3" i="18"/>
  <c r="H3" i="18"/>
  <c r="G4" i="18"/>
  <c r="H4" i="18"/>
  <c r="G5" i="18"/>
  <c r="H5" i="18"/>
  <c r="G6" i="18"/>
  <c r="H6" i="18"/>
  <c r="G7" i="18"/>
  <c r="H7" i="18"/>
  <c r="G8" i="18"/>
  <c r="H8" i="18"/>
  <c r="G9" i="18"/>
  <c r="H9" i="18"/>
  <c r="G10" i="18"/>
  <c r="H10" i="18"/>
  <c r="G11" i="18"/>
  <c r="H11" i="18"/>
  <c r="G12" i="18"/>
  <c r="H12" i="18"/>
  <c r="H2" i="18"/>
  <c r="E19" i="1"/>
  <c r="B2" i="15"/>
  <c r="B3" i="15"/>
  <c r="B4" i="15"/>
  <c r="B5" i="15"/>
  <c r="B6" i="15"/>
  <c r="H18" i="7"/>
  <c r="H15" i="7"/>
  <c r="H10" i="7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N21" i="18" l="1"/>
  <c r="N22" i="18"/>
  <c r="N23" i="18"/>
  <c r="N24" i="18"/>
  <c r="N25" i="18"/>
  <c r="N20" i="18"/>
  <c r="N15" i="18"/>
  <c r="N16" i="18"/>
  <c r="N17" i="18"/>
  <c r="N18" i="18"/>
  <c r="N19" i="18"/>
  <c r="N14" i="18"/>
  <c r="L9" i="18"/>
  <c r="L10" i="18"/>
  <c r="L11" i="18"/>
  <c r="L12" i="18"/>
  <c r="L13" i="18"/>
  <c r="L8" i="18"/>
  <c r="L3" i="18"/>
  <c r="L4" i="18"/>
  <c r="L5" i="18"/>
  <c r="L6" i="18"/>
  <c r="L7" i="18"/>
  <c r="L2" i="18"/>
  <c r="B7" i="15" l="1"/>
  <c r="F129" i="14" l="1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28" i="14"/>
  <c r="F6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33" i="14"/>
  <c r="G38" i="12" l="1"/>
  <c r="E53" i="12"/>
  <c r="E54" i="12"/>
  <c r="E55" i="12"/>
  <c r="E50" i="12"/>
  <c r="E51" i="12"/>
  <c r="E52" i="12"/>
  <c r="E39" i="12"/>
  <c r="G39" i="12"/>
  <c r="E40" i="12"/>
  <c r="E41" i="12"/>
  <c r="E42" i="12"/>
  <c r="E43" i="12"/>
  <c r="G43" i="12"/>
  <c r="E44" i="12"/>
  <c r="G44" i="12"/>
  <c r="E45" i="12"/>
  <c r="E46" i="12"/>
  <c r="E47" i="12"/>
  <c r="E48" i="12"/>
  <c r="E49" i="12"/>
  <c r="E38" i="12"/>
  <c r="G21" i="12"/>
  <c r="G23" i="12"/>
  <c r="G31" i="12"/>
  <c r="G33" i="12"/>
  <c r="G35" i="12"/>
  <c r="G36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20" i="12"/>
  <c r="G2" i="12"/>
  <c r="M39" i="12"/>
  <c r="M40" i="12"/>
  <c r="G40" i="12" s="1"/>
  <c r="M41" i="12"/>
  <c r="G41" i="12" s="1"/>
  <c r="M42" i="12"/>
  <c r="G42" i="12" s="1"/>
  <c r="M43" i="12"/>
  <c r="M44" i="12"/>
  <c r="M45" i="12"/>
  <c r="G45" i="12" s="1"/>
  <c r="M46" i="12"/>
  <c r="G46" i="12" s="1"/>
  <c r="M47" i="12"/>
  <c r="G47" i="12" s="1"/>
  <c r="M48" i="12"/>
  <c r="G48" i="12" s="1"/>
  <c r="M49" i="12"/>
  <c r="G49" i="12" s="1"/>
  <c r="M50" i="12"/>
  <c r="G50" i="12" s="1"/>
  <c r="M51" i="12"/>
  <c r="G51" i="12" s="1"/>
  <c r="M52" i="12"/>
  <c r="G52" i="12" s="1"/>
  <c r="M53" i="12"/>
  <c r="G53" i="12" s="1"/>
  <c r="M54" i="12"/>
  <c r="G54" i="12" s="1"/>
  <c r="M55" i="12"/>
  <c r="G55" i="12" s="1"/>
  <c r="M38" i="12"/>
  <c r="J21" i="12"/>
  <c r="J22" i="12"/>
  <c r="G22" i="12" s="1"/>
  <c r="J23" i="12"/>
  <c r="J24" i="12"/>
  <c r="G24" i="12" s="1"/>
  <c r="J25" i="12"/>
  <c r="G25" i="12" s="1"/>
  <c r="J26" i="12"/>
  <c r="G26" i="12" s="1"/>
  <c r="J27" i="12"/>
  <c r="G27" i="12" s="1"/>
  <c r="J28" i="12"/>
  <c r="G28" i="12" s="1"/>
  <c r="J29" i="12"/>
  <c r="G29" i="12" s="1"/>
  <c r="J30" i="12"/>
  <c r="G30" i="12" s="1"/>
  <c r="J31" i="12"/>
  <c r="J32" i="12"/>
  <c r="G32" i="12" s="1"/>
  <c r="J33" i="12"/>
  <c r="J34" i="12"/>
  <c r="G34" i="12" s="1"/>
  <c r="J35" i="12"/>
  <c r="J36" i="12"/>
  <c r="J37" i="12"/>
  <c r="G37" i="12" s="1"/>
  <c r="J20" i="12"/>
  <c r="G20" i="12" s="1"/>
  <c r="G19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H2" i="7" l="1"/>
  <c r="H3" i="7"/>
  <c r="H4" i="7"/>
  <c r="H5" i="7"/>
  <c r="H6" i="7"/>
  <c r="H7" i="7"/>
  <c r="H8" i="7"/>
  <c r="H9" i="7"/>
  <c r="H11" i="7"/>
  <c r="H19" i="7"/>
  <c r="H20" i="7"/>
  <c r="H21" i="7"/>
  <c r="H22" i="7"/>
  <c r="H23" i="7"/>
  <c r="H24" i="7"/>
  <c r="H12" i="7"/>
  <c r="H13" i="7"/>
  <c r="H14" i="7"/>
  <c r="H16" i="7"/>
  <c r="H17" i="7"/>
  <c r="H8" i="10"/>
  <c r="D8" i="10" s="1"/>
  <c r="H9" i="10"/>
  <c r="D9" i="10" s="1"/>
  <c r="H10" i="10"/>
  <c r="D10" i="10" s="1"/>
  <c r="H11" i="10"/>
  <c r="D11" i="10" s="1"/>
  <c r="H12" i="10"/>
  <c r="D12" i="10" s="1"/>
  <c r="H13" i="10"/>
  <c r="D13" i="10" s="1"/>
  <c r="I3" i="10"/>
  <c r="I4" i="10"/>
  <c r="I5" i="10"/>
  <c r="I6" i="10"/>
  <c r="I7" i="10"/>
  <c r="I2" i="10"/>
  <c r="H2" i="10"/>
  <c r="J2" i="10" s="1"/>
  <c r="H3" i="10"/>
  <c r="J3" i="10" s="1"/>
  <c r="H4" i="10"/>
  <c r="J4" i="10" s="1"/>
  <c r="H5" i="10"/>
  <c r="J5" i="10" s="1"/>
  <c r="H6" i="10"/>
  <c r="J6" i="10" s="1"/>
  <c r="H7" i="10"/>
  <c r="J7" i="10" s="1"/>
  <c r="G2" i="2" l="1"/>
  <c r="H2" i="2"/>
  <c r="G3" i="2"/>
  <c r="H3" i="2"/>
  <c r="G4" i="2"/>
  <c r="H4" i="2"/>
  <c r="G5" i="2"/>
  <c r="H5" i="2"/>
  <c r="G6" i="2"/>
  <c r="H6" i="2"/>
  <c r="R11" i="2"/>
  <c r="R9" i="2"/>
  <c r="S9" i="2"/>
  <c r="R10" i="2"/>
  <c r="S10" i="2"/>
  <c r="S11" i="2"/>
  <c r="R12" i="2"/>
  <c r="S12" i="2"/>
  <c r="S8" i="2"/>
  <c r="R8" i="2"/>
  <c r="I3" i="2" l="1"/>
  <c r="I2" i="2"/>
  <c r="T11" i="2"/>
  <c r="I6" i="2"/>
  <c r="I5" i="2"/>
  <c r="T12" i="2"/>
  <c r="T9" i="2"/>
  <c r="T8" i="2"/>
  <c r="T10" i="2"/>
  <c r="I4" i="2"/>
</calcChain>
</file>

<file path=xl/sharedStrings.xml><?xml version="1.0" encoding="utf-8"?>
<sst xmlns="http://schemas.openxmlformats.org/spreadsheetml/2006/main" count="4767" uniqueCount="323">
  <si>
    <t>Time [h]</t>
  </si>
  <si>
    <t>Concentration [mU/L]</t>
  </si>
  <si>
    <t>Group</t>
  </si>
  <si>
    <t>Samuels1993_Triangles</t>
  </si>
  <si>
    <t>Samuels1993_Diamonds</t>
  </si>
  <si>
    <t>Samuels1994_Circles</t>
  </si>
  <si>
    <t>Blakesley2004_Rectangles</t>
  </si>
  <si>
    <t>Concentration [ng/mL]</t>
  </si>
  <si>
    <t>IV_70ng100g_125T3_Rat_T3</t>
  </si>
  <si>
    <t>IV_70ng100g_125T3_Rat_TSH</t>
  </si>
  <si>
    <t>ERROR  [ng/mL]</t>
  </si>
  <si>
    <t>?</t>
  </si>
  <si>
    <t>IV_5ng_125T3_Rat_125T3</t>
  </si>
  <si>
    <t>Concentration [%Dose/mL]</t>
  </si>
  <si>
    <t>Time [min]</t>
  </si>
  <si>
    <t>IV_13.6ng_125T4_Rat_125T4</t>
  </si>
  <si>
    <t>Time [day(s)]</t>
  </si>
  <si>
    <r>
      <t>Concentration [</t>
    </r>
    <r>
      <rPr>
        <sz val="11"/>
        <color theme="1"/>
        <rFont val="Calibri"/>
        <family val="2"/>
      </rPr>
      <t>ng</t>
    </r>
    <r>
      <rPr>
        <sz val="11"/>
        <color theme="1"/>
        <rFont val="Calibri"/>
        <family val="2"/>
        <scheme val="minor"/>
      </rPr>
      <t>/mL]</t>
    </r>
  </si>
  <si>
    <t>Mean [µg/dL]</t>
  </si>
  <si>
    <t>Max [µg/dL]</t>
  </si>
  <si>
    <t>Differenz</t>
  </si>
  <si>
    <t>unit --&gt;x10</t>
  </si>
  <si>
    <t>unit --&gt;x11</t>
  </si>
  <si>
    <t>Concentration [ng/dL]</t>
  </si>
  <si>
    <t>Max [ng/mL]</t>
  </si>
  <si>
    <r>
      <t>Concentration [n</t>
    </r>
    <r>
      <rPr>
        <sz val="11"/>
        <color theme="1"/>
        <rFont val="Calibri"/>
        <family val="2"/>
      </rPr>
      <t>g</t>
    </r>
    <r>
      <rPr>
        <sz val="11"/>
        <color theme="1"/>
        <rFont val="Calibri"/>
        <family val="2"/>
        <scheme val="minor"/>
      </rPr>
      <t>/mL]</t>
    </r>
  </si>
  <si>
    <r>
      <t>Concentration [</t>
    </r>
    <r>
      <rPr>
        <sz val="11"/>
        <color theme="0" tint="-0.499984740745262"/>
        <rFont val="Calibri"/>
        <family val="2"/>
      </rPr>
      <t>µg</t>
    </r>
    <r>
      <rPr>
        <sz val="11"/>
        <color theme="0" tint="-0.499984740745262"/>
        <rFont val="Calibri"/>
        <family val="2"/>
        <scheme val="minor"/>
      </rPr>
      <t>/dL]</t>
    </r>
  </si>
  <si>
    <r>
      <t>Concentration [</t>
    </r>
    <r>
      <rPr>
        <sz val="11"/>
        <color theme="0" tint="-0.499984740745262"/>
        <rFont val="Calibri"/>
        <family val="2"/>
      </rPr>
      <t>ng</t>
    </r>
    <r>
      <rPr>
        <sz val="11"/>
        <color theme="0" tint="-0.499984740745262"/>
        <rFont val="Calibri"/>
        <family val="2"/>
        <scheme val="minor"/>
      </rPr>
      <t>/dL]</t>
    </r>
  </si>
  <si>
    <r>
      <t>Concentration [n</t>
    </r>
    <r>
      <rPr>
        <sz val="11"/>
        <color theme="0" tint="-0.499984740745262"/>
        <rFont val="Calibri"/>
        <family val="2"/>
      </rPr>
      <t>g</t>
    </r>
    <r>
      <rPr>
        <sz val="11"/>
        <color theme="0" tint="-0.499984740745262"/>
        <rFont val="Calibri"/>
        <family val="2"/>
        <scheme val="minor"/>
      </rPr>
      <t>/mL]</t>
    </r>
  </si>
  <si>
    <r>
      <t>Concentration [</t>
    </r>
    <r>
      <rPr>
        <sz val="11"/>
        <color theme="0" tint="-0.499984740745262"/>
        <rFont val="Calibri"/>
        <family val="2"/>
      </rPr>
      <t>µg</t>
    </r>
    <r>
      <rPr>
        <sz val="11"/>
        <color theme="0" tint="-0.499984740745262"/>
        <rFont val="Calibri"/>
        <family val="2"/>
        <scheme val="minor"/>
      </rPr>
      <t>/mL]</t>
    </r>
  </si>
  <si>
    <t>Concentration [µg/thyroid]</t>
  </si>
  <si>
    <t>Concentration [%]</t>
  </si>
  <si>
    <t>PO___0mgkg_TCS_RatW_day31T4</t>
  </si>
  <si>
    <t>PO___3mgkg_TCS_RatW_day31T4</t>
  </si>
  <si>
    <t>PO__30mgkg_TCS_RatW_day31T4</t>
  </si>
  <si>
    <t>PO_100mgkg_TCS_RatW_day31T4</t>
  </si>
  <si>
    <t>PO_200mgkg_TCS_RatW_day31T4</t>
  </si>
  <si>
    <t>PO_300mgkg_TCS_RatW_day31T4</t>
  </si>
  <si>
    <t>PO___0mgkg_TCS_RatW_day31T3</t>
  </si>
  <si>
    <t>PO___3mgkg_TCS_RatW_day31T3</t>
  </si>
  <si>
    <t>PO__30mgkg_TCS_RatW_day31T3</t>
  </si>
  <si>
    <t>PO_100mgkg_TCS_RatW_day31T3</t>
  </si>
  <si>
    <t>PO_200mgkg_TCS_RatW_day31T3</t>
  </si>
  <si>
    <t>PO_300mgkg_TCS_RatW_day31T3</t>
  </si>
  <si>
    <t>PO____0mgkg_TCS_RatLE_day4T4</t>
  </si>
  <si>
    <t>PO___10mgkg_TCS_RatLE_day4T4</t>
  </si>
  <si>
    <t>PO___30mgkg_TCS_RatLE_day4T4</t>
  </si>
  <si>
    <t>PO__100mgkg_TCS_RatLE_day4T4</t>
  </si>
  <si>
    <t>PO__300mgkg_TCS_RatLE_day4T4</t>
  </si>
  <si>
    <t>PO_1000mgkg_TCS_RatLE_day4T4</t>
  </si>
  <si>
    <t>PO____0mgkg_TCS_RatLE_day4T3</t>
  </si>
  <si>
    <t>PO___30mgkg_TCS_RatLE_day4T3</t>
  </si>
  <si>
    <t>PO__100mgkg_TCS_RatLE_day4T3</t>
  </si>
  <si>
    <t>PO__300mgkg_TCS_RatLE_day4T3</t>
  </si>
  <si>
    <t>PO_1000mgkg_TCS_RatLE_day4T3</t>
  </si>
  <si>
    <t>PO_300mgkgd_DMP904_RatW_T4</t>
  </si>
  <si>
    <t>PO_200mgkgd_PTU_RatW_T4</t>
  </si>
  <si>
    <t>PO_control_RatW_T4</t>
  </si>
  <si>
    <t>time [day(s)]</t>
  </si>
  <si>
    <r>
      <t>Concentration [</t>
    </r>
    <r>
      <rPr>
        <sz val="11"/>
        <color theme="1"/>
        <rFont val="Calibri"/>
        <family val="2"/>
      </rPr>
      <t>ng</t>
    </r>
    <r>
      <rPr>
        <sz val="11"/>
        <color theme="1"/>
        <rFont val="Calibri"/>
        <family val="2"/>
        <scheme val="minor"/>
      </rPr>
      <t>/mL]</t>
    </r>
  </si>
  <si>
    <t>PO_control_RatW_TSH</t>
  </si>
  <si>
    <t>PO_200mgkgd_PTU_RatW_TSH</t>
  </si>
  <si>
    <t>PO_300mgkgd_DMP904_RatW_TSH</t>
  </si>
  <si>
    <t>PO_control_RatW_T3</t>
  </si>
  <si>
    <t>PO_200mgkgd_PTU_RatW_T3</t>
  </si>
  <si>
    <t>PO_300mgkgd_DMP904_RatW_T3</t>
  </si>
  <si>
    <t>DeltaERROR [ng/mL]</t>
  </si>
  <si>
    <t>DeltaERROR [µg/dL]</t>
  </si>
  <si>
    <t>ERROR [ng/mL]</t>
  </si>
  <si>
    <r>
      <t>Concentration [</t>
    </r>
    <r>
      <rPr>
        <sz val="11"/>
        <color theme="0" tint="-0.34998626667073579"/>
        <rFont val="Calibri"/>
        <family val="2"/>
      </rPr>
      <t>ng</t>
    </r>
    <r>
      <rPr>
        <sz val="11"/>
        <color theme="0" tint="-0.34998626667073579"/>
        <rFont val="Calibri"/>
        <family val="2"/>
        <scheme val="minor"/>
      </rPr>
      <t>/dL]</t>
    </r>
  </si>
  <si>
    <r>
      <t>Concentration [</t>
    </r>
    <r>
      <rPr>
        <sz val="11"/>
        <color theme="0" tint="-0.34998626667073579"/>
        <rFont val="Calibri"/>
        <family val="2"/>
      </rPr>
      <t>µg</t>
    </r>
    <r>
      <rPr>
        <sz val="11"/>
        <color theme="0" tint="-0.34998626667073579"/>
        <rFont val="Calibri"/>
        <family val="2"/>
        <scheme val="minor"/>
      </rPr>
      <t>/dL]</t>
    </r>
  </si>
  <si>
    <r>
      <t>Concentration [</t>
    </r>
    <r>
      <rPr>
        <sz val="11"/>
        <color theme="0" tint="-0.34998626667073579"/>
        <rFont val="Calibri"/>
        <family val="2"/>
      </rPr>
      <t>ng</t>
    </r>
    <r>
      <rPr>
        <sz val="11"/>
        <color theme="0" tint="-0.34998626667073579"/>
        <rFont val="Calibri"/>
        <family val="2"/>
        <scheme val="minor"/>
      </rPr>
      <t>/mL]</t>
    </r>
  </si>
  <si>
    <t>DeltaERROR [ng/dL]</t>
  </si>
  <si>
    <r>
      <t>plusERROR [</t>
    </r>
    <r>
      <rPr>
        <sz val="11"/>
        <color theme="0" tint="-0.34998626667073579"/>
        <rFont val="Calibri"/>
        <family val="2"/>
      </rPr>
      <t>ng</t>
    </r>
    <r>
      <rPr>
        <sz val="11"/>
        <color theme="0" tint="-0.34998626667073579"/>
        <rFont val="Calibri"/>
        <family val="2"/>
        <scheme val="minor"/>
      </rPr>
      <t>/mL]</t>
    </r>
  </si>
  <si>
    <r>
      <t>plusERROR [</t>
    </r>
    <r>
      <rPr>
        <sz val="11"/>
        <color theme="0" tint="-0.34998626667073579"/>
        <rFont val="Calibri"/>
        <family val="2"/>
      </rPr>
      <t>ng</t>
    </r>
    <r>
      <rPr>
        <sz val="11"/>
        <color theme="0" tint="-0.34998626667073579"/>
        <rFont val="Calibri"/>
        <family val="2"/>
        <scheme val="minor"/>
      </rPr>
      <t>/dL]</t>
    </r>
  </si>
  <si>
    <r>
      <t>plusERROR [</t>
    </r>
    <r>
      <rPr>
        <sz val="11"/>
        <color theme="0" tint="-0.34998626667073579"/>
        <rFont val="Calibri"/>
        <family val="2"/>
      </rPr>
      <t>µg</t>
    </r>
    <r>
      <rPr>
        <sz val="11"/>
        <color theme="0" tint="-0.34998626667073579"/>
        <rFont val="Calibri"/>
        <family val="2"/>
        <scheme val="minor"/>
      </rPr>
      <t>/dL]</t>
    </r>
  </si>
  <si>
    <t>IV_170ng125T4-86ng131T3_Human_125T4</t>
  </si>
  <si>
    <t>%inject/L</t>
  </si>
  <si>
    <t>IV_170ng125T4-86ng131T3_Human_131T3</t>
  </si>
  <si>
    <t>IV_170ng125T4-86ng131T3_Human_125T3</t>
  </si>
  <si>
    <t>time [h]</t>
  </si>
  <si>
    <t>IV_400ugT4_Human_T3</t>
  </si>
  <si>
    <t>IV_400ugT4_Human_T4</t>
  </si>
  <si>
    <t>IV_400ugT4_Human_TSH</t>
  </si>
  <si>
    <t>IV_600ugT4_Human_T3</t>
  </si>
  <si>
    <t>IV_600ugT4_Human_T4</t>
  </si>
  <si>
    <t>IV_600ugT4_Human_TSH</t>
  </si>
  <si>
    <t>Concentration [μmoles]</t>
  </si>
  <si>
    <r>
      <t>Concentration [</t>
    </r>
    <r>
      <rPr>
        <sz val="11"/>
        <color theme="1"/>
        <rFont val="Calibri"/>
        <family val="2"/>
      </rPr>
      <t>ng/mL</t>
    </r>
    <r>
      <rPr>
        <sz val="11"/>
        <color theme="1"/>
        <rFont val="Calibri"/>
        <family val="2"/>
        <scheme val="minor"/>
      </rPr>
      <t>]</t>
    </r>
  </si>
  <si>
    <r>
      <t>Concentration [</t>
    </r>
    <r>
      <rPr>
        <sz val="11"/>
        <color theme="0" tint="-0.499984740745262"/>
        <rFont val="Calibri"/>
        <family val="2"/>
      </rPr>
      <t>ug/dL</t>
    </r>
    <r>
      <rPr>
        <sz val="11"/>
        <color theme="0" tint="-0.499984740745262"/>
        <rFont val="Calibri"/>
        <family val="2"/>
        <scheme val="minor"/>
      </rPr>
      <t>]</t>
    </r>
  </si>
  <si>
    <r>
      <t>Concentration [</t>
    </r>
    <r>
      <rPr>
        <sz val="11"/>
        <color theme="0" tint="-0.499984740745262"/>
        <rFont val="Calibri"/>
        <family val="2"/>
      </rPr>
      <t>ng/mL</t>
    </r>
    <r>
      <rPr>
        <sz val="11"/>
        <color theme="0" tint="-0.499984740745262"/>
        <rFont val="Calibri"/>
        <family val="2"/>
        <scheme val="minor"/>
      </rPr>
      <t>]</t>
    </r>
  </si>
  <si>
    <t>ERROR PBI [%]</t>
  </si>
  <si>
    <t>Intrathyroid PBI [%]</t>
  </si>
  <si>
    <r>
      <t>Serum T4 [</t>
    </r>
    <r>
      <rPr>
        <sz val="11"/>
        <color theme="1"/>
        <rFont val="Calibri"/>
        <family val="2"/>
      </rPr>
      <t>µg/dl</t>
    </r>
    <r>
      <rPr>
        <sz val="11"/>
        <color theme="1"/>
        <rFont val="Calibri"/>
        <family val="2"/>
        <scheme val="minor"/>
      </rPr>
      <t>]</t>
    </r>
  </si>
  <si>
    <t>ERROR T4  [µg/dl]</t>
  </si>
  <si>
    <r>
      <t>Serum T3 [</t>
    </r>
    <r>
      <rPr>
        <sz val="11"/>
        <color theme="1"/>
        <rFont val="Calibri"/>
        <family val="2"/>
      </rPr>
      <t>ng/dl</t>
    </r>
    <r>
      <rPr>
        <sz val="11"/>
        <color theme="1"/>
        <rFont val="Calibri"/>
        <family val="2"/>
        <scheme val="minor"/>
      </rPr>
      <t>]</t>
    </r>
  </si>
  <si>
    <t>ERROR T3  [ng/dl]</t>
  </si>
  <si>
    <r>
      <t>Serum TSH [</t>
    </r>
    <r>
      <rPr>
        <sz val="11"/>
        <color theme="1"/>
        <rFont val="Calibri"/>
        <family val="2"/>
      </rPr>
      <t>ng/ml</t>
    </r>
    <r>
      <rPr>
        <sz val="11"/>
        <color theme="1"/>
        <rFont val="Calibri"/>
        <family val="2"/>
        <scheme val="minor"/>
      </rPr>
      <t>]</t>
    </r>
  </si>
  <si>
    <t>ERROR TSH  [ng/ml]</t>
  </si>
  <si>
    <r>
      <t>Serum PTU [</t>
    </r>
    <r>
      <rPr>
        <sz val="11"/>
        <color theme="1"/>
        <rFont val="Calibri"/>
        <family val="2"/>
      </rPr>
      <t>µg/mL</t>
    </r>
    <r>
      <rPr>
        <sz val="11"/>
        <color theme="1"/>
        <rFont val="Calibri"/>
        <family val="2"/>
        <scheme val="minor"/>
      </rPr>
      <t>]</t>
    </r>
  </si>
  <si>
    <t>ERROR sPTU  [µg/mL]</t>
  </si>
  <si>
    <r>
      <t>Throid PTU [</t>
    </r>
    <r>
      <rPr>
        <sz val="11"/>
        <color theme="1"/>
        <rFont val="Calibri"/>
        <family val="2"/>
      </rPr>
      <t>µg/gland</t>
    </r>
    <r>
      <rPr>
        <sz val="11"/>
        <color theme="1"/>
        <rFont val="Calibri"/>
        <family val="2"/>
        <scheme val="minor"/>
      </rPr>
      <t>]</t>
    </r>
  </si>
  <si>
    <t>ERROR tPTU  [µg/gland]</t>
  </si>
  <si>
    <r>
      <t>Dose [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g/d] (25mL/d; 10mL/100g rat)</t>
    </r>
  </si>
  <si>
    <t>% of drink water</t>
  </si>
  <si>
    <t>PO_75ugT3_Human_T3</t>
  </si>
  <si>
    <t>PO_75ugT3_Human_TSH</t>
  </si>
  <si>
    <t>Concentration [umoles]</t>
  </si>
  <si>
    <t>Concentration [mlU/L]</t>
  </si>
  <si>
    <t>ERROR [mlU/L]</t>
  </si>
  <si>
    <t>Top Error bar [mlU/L]</t>
  </si>
  <si>
    <t>DeltaMeanTop</t>
  </si>
  <si>
    <t>PO_325mgMPOIN1_Human_TSH</t>
  </si>
  <si>
    <t>PO_150mgMPOIN1_Human_TSH</t>
  </si>
  <si>
    <t>PO_325mgMPOIN1_Human_T4</t>
  </si>
  <si>
    <t>Concentration [nmol/L]</t>
  </si>
  <si>
    <t>ERROR [nmol/L]</t>
  </si>
  <si>
    <t>Top Error bar [nmol/L]</t>
  </si>
  <si>
    <t>PO_125mgMPOIN1_Human_T4</t>
  </si>
  <si>
    <t>ERROR  [%]</t>
  </si>
  <si>
    <t>From   [ng/mL]</t>
  </si>
  <si>
    <t>To  [ng/mL]</t>
  </si>
  <si>
    <t>DeltaFrom   [ng/mL]</t>
  </si>
  <si>
    <t>DeltaTo  [ng/mL]</t>
  </si>
  <si>
    <t>Max  [ng/mL]</t>
  </si>
  <si>
    <t>From    [%]</t>
  </si>
  <si>
    <t>To   [%]</t>
  </si>
  <si>
    <t xml:space="preserve">DeltaFrom   [%] </t>
  </si>
  <si>
    <t>DeltaTo   [%]</t>
  </si>
  <si>
    <t>Max   [%]</t>
  </si>
  <si>
    <t>uU/mL</t>
  </si>
  <si>
    <t>Baseline:</t>
  </si>
  <si>
    <t>ERROR  [uU/L]</t>
  </si>
  <si>
    <t>Dose [µg]</t>
  </si>
  <si>
    <t>Concentration [µg/L]</t>
  </si>
  <si>
    <t>Dose [ng]</t>
  </si>
  <si>
    <t>PO_12.5mg_PTU_Rat_PTUinThyroidtissue</t>
  </si>
  <si>
    <t>PO_12.5mg_PTU_Rat_T3</t>
  </si>
  <si>
    <t>PO_12.5mg_PTU_Rat_T4</t>
  </si>
  <si>
    <t>PO_12.5mg_PTU_Rat_PTUinPlasma</t>
  </si>
  <si>
    <t>PO___25ug_PTU_RatCD_day7state</t>
  </si>
  <si>
    <t>PO____0ug_PTU_RatCD_day7state</t>
  </si>
  <si>
    <t>PO__125ug_PTU_RatCD_day7state</t>
  </si>
  <si>
    <t>PO__250ug_PTU_RatCD_day7state</t>
  </si>
  <si>
    <t>PO_1250ug_PTU_RatCD_day7state</t>
  </si>
  <si>
    <t>Dose</t>
  </si>
  <si>
    <t>PO_2500ug_PTU_RatCD_day7state</t>
  </si>
  <si>
    <t>ug water/250g rat</t>
  </si>
  <si>
    <t>Volume Fraction</t>
  </si>
  <si>
    <t>PO_12.5mgPTU_RatCD_1WeekStartOfEnd_plPTU</t>
  </si>
  <si>
    <t>PO_12.5mgPTU_RatCD_1MonthStartOfEnd_plPTU</t>
  </si>
  <si>
    <t>PO_12.5mgPTU_RatCD_1WeekStartOfEnd_tyPTU</t>
  </si>
  <si>
    <t>PO_12.5mgPTU_RatCD_1MonthStartOfEnd_tyPTU</t>
  </si>
  <si>
    <t>Concentration [mg/mL thyroid]</t>
  </si>
  <si>
    <t>Concentration [mg/mL]</t>
  </si>
  <si>
    <t>Concentration [%Dose/L]</t>
  </si>
  <si>
    <t>Concentration [ng/L]</t>
  </si>
  <si>
    <t>PO_5mgkg_TCS_Rat_TCSblood</t>
  </si>
  <si>
    <t>IV_83.3ng_125T4_Human_125T4</t>
  </si>
  <si>
    <t>IV_83.3ng_125T4_Human_125T3</t>
  </si>
  <si>
    <t>IV_71.4ng_131T3_Human_131T4</t>
  </si>
  <si>
    <t>IV_71.4ng_131T3_Human_131T3</t>
  </si>
  <si>
    <t>Concentration [% Injected Dose/Liter]</t>
  </si>
  <si>
    <t>plusERROR [% Injected Dose/Liter]</t>
  </si>
  <si>
    <t>DeltaERROR [% Injected Dose/Liter]</t>
  </si>
  <si>
    <t>IV_16.6ng_125T4_Human_125T4</t>
  </si>
  <si>
    <t>Concentration [ng/Liter]</t>
  </si>
  <si>
    <t>ERROR [ng/L]</t>
  </si>
  <si>
    <t>DeltaERROR [ng/Liter]</t>
  </si>
  <si>
    <t>IV_14.3ng_131T3_Human_131T3</t>
  </si>
  <si>
    <t>IV_Rat_T3-baseline</t>
  </si>
  <si>
    <t>IV_Rat_T4-baseline</t>
  </si>
  <si>
    <t>IV_Rat_TSH-baseline</t>
  </si>
  <si>
    <t>IV_70ng100g_125T3_Rat_T3_nuclear</t>
  </si>
  <si>
    <t>Study Id</t>
  </si>
  <si>
    <t>Patient Id</t>
  </si>
  <si>
    <t>Organ</t>
  </si>
  <si>
    <t>Compartment</t>
  </si>
  <si>
    <t>Species</t>
  </si>
  <si>
    <t>Gender</t>
  </si>
  <si>
    <t>Dose [unit]</t>
  </si>
  <si>
    <t>Molecule</t>
  </si>
  <si>
    <t>Route</t>
  </si>
  <si>
    <t>Group Id</t>
  </si>
  <si>
    <t>Sheet</t>
  </si>
  <si>
    <t>Source of data</t>
  </si>
  <si>
    <t>Edits</t>
  </si>
  <si>
    <t>Information</t>
  </si>
  <si>
    <r>
      <t xml:space="preserve">Larsen, P. R. &amp; Frumess, R. D. Comparison of the Biological Effects of Thyroxine and Triiodothyronine in the Rat. </t>
    </r>
    <r>
      <rPr>
        <b/>
        <sz val="11"/>
        <color theme="1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, 9 (1977).</t>
    </r>
  </si>
  <si>
    <t>Larsen_1977</t>
  </si>
  <si>
    <t>Thyroidectomized rats</t>
  </si>
  <si>
    <t>Figure 4</t>
  </si>
  <si>
    <t>VenousBlood</t>
  </si>
  <si>
    <t>Plasma</t>
  </si>
  <si>
    <t>Rat</t>
  </si>
  <si>
    <t>iv</t>
  </si>
  <si>
    <t>TSH</t>
  </si>
  <si>
    <t>µU/ml</t>
  </si>
  <si>
    <t>TSH concentration: mean basal concentration of 1200 µU/ml assumed</t>
  </si>
  <si>
    <t>Concentration (mass) [ng/ml]</t>
  </si>
  <si>
    <r>
      <rPr>
        <sz val="11"/>
        <color rgb="FFFF0000"/>
        <rFont val="Calibri"/>
        <family val="2"/>
        <scheme val="minor"/>
      </rPr>
      <t>Error [ng/ml</t>
    </r>
    <r>
      <rPr>
        <sz val="11"/>
        <color rgb="FF000000"/>
        <rFont val="Calibri"/>
        <family val="2"/>
        <scheme val="minor"/>
      </rPr>
      <t>]</t>
    </r>
  </si>
  <si>
    <t>Converstion from µU/ml to ng/ml: (( µU/ml + 0.9137 )/50.31)^1.35</t>
  </si>
  <si>
    <t>70 [ng/100g] T3</t>
  </si>
  <si>
    <t>800 [ng/100g] T4</t>
  </si>
  <si>
    <t>T3 concentrations from ng/100ml to ng/ml: ng/100ml /100</t>
  </si>
  <si>
    <t>T3</t>
  </si>
  <si>
    <t>T4</t>
  </si>
  <si>
    <t>800 [ng/100g] T4 = 8000 ng / kg bw</t>
  </si>
  <si>
    <t>TSH_T4_admin</t>
  </si>
  <si>
    <t>TSH_T3_admin</t>
  </si>
  <si>
    <t>T3_T4_admin</t>
  </si>
  <si>
    <t>T3_T3_admin</t>
  </si>
  <si>
    <t>T4_T4_admin</t>
  </si>
  <si>
    <t>70 [ng/100g] T3 = 700 ng/kg bw</t>
  </si>
  <si>
    <t>T4 conversion from µg/100ml to ng/ml: µg/100ml / 100 *1e3</t>
  </si>
  <si>
    <t>Kampmann_1975</t>
  </si>
  <si>
    <r>
      <t xml:space="preserve">Kampmann, J. &amp; Skovsted, L. The Kinetics of Propylthiouracil in Hyperthyroidism. </t>
    </r>
    <r>
      <rPr>
        <i/>
        <sz val="11"/>
        <color theme="1"/>
        <rFont val="Calibri"/>
        <family val="2"/>
        <scheme val="minor"/>
      </rPr>
      <t>Acta Pharmacologica et Toxicologica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37</t>
    </r>
    <r>
      <rPr>
        <sz val="11"/>
        <color theme="1"/>
        <rFont val="Calibri"/>
        <family val="2"/>
        <scheme val="minor"/>
      </rPr>
      <t>, 201–210 (2009).</t>
    </r>
  </si>
  <si>
    <t>PeripheralVenousBlood</t>
  </si>
  <si>
    <t>Human</t>
  </si>
  <si>
    <t>PTU</t>
  </si>
  <si>
    <t>400 [mg] PTU</t>
  </si>
  <si>
    <r>
      <rPr>
        <sz val="11"/>
        <color rgb="FFFF0000"/>
        <rFont val="Calibri"/>
        <family val="2"/>
        <scheme val="minor"/>
      </rPr>
      <t>Error [µg/ml</t>
    </r>
    <r>
      <rPr>
        <sz val="11"/>
        <color rgb="FF000000"/>
        <rFont val="Calibri"/>
        <family val="2"/>
        <scheme val="minor"/>
      </rPr>
      <t>]</t>
    </r>
  </si>
  <si>
    <t>Concentration (mass) [µg/ml]</t>
  </si>
  <si>
    <t>po</t>
  </si>
  <si>
    <t>Mendes_2014</t>
  </si>
  <si>
    <r>
      <t xml:space="preserve">Mendes, G. D.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Propylthiouracil quantification in human plasma by high-performance liquid chromatography coupled with electrospray tandem mass spectrometry: Application in a bioequivalence study. </t>
    </r>
    <r>
      <rPr>
        <i/>
        <sz val="11"/>
        <color theme="1"/>
        <rFont val="Calibri"/>
        <family val="2"/>
        <scheme val="minor"/>
      </rPr>
      <t>Journal of Chromatography B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969</t>
    </r>
    <r>
      <rPr>
        <sz val="11"/>
        <color theme="1"/>
        <rFont val="Calibri"/>
        <family val="2"/>
        <scheme val="minor"/>
      </rPr>
      <t>, 19–28 (2014).</t>
    </r>
  </si>
  <si>
    <t>100 [mg] PTU</t>
  </si>
  <si>
    <t>Fed state - administration 30 minutes after a standard high-fat breakfast</t>
  </si>
  <si>
    <t>fasted</t>
  </si>
  <si>
    <t>fed</t>
  </si>
  <si>
    <t>Time values shifted by +30 minutes for the food effect</t>
  </si>
  <si>
    <r>
      <t xml:space="preserve">Cooper, D. S.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Propylthiouracil (PTU) Pharmacology in the Rat,II. Effects of PTU on Thyroid Function*. </t>
    </r>
    <r>
      <rPr>
        <i/>
        <sz val="11"/>
        <color theme="1"/>
        <rFont val="Calibri"/>
        <family val="2"/>
        <scheme val="minor"/>
      </rPr>
      <t>Endocrinology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113</t>
    </r>
    <r>
      <rPr>
        <sz val="11"/>
        <color theme="1"/>
        <rFont val="Calibri"/>
        <family val="2"/>
        <scheme val="minor"/>
      </rPr>
      <t>, 921–928 (1983).</t>
    </r>
  </si>
  <si>
    <t>Cooper_1983</t>
  </si>
  <si>
    <r>
      <t xml:space="preserve">Leonard, J. A., Tan, Y.-M., Gilbert, M., Isaacs, K. &amp; El-Masri, H. Estimating Margin of Exposure to Thyroid Peroxidase Inhibitors Using High-Throughput </t>
    </r>
    <r>
      <rPr>
        <i/>
        <sz val="11"/>
        <color theme="1"/>
        <rFont val="Calibri"/>
        <family val="2"/>
        <scheme val="minor"/>
      </rPr>
      <t>in vitro</t>
    </r>
    <r>
      <rPr>
        <sz val="11"/>
        <color theme="1"/>
        <rFont val="Calibri"/>
        <family val="2"/>
        <scheme val="minor"/>
      </rPr>
      <t xml:space="preserve"> Data, High-Throughput Exposure Modeling, and Physiologically Based Pharmacokinetic/Pharmacodynamic Modeling. </t>
    </r>
    <r>
      <rPr>
        <i/>
        <sz val="11"/>
        <color theme="1"/>
        <rFont val="Calibri"/>
        <family val="2"/>
        <scheme val="minor"/>
      </rPr>
      <t>Toxicol. Sci.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151</t>
    </r>
    <r>
      <rPr>
        <sz val="11"/>
        <color theme="1"/>
        <rFont val="Calibri"/>
        <family val="2"/>
        <scheme val="minor"/>
      </rPr>
      <t>, 57–70 (2016).</t>
    </r>
  </si>
  <si>
    <t>Dosing from Leonard:  8.7e-6 g/min</t>
  </si>
  <si>
    <t>Wong_2005</t>
  </si>
  <si>
    <r>
      <t xml:space="preserve">Wong, H. Increased Hepatobiliary Clearance of Unconjugated Thyroxine Determines DMP 904-Induced Alterations in Thyroid Hormone Homeostasis in Rats. </t>
    </r>
    <r>
      <rPr>
        <i/>
        <sz val="11"/>
        <color theme="1"/>
        <rFont val="Calibri"/>
        <family val="2"/>
        <scheme val="minor"/>
      </rPr>
      <t>Toxicological Sciences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84</t>
    </r>
    <r>
      <rPr>
        <sz val="11"/>
        <color theme="1"/>
        <rFont val="Calibri"/>
        <family val="2"/>
        <scheme val="minor"/>
      </rPr>
      <t>, 232–242 (2005).</t>
    </r>
  </si>
  <si>
    <t>200 [mg/kg/day] PTU</t>
  </si>
  <si>
    <t>400 [mg/4x day] PTU</t>
  </si>
  <si>
    <t>Laurberg_2007</t>
  </si>
  <si>
    <t>T4 100% = 231 nmol/l</t>
  </si>
  <si>
    <t>T3 100% = 4 nmol/l</t>
  </si>
  <si>
    <t>Laurberg, P. et al. Sources of Circulating 3,5,3′-Triiodothyronine in Hyperthyroidism Estimated after Blocking of Type 1 and Type 2 Iodothyronine Deiodinases. The Journal of Clinical Endocrinology &amp; Metabolism 92, 2149–2156 (2007).</t>
  </si>
  <si>
    <t>Concentration (molar) [nmol/l]</t>
  </si>
  <si>
    <r>
      <rPr>
        <sz val="11"/>
        <color rgb="FFFF0000"/>
        <rFont val="Calibri"/>
        <family val="2"/>
        <scheme val="minor"/>
      </rPr>
      <t>Error [nmol/l</t>
    </r>
    <r>
      <rPr>
        <sz val="11"/>
        <color rgb="FF000000"/>
        <rFont val="Calibri"/>
        <family val="2"/>
        <scheme val="minor"/>
      </rPr>
      <t>]</t>
    </r>
  </si>
  <si>
    <t>Vhiclle</t>
  </si>
  <si>
    <t>Skellern_1973</t>
  </si>
  <si>
    <r>
      <t xml:space="preserve">Skellern, G. G., Stenlake, J. B. &amp; Williams, W. D. The Absorption, Distribution, Excretion and Metabolism of [2- 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C]Methimazole in Rat. </t>
    </r>
    <r>
      <rPr>
        <i/>
        <sz val="11"/>
        <color theme="1"/>
        <rFont val="Calibri"/>
        <family val="2"/>
        <scheme val="minor"/>
      </rPr>
      <t>Xenobiotica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121–132 (1973).</t>
    </r>
  </si>
  <si>
    <t>ip simulated as po</t>
  </si>
  <si>
    <t>m</t>
  </si>
  <si>
    <t>3.3 [mg/kg] MMI</t>
  </si>
  <si>
    <t>Perpetrator</t>
  </si>
  <si>
    <t>Concentration (mass) [mg/ml]</t>
  </si>
  <si>
    <t>Thyroid</t>
  </si>
  <si>
    <t>Tissue</t>
  </si>
  <si>
    <t>ip</t>
  </si>
  <si>
    <t>Okumara_1986</t>
  </si>
  <si>
    <r>
      <t xml:space="preserve">Okamura, Y., Shigemasa, C. &amp; Tatsuhara, T. Pharmacokinetics of methimazole in normal subjects and hyperthyroid patients. </t>
    </r>
    <r>
      <rPr>
        <i/>
        <sz val="11"/>
        <color theme="1"/>
        <rFont val="Calibri"/>
        <family val="2"/>
        <scheme val="minor"/>
      </rPr>
      <t>Endocrinol Japon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33</t>
    </r>
    <r>
      <rPr>
        <sz val="11"/>
        <color theme="1"/>
        <rFont val="Calibri"/>
        <family val="2"/>
        <scheme val="minor"/>
      </rPr>
      <t>, 605–615 (1986).</t>
    </r>
  </si>
  <si>
    <t>10 [mg]</t>
  </si>
  <si>
    <t>MMI</t>
  </si>
  <si>
    <t>0.0001 [%]</t>
  </si>
  <si>
    <t>0.0005 [%]</t>
  </si>
  <si>
    <t>0.001 [%]</t>
  </si>
  <si>
    <t>0.005 [%]</t>
  </si>
  <si>
    <t>0.01 [%]</t>
  </si>
  <si>
    <t>Error [µg/ml]</t>
  </si>
  <si>
    <t>original</t>
  </si>
  <si>
    <t>Normalized</t>
  </si>
  <si>
    <t>TotalDose</t>
  </si>
  <si>
    <t>Simulated</t>
  </si>
  <si>
    <t>0.05 [%]</t>
  </si>
  <si>
    <t>0.05 [5]</t>
  </si>
  <si>
    <t>10 [mg/4x day] MMI</t>
  </si>
  <si>
    <t>20 [mg] MMI 3xDaily</t>
  </si>
  <si>
    <t>30 [mg] MMI</t>
  </si>
  <si>
    <t>T4 µg/dl</t>
  </si>
  <si>
    <t>T4 nmol/l</t>
  </si>
  <si>
    <t>T3 ng/dl</t>
  </si>
  <si>
    <t>T3 nmol/l</t>
  </si>
  <si>
    <t>TSH µIU/ml</t>
  </si>
  <si>
    <t>TSH nmol/l</t>
  </si>
  <si>
    <t>30 [mg/kg] PB</t>
  </si>
  <si>
    <t>Phenobarbital</t>
  </si>
  <si>
    <t>50 [mg/kg] PB</t>
  </si>
  <si>
    <t>Liver</t>
  </si>
  <si>
    <t>2.6 [mg/kg] PB</t>
  </si>
  <si>
    <t>2.9 [mg/kg] PB</t>
  </si>
  <si>
    <t>Concentration (mass) [mg/l]</t>
  </si>
  <si>
    <t>control</t>
  </si>
  <si>
    <t>1 [µg/kg]T4</t>
  </si>
  <si>
    <t>treatment</t>
  </si>
  <si>
    <t>1 [µg/kg]T4 100mg/kg/day PB</t>
  </si>
  <si>
    <t>PB treatment</t>
  </si>
  <si>
    <t>T4_T4inf_placebo</t>
  </si>
  <si>
    <t>0.1 [µg] T4</t>
  </si>
  <si>
    <t>T4_T4inf_PB</t>
  </si>
  <si>
    <t>0.1 [µg] T4; 100 [mg/kg/day] PB</t>
  </si>
  <si>
    <t>DiStephano 1982</t>
  </si>
  <si>
    <t>Larsen 1977</t>
  </si>
  <si>
    <t>mg</t>
  </si>
  <si>
    <t>Michael 1989</t>
  </si>
  <si>
    <t>Error [%Dose/mL]</t>
  </si>
  <si>
    <t>Kato 2010</t>
  </si>
  <si>
    <t>Wong 2005</t>
  </si>
  <si>
    <t>Oppenheimer 1968</t>
  </si>
  <si>
    <t>Oppenheimer 1986</t>
  </si>
  <si>
    <t>Route of administration</t>
  </si>
  <si>
    <t>Simulated as</t>
  </si>
  <si>
    <t>Rat condition</t>
  </si>
  <si>
    <t>100 mg/kg ip once daily 5days</t>
  </si>
  <si>
    <t>100 mg/kg ip once daily 2days</t>
  </si>
  <si>
    <t>Healthy</t>
  </si>
  <si>
    <t>MMI_VB</t>
  </si>
  <si>
    <t>MMI_Thyroid</t>
  </si>
  <si>
    <t>MMI_iv</t>
  </si>
  <si>
    <t>MMI_po</t>
  </si>
  <si>
    <t>Concentration [µmol/l]</t>
  </si>
  <si>
    <t>PTU_plasma</t>
  </si>
  <si>
    <t>PTU_thyroid</t>
  </si>
  <si>
    <t>30 [mg/kg] PB VB</t>
  </si>
  <si>
    <t>50 [mg/kg] PB VB</t>
  </si>
  <si>
    <t>30 [mg/kg] PB Liv</t>
  </si>
  <si>
    <t>50 [mg/kg] PB Liv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</si>
</sst>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00"/>
    <numFmt numFmtId="167" formatCode="0.0"/>
  </numFmts>
  <fonts count="15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</font>
    <font>
      <sz val="11"/>
      <color theme="0" tint="-0.34998626667073579"/>
      <name val="Calibri"/>
      <family val="2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5" fillId="0" borderId="0" xfId="0" applyNumberFormat="1" applyFont="1"/>
    <xf numFmtId="164" fontId="0" fillId="0" borderId="0" xfId="0" applyNumberFormat="1"/>
    <xf numFmtId="165" fontId="5" fillId="0" borderId="0" xfId="0" applyNumberFormat="1" applyFont="1"/>
    <xf numFmtId="165" fontId="0" fillId="0" borderId="0" xfId="0" applyNumberFormat="1"/>
    <xf numFmtId="0" fontId="8" fillId="0" borderId="0" xfId="0" applyFont="1"/>
    <xf numFmtId="164" fontId="9" fillId="0" borderId="0" xfId="0" applyNumberFormat="1" applyFont="1"/>
    <xf numFmtId="164" fontId="9" fillId="0" borderId="0" xfId="0" applyNumberFormat="1" applyFont="1" applyAlignment="1">
      <alignment horizontal="center" vertical="center"/>
    </xf>
    <xf numFmtId="164" fontId="9" fillId="0" borderId="0" xfId="0" applyNumberFormat="1" applyFont="1" applyFill="1" applyAlignment="1">
      <alignment horizontal="center" vertical="center"/>
    </xf>
    <xf numFmtId="166" fontId="0" fillId="0" borderId="0" xfId="0" applyNumberFormat="1"/>
    <xf numFmtId="165" fontId="9" fillId="0" borderId="0" xfId="0" applyNumberFormat="1" applyFont="1"/>
    <xf numFmtId="166" fontId="9" fillId="0" borderId="0" xfId="0" applyNumberFormat="1" applyFont="1"/>
    <xf numFmtId="0" fontId="0" fillId="0" borderId="0" xfId="0" applyFont="1"/>
    <xf numFmtId="0" fontId="8" fillId="0" borderId="0" xfId="0" applyFont="1" applyAlignment="1">
      <alignment horizontal="center" vertical="center"/>
    </xf>
    <xf numFmtId="167" fontId="4" fillId="0" borderId="0" xfId="0" applyNumberFormat="1" applyFont="1" applyAlignment="1">
      <alignment horizontal="center"/>
    </xf>
    <xf numFmtId="0" fontId="11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12" fillId="0" borderId="0" xfId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T3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Observed T3 (normalized)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Cooper_1983!$G$3:$G$9</c:f>
              <c:strCache>
                <c:ptCount val="7"/>
                <c:pt idx="0">
                  <c:v>0</c:v>
                </c:pt>
                <c:pt idx="1">
                  <c:v>0.0001 [%]</c:v>
                </c:pt>
                <c:pt idx="2">
                  <c:v>0.0005 [%]</c:v>
                </c:pt>
                <c:pt idx="3">
                  <c:v>0.001 [%]</c:v>
                </c:pt>
                <c:pt idx="4">
                  <c:v>0.005 [%]</c:v>
                </c:pt>
                <c:pt idx="5">
                  <c:v>0.01 [%]</c:v>
                </c:pt>
                <c:pt idx="6">
                  <c:v>0.05 [5]</c:v>
                </c:pt>
              </c:strCache>
            </c:strRef>
          </c:xVal>
          <c:yVal>
            <c:numRef>
              <c:f>Cooper_1983!$J$3:$J$9</c:f>
              <c:numCache>
                <c:formatCode>General</c:formatCode>
                <c:ptCount val="7"/>
                <c:pt idx="0">
                  <c:v>4.0000000000000002E-4</c:v>
                </c:pt>
                <c:pt idx="1">
                  <c:v>3.6000000000000002E-4</c:v>
                </c:pt>
                <c:pt idx="2">
                  <c:v>3.2000000000000003E-4</c:v>
                </c:pt>
                <c:pt idx="3">
                  <c:v>2.8666666666666673E-4</c:v>
                </c:pt>
                <c:pt idx="4">
                  <c:v>2.4000000000000001E-4</c:v>
                </c:pt>
                <c:pt idx="5">
                  <c:v>2.2666666666666666E-4</c:v>
                </c:pt>
                <c:pt idx="6">
                  <c:v>2.5500000000000002E-4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64-462B-9AF3-E7E71A6858A9}"/>
            </c:ext>
          </c:extLst>
        </c:ser>
        <c:ser>
          <c:idx val="1"/>
          <c:order val="1"/>
          <c:tx>
            <c:v>Simulated 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Cooper_1983!$G$3:$G$9</c:f>
              <c:strCache>
                <c:ptCount val="7"/>
                <c:pt idx="0">
                  <c:v>0</c:v>
                </c:pt>
                <c:pt idx="1">
                  <c:v>0.0001 [%]</c:v>
                </c:pt>
                <c:pt idx="2">
                  <c:v>0.0005 [%]</c:v>
                </c:pt>
                <c:pt idx="3">
                  <c:v>0.001 [%]</c:v>
                </c:pt>
                <c:pt idx="4">
                  <c:v>0.005 [%]</c:v>
                </c:pt>
                <c:pt idx="5">
                  <c:v>0.01 [%]</c:v>
                </c:pt>
                <c:pt idx="6">
                  <c:v>0.05 [5]</c:v>
                </c:pt>
              </c:strCache>
            </c:strRef>
          </c:xVal>
          <c:yVal>
            <c:numRef>
              <c:f>Cooper_1983!$L$3:$L$9</c:f>
              <c:numCache>
                <c:formatCode>0.00E+00</c:formatCode>
                <c:ptCount val="7"/>
                <c:pt idx="0">
                  <c:v>3.9300000000000001E-4</c:v>
                </c:pt>
                <c:pt idx="1">
                  <c:v>3.9300000000000001E-4</c:v>
                </c:pt>
                <c:pt idx="2">
                  <c:v>3.6299999999999999E-4</c:v>
                </c:pt>
                <c:pt idx="3">
                  <c:v>3.3599999999999998E-4</c:v>
                </c:pt>
                <c:pt idx="4">
                  <c:v>2.5900000000000001E-4</c:v>
                </c:pt>
                <c:pt idx="5">
                  <c:v>2.3499999999999999E-4</c:v>
                </c:pt>
                <c:pt idx="6">
                  <c:v>2.1000000000000001E-4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64-462B-9AF3-E7E71A685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702848"/>
        <c:axId val="1406405552"/>
      </c:scatterChart>
      <c:valAx>
        <c:axId val="155470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05552"/>
        <c:crosses val="autoZero"/>
        <c:crossBetween val="midCat"/>
      </c:valAx>
      <c:valAx>
        <c:axId val="140640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[µg/ml]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70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T3/TSH</a:t>
            </a:r>
            <a:r>
              <a:rPr lang="en-US" baseline="0"/>
              <a:t> relaitonship (non-normalized)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MMI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Cooper_1984b_PD!$S$2:$S$8</c:f>
              <c:numCache>
                <c:formatCode>General</c:formatCode>
                <c:ptCount val="7"/>
                <c:pt idx="0">
                  <c:v>71.400000000000006</c:v>
                </c:pt>
                <c:pt idx="1">
                  <c:v>60.2</c:v>
                </c:pt>
                <c:pt idx="2">
                  <c:v>64.2</c:v>
                </c:pt>
                <c:pt idx="3">
                  <c:v>51.1</c:v>
                </c:pt>
                <c:pt idx="4">
                  <c:v>20</c:v>
                </c:pt>
                <c:pt idx="5">
                  <c:v>11.3</c:v>
                </c:pt>
                <c:pt idx="6">
                  <c:v>10.7</c:v>
                </c:pt>
              </c:numCache>
            </c:numRef>
          </c:xVal>
          <c:yVal>
            <c:numRef>
              <c:f>Cooper_1984b_PD!$S$16:$S$22</c:f>
              <c:numCache>
                <c:formatCode>General</c:formatCode>
                <c:ptCount val="7"/>
                <c:pt idx="0">
                  <c:v>2.5299999999999998</c:v>
                </c:pt>
                <c:pt idx="1">
                  <c:v>3.21</c:v>
                </c:pt>
                <c:pt idx="2">
                  <c:v>4.96</c:v>
                </c:pt>
                <c:pt idx="3">
                  <c:v>6.61</c:v>
                </c:pt>
                <c:pt idx="4">
                  <c:v>8.6300000000000008</c:v>
                </c:pt>
                <c:pt idx="5">
                  <c:v>8.83</c:v>
                </c:pt>
                <c:pt idx="6">
                  <c:v>7.56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5A-46C0-A9F7-9224B0B79184}"/>
            </c:ext>
          </c:extLst>
        </c:ser>
        <c:ser>
          <c:idx val="1"/>
          <c:order val="1"/>
          <c:tx>
            <c:v>PTU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Cooper_1983!$S$3:$S$9</c:f>
              <c:numCache>
                <c:formatCode>General</c:formatCode>
                <c:ptCount val="7"/>
                <c:pt idx="0">
                  <c:v>60</c:v>
                </c:pt>
                <c:pt idx="1">
                  <c:v>54</c:v>
                </c:pt>
                <c:pt idx="2">
                  <c:v>48</c:v>
                </c:pt>
                <c:pt idx="3">
                  <c:v>43</c:v>
                </c:pt>
                <c:pt idx="4">
                  <c:v>36</c:v>
                </c:pt>
                <c:pt idx="5">
                  <c:v>34</c:v>
                </c:pt>
              </c:numCache>
            </c:numRef>
          </c:xVal>
          <c:yVal>
            <c:numRef>
              <c:f>Cooper_1983!$S$17:$S$22</c:f>
              <c:numCache>
                <c:formatCode>General</c:formatCode>
                <c:ptCount val="6"/>
                <c:pt idx="0">
                  <c:v>2.9</c:v>
                </c:pt>
                <c:pt idx="1">
                  <c:v>4.5999999999999996</c:v>
                </c:pt>
                <c:pt idx="2">
                  <c:v>11.7</c:v>
                </c:pt>
                <c:pt idx="3">
                  <c:v>9.8000000000000007</c:v>
                </c:pt>
                <c:pt idx="4">
                  <c:v>11.8</c:v>
                </c:pt>
                <c:pt idx="5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5A-46C0-A9F7-9224B0B79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784784"/>
        <c:axId val="672733024"/>
      </c:scatterChart>
      <c:valAx>
        <c:axId val="72678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T3</a:t>
                </a:r>
                <a:r>
                  <a:rPr lang="en-US" baseline="0"/>
                  <a:t> concentration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33024"/>
        <c:crosses val="autoZero"/>
        <c:crossBetween val="midCat"/>
      </c:valAx>
      <c:valAx>
        <c:axId val="6727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TSH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8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T4/TSH relationship (non-normalized)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MMI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Cooper_1984b_PD!$S$9:$S$15</c:f>
              <c:numCache>
                <c:formatCode>General</c:formatCode>
                <c:ptCount val="7"/>
                <c:pt idx="0">
                  <c:v>5.71</c:v>
                </c:pt>
                <c:pt idx="1">
                  <c:v>4.47</c:v>
                </c:pt>
                <c:pt idx="2">
                  <c:v>4.6100000000000003</c:v>
                </c:pt>
                <c:pt idx="3">
                  <c:v>3.43</c:v>
                </c:pt>
                <c:pt idx="4">
                  <c:v>1.1200000000000001</c:v>
                </c:pt>
                <c:pt idx="5">
                  <c:v>0.73</c:v>
                </c:pt>
                <c:pt idx="6">
                  <c:v>0.28000000000000003</c:v>
                </c:pt>
              </c:numCache>
            </c:numRef>
          </c:xVal>
          <c:yVal>
            <c:numRef>
              <c:f>Cooper_1984b_PD!$S$16:$S$22</c:f>
              <c:numCache>
                <c:formatCode>General</c:formatCode>
                <c:ptCount val="7"/>
                <c:pt idx="0">
                  <c:v>2.5299999999999998</c:v>
                </c:pt>
                <c:pt idx="1">
                  <c:v>3.21</c:v>
                </c:pt>
                <c:pt idx="2">
                  <c:v>4.96</c:v>
                </c:pt>
                <c:pt idx="3">
                  <c:v>6.61</c:v>
                </c:pt>
                <c:pt idx="4">
                  <c:v>8.6300000000000008</c:v>
                </c:pt>
                <c:pt idx="5">
                  <c:v>8.83</c:v>
                </c:pt>
                <c:pt idx="6">
                  <c:v>7.56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A-42CB-849C-ADCF44899DCD}"/>
            </c:ext>
          </c:extLst>
        </c:ser>
        <c:ser>
          <c:idx val="1"/>
          <c:order val="1"/>
          <c:tx>
            <c:v>PTU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Cooper_1983!$S$10:$S$16</c:f>
              <c:numCache>
                <c:formatCode>General</c:formatCode>
                <c:ptCount val="7"/>
                <c:pt idx="0">
                  <c:v>4.2</c:v>
                </c:pt>
                <c:pt idx="1">
                  <c:v>5.8</c:v>
                </c:pt>
                <c:pt idx="2">
                  <c:v>3.8</c:v>
                </c:pt>
                <c:pt idx="3">
                  <c:v>2.8</c:v>
                </c:pt>
                <c:pt idx="4">
                  <c:v>1.6</c:v>
                </c:pt>
                <c:pt idx="5">
                  <c:v>1</c:v>
                </c:pt>
              </c:numCache>
            </c:numRef>
          </c:xVal>
          <c:yVal>
            <c:numRef>
              <c:f>Cooper_1983!$S$17:$S$22</c:f>
              <c:numCache>
                <c:formatCode>General</c:formatCode>
                <c:ptCount val="6"/>
                <c:pt idx="0">
                  <c:v>2.9</c:v>
                </c:pt>
                <c:pt idx="1">
                  <c:v>4.5999999999999996</c:v>
                </c:pt>
                <c:pt idx="2">
                  <c:v>11.7</c:v>
                </c:pt>
                <c:pt idx="3">
                  <c:v>9.8000000000000007</c:v>
                </c:pt>
                <c:pt idx="4">
                  <c:v>11.8</c:v>
                </c:pt>
                <c:pt idx="5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1A-42CB-849C-ADCF44899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891920"/>
        <c:axId val="674093248"/>
      </c:scatterChart>
      <c:valAx>
        <c:axId val="71989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T4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93248"/>
        <c:crosses val="autoZero"/>
        <c:crossBetween val="midCat"/>
      </c:valAx>
      <c:valAx>
        <c:axId val="6740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TSH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9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T3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MMI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Cooper_1984b_PD!$G$2:$G$8</c:f>
              <c:strCache>
                <c:ptCount val="7"/>
                <c:pt idx="0">
                  <c:v>0</c:v>
                </c:pt>
                <c:pt idx="1">
                  <c:v>0.0001 [%]</c:v>
                </c:pt>
                <c:pt idx="2">
                  <c:v>0.0005 [%]</c:v>
                </c:pt>
                <c:pt idx="3">
                  <c:v>0.001 [%]</c:v>
                </c:pt>
                <c:pt idx="4">
                  <c:v>0.005 [%]</c:v>
                </c:pt>
                <c:pt idx="5">
                  <c:v>0.01 [%]</c:v>
                </c:pt>
                <c:pt idx="6">
                  <c:v>0.05 [%]</c:v>
                </c:pt>
              </c:strCache>
            </c:strRef>
          </c:xVal>
          <c:yVal>
            <c:numRef>
              <c:f>Cooper_1984b_PD!$J$2:$J$8</c:f>
              <c:numCache>
                <c:formatCode>General</c:formatCode>
                <c:ptCount val="7"/>
                <c:pt idx="0">
                  <c:v>4.0000000000000002E-4</c:v>
                </c:pt>
                <c:pt idx="1">
                  <c:v>3.3725490196078437E-4</c:v>
                </c:pt>
                <c:pt idx="2">
                  <c:v>3.5966386554621849E-4</c:v>
                </c:pt>
                <c:pt idx="3">
                  <c:v>2.8627450980392162E-4</c:v>
                </c:pt>
                <c:pt idx="4">
                  <c:v>1.1204481792717087E-4</c:v>
                </c:pt>
                <c:pt idx="5">
                  <c:v>6.3305322128851538E-5</c:v>
                </c:pt>
                <c:pt idx="6">
                  <c:v>5.99439775910364E-5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9A-4343-A683-D9203026C5E5}"/>
            </c:ext>
          </c:extLst>
        </c:ser>
        <c:ser>
          <c:idx val="1"/>
          <c:order val="1"/>
          <c:tx>
            <c:v>PTU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Cooper_1983!$G$3:$G$9</c:f>
              <c:strCache>
                <c:ptCount val="7"/>
                <c:pt idx="0">
                  <c:v>0</c:v>
                </c:pt>
                <c:pt idx="1">
                  <c:v>0.0001 [%]</c:v>
                </c:pt>
                <c:pt idx="2">
                  <c:v>0.0005 [%]</c:v>
                </c:pt>
                <c:pt idx="3">
                  <c:v>0.001 [%]</c:v>
                </c:pt>
                <c:pt idx="4">
                  <c:v>0.005 [%]</c:v>
                </c:pt>
                <c:pt idx="5">
                  <c:v>0.01 [%]</c:v>
                </c:pt>
                <c:pt idx="6">
                  <c:v>0.05 [5]</c:v>
                </c:pt>
              </c:strCache>
            </c:strRef>
          </c:xVal>
          <c:yVal>
            <c:numRef>
              <c:f>Cooper_1983!$J$3:$J$9</c:f>
              <c:numCache>
                <c:formatCode>General</c:formatCode>
                <c:ptCount val="7"/>
                <c:pt idx="0">
                  <c:v>4.0000000000000002E-4</c:v>
                </c:pt>
                <c:pt idx="1">
                  <c:v>3.6000000000000002E-4</c:v>
                </c:pt>
                <c:pt idx="2">
                  <c:v>3.2000000000000003E-4</c:v>
                </c:pt>
                <c:pt idx="3">
                  <c:v>2.8666666666666673E-4</c:v>
                </c:pt>
                <c:pt idx="4">
                  <c:v>2.4000000000000001E-4</c:v>
                </c:pt>
                <c:pt idx="5">
                  <c:v>2.2666666666666666E-4</c:v>
                </c:pt>
                <c:pt idx="6">
                  <c:v>2.5500000000000002E-4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9A-4343-A683-D9203026C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688287"/>
        <c:axId val="1618416975"/>
      </c:scatterChart>
      <c:valAx>
        <c:axId val="164968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416975"/>
        <c:crosses val="autoZero"/>
        <c:crossBetween val="midCat"/>
      </c:valAx>
      <c:valAx>
        <c:axId val="161841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[µg/ml]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68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T4 concentrations after T4 iv bolus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Rat_T4_iv_doseNorm!$A$1</c:f>
              <c:strCache>
                <c:ptCount val="1"/>
                <c:pt idx="0">
                  <c:v>DiStephano 1982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Rat_T4_iv_doseNorm!$B$5:$B$34</c:f>
              <c:numCache>
                <c:formatCode>General</c:formatCode>
                <c:ptCount val="30"/>
                <c:pt idx="0">
                  <c:v>9.7665204851993259E-4</c:v>
                </c:pt>
                <c:pt idx="1">
                  <c:v>4.4898319099859973E-2</c:v>
                </c:pt>
                <c:pt idx="2">
                  <c:v>0.46529141801998986</c:v>
                </c:pt>
                <c:pt idx="3">
                  <c:v>0.49666403734236986</c:v>
                </c:pt>
                <c:pt idx="4">
                  <c:v>0.52803665666477984</c:v>
                </c:pt>
                <c:pt idx="5">
                  <c:v>1.5727448801005846</c:v>
                </c:pt>
                <c:pt idx="6">
                  <c:v>3.15078763201709</c:v>
                </c:pt>
                <c:pt idx="7">
                  <c:v>3.2072583467974098</c:v>
                </c:pt>
                <c:pt idx="8">
                  <c:v>7.9162885070890701</c:v>
                </c:pt>
                <c:pt idx="9">
                  <c:v>8.0731516037010387</c:v>
                </c:pt>
                <c:pt idx="10">
                  <c:v>8.1672694616682495</c:v>
                </c:pt>
                <c:pt idx="11">
                  <c:v>11.51159068143569</c:v>
                </c:pt>
                <c:pt idx="12">
                  <c:v>21.381416720261498</c:v>
                </c:pt>
                <c:pt idx="13">
                  <c:v>21.601025055518299</c:v>
                </c:pt>
                <c:pt idx="14">
                  <c:v>26.303780691945498</c:v>
                </c:pt>
                <c:pt idx="15">
                  <c:v>31.5775180000403</c:v>
                </c:pt>
                <c:pt idx="16">
                  <c:v>38.128120914556604</c:v>
                </c:pt>
                <c:pt idx="17">
                  <c:v>83.433320478029003</c:v>
                </c:pt>
                <c:pt idx="18">
                  <c:v>83.496065716673797</c:v>
                </c:pt>
                <c:pt idx="19">
                  <c:v>95.081974032434701</c:v>
                </c:pt>
                <c:pt idx="20">
                  <c:v>115.279666352193</c:v>
                </c:pt>
                <c:pt idx="21">
                  <c:v>145.48522423579598</c:v>
                </c:pt>
                <c:pt idx="22">
                  <c:v>174.01234698565099</c:v>
                </c:pt>
                <c:pt idx="23">
                  <c:v>236.396800508236</c:v>
                </c:pt>
                <c:pt idx="24">
                  <c:v>596.72388247368599</c:v>
                </c:pt>
                <c:pt idx="25">
                  <c:v>598.37094498811098</c:v>
                </c:pt>
                <c:pt idx="26">
                  <c:v>600.12467440823298</c:v>
                </c:pt>
                <c:pt idx="27">
                  <c:v>1442.2912674986301</c:v>
                </c:pt>
                <c:pt idx="28">
                  <c:v>1445.61049062294</c:v>
                </c:pt>
                <c:pt idx="29">
                  <c:v>1445.7234320525001</c:v>
                </c:pt>
              </c:numCache>
            </c:numRef>
          </c:xVal>
          <c:yVal>
            <c:numRef>
              <c:f>Rat_T4_iv_doseNorm!$E$5:$E$34</c:f>
              <c:numCache>
                <c:formatCode>General</c:formatCode>
                <c:ptCount val="30"/>
                <c:pt idx="0">
                  <c:v>3.0279462811121101</c:v>
                </c:pt>
                <c:pt idx="1">
                  <c:v>3.1061582210828398</c:v>
                </c:pt>
                <c:pt idx="2">
                  <c:v>3.8547582179455802</c:v>
                </c:pt>
                <c:pt idx="3">
                  <c:v>3.9106238893532499</c:v>
                </c:pt>
                <c:pt idx="4">
                  <c:v>3.9664895607609201</c:v>
                </c:pt>
                <c:pt idx="5">
                  <c:v>2.8268164186362301</c:v>
                </c:pt>
                <c:pt idx="6">
                  <c:v>2.63685969044188</c:v>
                </c:pt>
                <c:pt idx="7">
                  <c:v>2.7374178989756799</c:v>
                </c:pt>
                <c:pt idx="8">
                  <c:v>2.1228551772665001</c:v>
                </c:pt>
                <c:pt idx="9">
                  <c:v>2.4021835343048301</c:v>
                </c:pt>
                <c:pt idx="10">
                  <c:v>2.56978054852783</c:v>
                </c:pt>
                <c:pt idx="11">
                  <c:v>2.5250611205851401</c:v>
                </c:pt>
                <c:pt idx="12">
                  <c:v>2.1004013454371799</c:v>
                </c:pt>
                <c:pt idx="13">
                  <c:v>2.4914610452908499</c:v>
                </c:pt>
                <c:pt idx="14">
                  <c:v>1.8657251893001401</c:v>
                </c:pt>
                <c:pt idx="15">
                  <c:v>2.2567445529289598</c:v>
                </c:pt>
                <c:pt idx="16">
                  <c:v>1.92149674284984</c:v>
                </c:pt>
                <c:pt idx="17">
                  <c:v>1.5971128226617799</c:v>
                </c:pt>
                <c:pt idx="18">
                  <c:v>1.70884416547712</c:v>
                </c:pt>
                <c:pt idx="19">
                  <c:v>1.34003661632855</c:v>
                </c:pt>
                <c:pt idx="20">
                  <c:v>1.30635586858457</c:v>
                </c:pt>
                <c:pt idx="21">
                  <c:v>1.0938242998863801</c:v>
                </c:pt>
                <c:pt idx="22">
                  <c:v>0.89247931087800703</c:v>
                </c:pt>
                <c:pt idx="23">
                  <c:v>0.98136690502387602</c:v>
                </c:pt>
                <c:pt idx="24">
                  <c:v>0.62094929064266702</c:v>
                </c:pt>
                <c:pt idx="25">
                  <c:v>0.55389703954518599</c:v>
                </c:pt>
                <c:pt idx="26">
                  <c:v>0.67678807123377205</c:v>
                </c:pt>
                <c:pt idx="27">
                  <c:v>0.33487133864725699</c:v>
                </c:pt>
                <c:pt idx="28">
                  <c:v>0.24545937357842801</c:v>
                </c:pt>
                <c:pt idx="29">
                  <c:v>0.44657579064602898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54-43C9-931C-B7DBA2C412C3}"/>
            </c:ext>
          </c:extLst>
        </c:ser>
        <c:ser>
          <c:idx val="1"/>
          <c:order val="1"/>
          <c:tx>
            <c:strRef>
              <c:f>Rat_T4_iv_doseNorm!$A$37</c:f>
              <c:strCache>
                <c:ptCount val="1"/>
                <c:pt idx="0">
                  <c:v>Larsen 1977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Rat_T4_iv_doseNorm!$B$39:$B$42</c:f>
              <c:numCache>
                <c:formatCode>General</c:formatCode>
                <c:ptCount val="4"/>
                <c:pt idx="0">
                  <c:v>0</c:v>
                </c:pt>
                <c:pt idx="1">
                  <c:v>120</c:v>
                </c:pt>
                <c:pt idx="2">
                  <c:v>240</c:v>
                </c:pt>
                <c:pt idx="3">
                  <c:v>420</c:v>
                </c:pt>
              </c:numCache>
            </c:numRef>
          </c:xVal>
          <c:yVal>
            <c:numRef>
              <c:f>Rat_T4_iv_doseNorm!$E$39:$E$42</c:f>
              <c:numCache>
                <c:formatCode>General</c:formatCode>
                <c:ptCount val="4"/>
                <c:pt idx="0">
                  <c:v>0.34763705972129133</c:v>
                </c:pt>
                <c:pt idx="1">
                  <c:v>6.1964658562900006</c:v>
                </c:pt>
                <c:pt idx="2">
                  <c:v>4.9781387340100549</c:v>
                </c:pt>
                <c:pt idx="3">
                  <c:v>3.8321943998684791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54-43C9-931C-B7DBA2C412C3}"/>
            </c:ext>
          </c:extLst>
        </c:ser>
        <c:ser>
          <c:idx val="2"/>
          <c:order val="2"/>
          <c:tx>
            <c:strRef>
              <c:f>Rat_T4_iv_doseNorm!$A$45</c:f>
              <c:strCache>
                <c:ptCount val="1"/>
                <c:pt idx="0">
                  <c:v>Michael 1989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Rat_T4_iv_doseNorm!$B$47:$B$52</c:f>
              <c:numCache>
                <c:formatCode>General</c:formatCode>
                <c:ptCount val="6"/>
                <c:pt idx="0">
                  <c:v>240</c:v>
                </c:pt>
                <c:pt idx="1">
                  <c:v>480</c:v>
                </c:pt>
                <c:pt idx="2">
                  <c:v>1440</c:v>
                </c:pt>
                <c:pt idx="3">
                  <c:v>2880</c:v>
                </c:pt>
                <c:pt idx="4">
                  <c:v>4320</c:v>
                </c:pt>
                <c:pt idx="5">
                  <c:v>5760</c:v>
                </c:pt>
              </c:numCache>
            </c:numRef>
          </c:xVal>
          <c:yVal>
            <c:numRef>
              <c:f>Rat_T4_iv_doseNorm!$E$47:$E$52</c:f>
              <c:numCache>
                <c:formatCode>General</c:formatCode>
                <c:ptCount val="6"/>
                <c:pt idx="0">
                  <c:v>5.9379125472645402</c:v>
                </c:pt>
                <c:pt idx="1">
                  <c:v>4.0641610893561504</c:v>
                </c:pt>
                <c:pt idx="2">
                  <c:v>2.3243572217751098</c:v>
                </c:pt>
                <c:pt idx="3">
                  <c:v>1.1710656601735701</c:v>
                </c:pt>
                <c:pt idx="4">
                  <c:v>0.57166980645659304</c:v>
                </c:pt>
                <c:pt idx="5">
                  <c:v>0.306805873283655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54-43C9-931C-B7DBA2C412C3}"/>
            </c:ext>
          </c:extLst>
        </c:ser>
        <c:ser>
          <c:idx val="3"/>
          <c:order val="3"/>
          <c:tx>
            <c:strRef>
              <c:f>Rat_T4_iv_doseNorm!$A$54</c:f>
              <c:strCache>
                <c:ptCount val="1"/>
                <c:pt idx="0">
                  <c:v>Kato 2010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Rat_T4_iv_doseNorm!$B$55:$B$60</c:f>
              <c:numCache>
                <c:formatCode>General</c:formatCode>
                <c:ptCount val="6"/>
                <c:pt idx="0">
                  <c:v>6.44875435522526</c:v>
                </c:pt>
                <c:pt idx="1">
                  <c:v>15.419813505729699</c:v>
                </c:pt>
                <c:pt idx="2">
                  <c:v>29.8253881940668</c:v>
                </c:pt>
                <c:pt idx="3">
                  <c:v>60.292026665055403</c:v>
                </c:pt>
                <c:pt idx="4">
                  <c:v>90.583851932410894</c:v>
                </c:pt>
                <c:pt idx="5">
                  <c:v>120.51155015809699</c:v>
                </c:pt>
              </c:numCache>
            </c:numRef>
          </c:xVal>
          <c:yVal>
            <c:numRef>
              <c:f>Rat_T4_iv_doseNorm!$E$55:$E$60</c:f>
              <c:numCache>
                <c:formatCode>General</c:formatCode>
                <c:ptCount val="6"/>
                <c:pt idx="0">
                  <c:v>6.9116736820198801</c:v>
                </c:pt>
                <c:pt idx="1">
                  <c:v>5.7701515182029901</c:v>
                </c:pt>
                <c:pt idx="2">
                  <c:v>5.0937237763411396</c:v>
                </c:pt>
                <c:pt idx="3">
                  <c:v>4.4375432165898001</c:v>
                </c:pt>
                <c:pt idx="4">
                  <c:v>3.9063366429688702</c:v>
                </c:pt>
                <c:pt idx="5">
                  <c:v>3.3036473123476902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54-43C9-931C-B7DBA2C412C3}"/>
            </c:ext>
          </c:extLst>
        </c:ser>
        <c:ser>
          <c:idx val="4"/>
          <c:order val="4"/>
          <c:tx>
            <c:strRef>
              <c:f>Rat_T4_iv_doseNorm!$A$62</c:f>
              <c:strCache>
                <c:ptCount val="1"/>
                <c:pt idx="0">
                  <c:v>Wong 2005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Rat_T4_iv_doseNorm!$B$63:$B$71</c:f>
              <c:numCache>
                <c:formatCode>General</c:formatCode>
                <c:ptCount val="9"/>
                <c:pt idx="0">
                  <c:v>0</c:v>
                </c:pt>
                <c:pt idx="1">
                  <c:v>15.65253169810908</c:v>
                </c:pt>
                <c:pt idx="2">
                  <c:v>56.215716776086559</c:v>
                </c:pt>
                <c:pt idx="3">
                  <c:v>114.3336449306484</c:v>
                </c:pt>
                <c:pt idx="4">
                  <c:v>236.04052449407519</c:v>
                </c:pt>
                <c:pt idx="5">
                  <c:v>360.06539934384057</c:v>
                </c:pt>
                <c:pt idx="6">
                  <c:v>478.89644021121239</c:v>
                </c:pt>
                <c:pt idx="7">
                  <c:v>716.49615435977398</c:v>
                </c:pt>
                <c:pt idx="8">
                  <c:v>1442.8082738110261</c:v>
                </c:pt>
              </c:numCache>
            </c:numRef>
          </c:xVal>
          <c:yVal>
            <c:numRef>
              <c:f>Rat_T4_iv_doseNorm!$E$63:$E$71</c:f>
              <c:numCache>
                <c:formatCode>General</c:formatCode>
                <c:ptCount val="9"/>
                <c:pt idx="0">
                  <c:v>1.7279062145192601</c:v>
                </c:pt>
                <c:pt idx="1">
                  <c:v>1.2900561852580701</c:v>
                </c:pt>
                <c:pt idx="2">
                  <c:v>1.0624745693819599</c:v>
                </c:pt>
                <c:pt idx="3">
                  <c:v>0.85243835128756695</c:v>
                </c:pt>
                <c:pt idx="4">
                  <c:v>0.45555148393443901</c:v>
                </c:pt>
                <c:pt idx="5">
                  <c:v>0.64573863788709196</c:v>
                </c:pt>
                <c:pt idx="6">
                  <c:v>0.54238309197894896</c:v>
                </c:pt>
                <c:pt idx="7">
                  <c:v>0.44887338389265202</c:v>
                </c:pt>
                <c:pt idx="8">
                  <c:v>0.24348156773155599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54-43C9-931C-B7DBA2C412C3}"/>
            </c:ext>
          </c:extLst>
        </c:ser>
        <c:ser>
          <c:idx val="5"/>
          <c:order val="5"/>
          <c:tx>
            <c:strRef>
              <c:f>Rat_T4_iv_doseNorm!$A$74</c:f>
              <c:strCache>
                <c:ptCount val="1"/>
                <c:pt idx="0">
                  <c:v>Oppenheimer 1968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Rat_T4_iv_doseNorm!$B$75:$B$78</c:f>
              <c:numCache>
                <c:formatCode>General</c:formatCode>
                <c:ptCount val="4"/>
                <c:pt idx="0">
                  <c:v>384.4652316014874</c:v>
                </c:pt>
                <c:pt idx="1">
                  <c:v>1456.344930849606</c:v>
                </c:pt>
                <c:pt idx="2">
                  <c:v>1800.2608233646199</c:v>
                </c:pt>
                <c:pt idx="3">
                  <c:v>2881.9474811225036</c:v>
                </c:pt>
              </c:numCache>
            </c:numRef>
          </c:xVal>
          <c:yVal>
            <c:numRef>
              <c:f>Rat_T4_iv_doseNorm!$E$75:$E$78</c:f>
              <c:numCache>
                <c:formatCode>General</c:formatCode>
                <c:ptCount val="4"/>
                <c:pt idx="0">
                  <c:v>2.5338384332888499</c:v>
                </c:pt>
                <c:pt idx="1">
                  <c:v>1.0099402046641801</c:v>
                </c:pt>
                <c:pt idx="2">
                  <c:v>0.82333944614072097</c:v>
                </c:pt>
                <c:pt idx="3">
                  <c:v>0.36634563217027799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74-468C-9F38-DA4A98DA0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14608"/>
        <c:axId val="1257501824"/>
      </c:scatterChart>
      <c:valAx>
        <c:axId val="138291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501824"/>
        <c:crosses val="autoZero"/>
        <c:crossBetween val="midCat"/>
      </c:valAx>
      <c:valAx>
        <c:axId val="12575018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%Dose/mL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1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T4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Observed T4 (normalized)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Cooper_1983!$K$10:$K$15</c:f>
                <c:numCache>
                  <c:formatCode>General</c:formatCode>
                  <c:ptCount val="6"/>
                  <c:pt idx="0">
                    <c:v>3.0000000000000001E-3</c:v>
                  </c:pt>
                  <c:pt idx="1">
                    <c:v>4.0000000000000001E-3</c:v>
                  </c:pt>
                  <c:pt idx="2">
                    <c:v>4.0000000000000001E-3</c:v>
                  </c:pt>
                  <c:pt idx="3">
                    <c:v>4.0000000000000001E-3</c:v>
                  </c:pt>
                  <c:pt idx="4">
                    <c:v>2E-3</c:v>
                  </c:pt>
                  <c:pt idx="5">
                    <c:v>1E-3</c:v>
                  </c:pt>
                </c:numCache>
              </c:numRef>
            </c:plus>
            <c:minus>
              <c:numRef>
                <c:f>Cooper_1983!$K$10:$K$15</c:f>
                <c:numCache>
                  <c:formatCode>General</c:formatCode>
                  <c:ptCount val="6"/>
                  <c:pt idx="0">
                    <c:v>3.0000000000000001E-3</c:v>
                  </c:pt>
                  <c:pt idx="1">
                    <c:v>4.0000000000000001E-3</c:v>
                  </c:pt>
                  <c:pt idx="2">
                    <c:v>4.0000000000000001E-3</c:v>
                  </c:pt>
                  <c:pt idx="3">
                    <c:v>4.0000000000000001E-3</c:v>
                  </c:pt>
                  <c:pt idx="4">
                    <c:v>2E-3</c:v>
                  </c:pt>
                  <c:pt idx="5">
                    <c:v>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Cooper_1983!$G$10:$G$16</c:f>
              <c:strCache>
                <c:ptCount val="7"/>
                <c:pt idx="0">
                  <c:v>0</c:v>
                </c:pt>
                <c:pt idx="1">
                  <c:v>0.0001 [%]</c:v>
                </c:pt>
                <c:pt idx="2">
                  <c:v>0.0005 [%]</c:v>
                </c:pt>
                <c:pt idx="3">
                  <c:v>0.001 [%]</c:v>
                </c:pt>
                <c:pt idx="4">
                  <c:v>0.005 [%]</c:v>
                </c:pt>
                <c:pt idx="5">
                  <c:v>0.01 [%]</c:v>
                </c:pt>
                <c:pt idx="6">
                  <c:v>0.05</c:v>
                </c:pt>
              </c:strCache>
            </c:strRef>
          </c:xVal>
          <c:yVal>
            <c:numRef>
              <c:f>Cooper_1983!$J$10:$J$16</c:f>
              <c:numCache>
                <c:formatCode>General</c:formatCode>
                <c:ptCount val="7"/>
                <c:pt idx="0">
                  <c:v>2.7999999999999997E-2</c:v>
                </c:pt>
                <c:pt idx="1">
                  <c:v>3.8666666666666662E-2</c:v>
                </c:pt>
                <c:pt idx="2">
                  <c:v>2.5333333333333329E-2</c:v>
                </c:pt>
                <c:pt idx="3">
                  <c:v>1.8666666666666665E-2</c:v>
                </c:pt>
                <c:pt idx="4">
                  <c:v>1.0666666666666665E-2</c:v>
                </c:pt>
                <c:pt idx="5">
                  <c:v>6.6666666666666662E-3</c:v>
                </c:pt>
                <c:pt idx="6" formatCode="0.00E+00">
                  <c:v>6.3400000000000001E-3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1-4316-8E62-A8207E388961}"/>
            </c:ext>
          </c:extLst>
        </c:ser>
        <c:ser>
          <c:idx val="1"/>
          <c:order val="1"/>
          <c:tx>
            <c:v>Simulated 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Cooper_1983!$G$10:$G$16</c:f>
              <c:strCache>
                <c:ptCount val="7"/>
                <c:pt idx="0">
                  <c:v>0</c:v>
                </c:pt>
                <c:pt idx="1">
                  <c:v>0.0001 [%]</c:v>
                </c:pt>
                <c:pt idx="2">
                  <c:v>0.0005 [%]</c:v>
                </c:pt>
                <c:pt idx="3">
                  <c:v>0.001 [%]</c:v>
                </c:pt>
                <c:pt idx="4">
                  <c:v>0.005 [%]</c:v>
                </c:pt>
                <c:pt idx="5">
                  <c:v>0.01 [%]</c:v>
                </c:pt>
                <c:pt idx="6">
                  <c:v>0.05</c:v>
                </c:pt>
              </c:strCache>
            </c:strRef>
          </c:xVal>
          <c:yVal>
            <c:numRef>
              <c:f>Cooper_1983!$L$10:$L$16</c:f>
              <c:numCache>
                <c:formatCode>0.00E+00</c:formatCode>
                <c:ptCount val="7"/>
                <c:pt idx="0">
                  <c:v>2.8199999999999999E-2</c:v>
                </c:pt>
                <c:pt idx="1">
                  <c:v>2.7E-2</c:v>
                </c:pt>
                <c:pt idx="2">
                  <c:v>2.3400000000000001E-2</c:v>
                </c:pt>
                <c:pt idx="3">
                  <c:v>2.0199999999999999E-2</c:v>
                </c:pt>
                <c:pt idx="4">
                  <c:v>1.0999999999999999E-2</c:v>
                </c:pt>
                <c:pt idx="5">
                  <c:v>8.1700000000000002E-3</c:v>
                </c:pt>
                <c:pt idx="6">
                  <c:v>5.1399999999999996E-3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F1-4316-8E62-A8207E388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371408"/>
        <c:axId val="1235544048"/>
      </c:scatterChart>
      <c:valAx>
        <c:axId val="123437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44048"/>
        <c:crosses val="autoZero"/>
        <c:crossBetween val="midCat"/>
      </c:valAx>
      <c:valAx>
        <c:axId val="12355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[µg/ml]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37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TSH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Observed TSH (normalized)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Cooper_1983!$G$17:$G$22</c:f>
              <c:strCache>
                <c:ptCount val="6"/>
                <c:pt idx="0">
                  <c:v>0</c:v>
                </c:pt>
                <c:pt idx="1">
                  <c:v>0.0001 [%]</c:v>
                </c:pt>
                <c:pt idx="2">
                  <c:v>0.0005 [%]</c:v>
                </c:pt>
                <c:pt idx="3">
                  <c:v>0.001 [%]</c:v>
                </c:pt>
                <c:pt idx="4">
                  <c:v>0.005 [%]</c:v>
                </c:pt>
                <c:pt idx="5">
                  <c:v>0.01 [%]</c:v>
                </c:pt>
              </c:strCache>
            </c:strRef>
          </c:xVal>
          <c:yVal>
            <c:numRef>
              <c:f>Cooper_1983!$J$17:$J$22</c:f>
              <c:numCache>
                <c:formatCode>General</c:formatCode>
                <c:ptCount val="6"/>
                <c:pt idx="0">
                  <c:v>2.5000000000000001E-3</c:v>
                </c:pt>
                <c:pt idx="1">
                  <c:v>3.9655172413793098E-3</c:v>
                </c:pt>
                <c:pt idx="2">
                  <c:v>1.0086206896551724E-2</c:v>
                </c:pt>
                <c:pt idx="3">
                  <c:v>8.4482758620689664E-3</c:v>
                </c:pt>
                <c:pt idx="4">
                  <c:v>1.0172413793103451E-2</c:v>
                </c:pt>
                <c:pt idx="5">
                  <c:v>8.9655172413793099E-3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C5-4ECA-93F7-C4A102121D00}"/>
            </c:ext>
          </c:extLst>
        </c:ser>
        <c:ser>
          <c:idx val="1"/>
          <c:order val="1"/>
          <c:tx>
            <c:v>Simulated TSH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Cooper_1983!$G$17:$G$22</c:f>
              <c:strCache>
                <c:ptCount val="6"/>
                <c:pt idx="0">
                  <c:v>0</c:v>
                </c:pt>
                <c:pt idx="1">
                  <c:v>0.0001 [%]</c:v>
                </c:pt>
                <c:pt idx="2">
                  <c:v>0.0005 [%]</c:v>
                </c:pt>
                <c:pt idx="3">
                  <c:v>0.001 [%]</c:v>
                </c:pt>
                <c:pt idx="4">
                  <c:v>0.005 [%]</c:v>
                </c:pt>
                <c:pt idx="5">
                  <c:v>0.01 [%]</c:v>
                </c:pt>
              </c:strCache>
            </c:strRef>
          </c:xVal>
          <c:yVal>
            <c:numRef>
              <c:f>Cooper_1983!$L$17:$L$22</c:f>
              <c:numCache>
                <c:formatCode>0.00E+00</c:formatCode>
                <c:ptCount val="6"/>
                <c:pt idx="0">
                  <c:v>2.5200000000000001E-3</c:v>
                </c:pt>
                <c:pt idx="1">
                  <c:v>2.5400000000000002E-3</c:v>
                </c:pt>
                <c:pt idx="2">
                  <c:v>2.7599999999999999E-3</c:v>
                </c:pt>
                <c:pt idx="3">
                  <c:v>3.0000000000000001E-3</c:v>
                </c:pt>
                <c:pt idx="4">
                  <c:v>4.2399999999999998E-3</c:v>
                </c:pt>
                <c:pt idx="5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C5-4ECA-93F7-C4A102121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337488"/>
        <c:axId val="1915435392"/>
      </c:scatterChart>
      <c:valAx>
        <c:axId val="15973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435392"/>
        <c:crosses val="autoZero"/>
        <c:crossBetween val="midCat"/>
      </c:valAx>
      <c:valAx>
        <c:axId val="19154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[µg/ml]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3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T3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Observed T3 (normalized)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Cooper_1984b_PD!$K$2:$K$8</c:f>
                <c:numCache>
                  <c:formatCode>General</c:formatCode>
                  <c:ptCount val="7"/>
                  <c:pt idx="0">
                    <c:v>2.9691876750700277E-5</c:v>
                  </c:pt>
                  <c:pt idx="1">
                    <c:v>2.5210084033613446E-5</c:v>
                  </c:pt>
                  <c:pt idx="2">
                    <c:v>2.8011204481792721E-5</c:v>
                  </c:pt>
                  <c:pt idx="3">
                    <c:v>3.4173669467787114E-5</c:v>
                  </c:pt>
                  <c:pt idx="4">
                    <c:v>6.1624649859943983E-6</c:v>
                  </c:pt>
                  <c:pt idx="5">
                    <c:v>8.2352941176470581E-5</c:v>
                  </c:pt>
                  <c:pt idx="6">
                    <c:v>1.176470588235294E-5</c:v>
                  </c:pt>
                </c:numCache>
              </c:numRef>
            </c:plus>
            <c:minus>
              <c:numRef>
                <c:f>Cooper_1984b_PD!$K$2:$K$8</c:f>
                <c:numCache>
                  <c:formatCode>General</c:formatCode>
                  <c:ptCount val="7"/>
                  <c:pt idx="0">
                    <c:v>2.9691876750700277E-5</c:v>
                  </c:pt>
                  <c:pt idx="1">
                    <c:v>2.5210084033613446E-5</c:v>
                  </c:pt>
                  <c:pt idx="2">
                    <c:v>2.8011204481792721E-5</c:v>
                  </c:pt>
                  <c:pt idx="3">
                    <c:v>3.4173669467787114E-5</c:v>
                  </c:pt>
                  <c:pt idx="4">
                    <c:v>6.1624649859943983E-6</c:v>
                  </c:pt>
                  <c:pt idx="5">
                    <c:v>8.2352941176470581E-5</c:v>
                  </c:pt>
                  <c:pt idx="6">
                    <c:v>1.176470588235294E-5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Cooper_1984b_PD!$G$2:$G$8</c:f>
              <c:strCache>
                <c:ptCount val="7"/>
                <c:pt idx="0">
                  <c:v>0</c:v>
                </c:pt>
                <c:pt idx="1">
                  <c:v>0.0001 [%]</c:v>
                </c:pt>
                <c:pt idx="2">
                  <c:v>0.0005 [%]</c:v>
                </c:pt>
                <c:pt idx="3">
                  <c:v>0.001 [%]</c:v>
                </c:pt>
                <c:pt idx="4">
                  <c:v>0.005 [%]</c:v>
                </c:pt>
                <c:pt idx="5">
                  <c:v>0.01 [%]</c:v>
                </c:pt>
                <c:pt idx="6">
                  <c:v>0.05 [%]</c:v>
                </c:pt>
              </c:strCache>
            </c:strRef>
          </c:xVal>
          <c:yVal>
            <c:numRef>
              <c:f>Cooper_1984b_PD!$J$2:$J$8</c:f>
              <c:numCache>
                <c:formatCode>General</c:formatCode>
                <c:ptCount val="7"/>
                <c:pt idx="0">
                  <c:v>4.0000000000000002E-4</c:v>
                </c:pt>
                <c:pt idx="1">
                  <c:v>3.3725490196078437E-4</c:v>
                </c:pt>
                <c:pt idx="2">
                  <c:v>3.5966386554621849E-4</c:v>
                </c:pt>
                <c:pt idx="3">
                  <c:v>2.8627450980392162E-4</c:v>
                </c:pt>
                <c:pt idx="4">
                  <c:v>1.1204481792717087E-4</c:v>
                </c:pt>
                <c:pt idx="5">
                  <c:v>6.3305322128851538E-5</c:v>
                </c:pt>
                <c:pt idx="6">
                  <c:v>5.99439775910364E-5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47-4F21-9323-796ED32B0D67}"/>
            </c:ext>
          </c:extLst>
        </c:ser>
        <c:ser>
          <c:idx val="1"/>
          <c:order val="1"/>
          <c:tx>
            <c:v>Simulated 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Cooper_1984b_PD!$G$2:$G$8</c:f>
              <c:strCache>
                <c:ptCount val="7"/>
                <c:pt idx="0">
                  <c:v>0</c:v>
                </c:pt>
                <c:pt idx="1">
                  <c:v>0.0001 [%]</c:v>
                </c:pt>
                <c:pt idx="2">
                  <c:v>0.0005 [%]</c:v>
                </c:pt>
                <c:pt idx="3">
                  <c:v>0.001 [%]</c:v>
                </c:pt>
                <c:pt idx="4">
                  <c:v>0.005 [%]</c:v>
                </c:pt>
                <c:pt idx="5">
                  <c:v>0.01 [%]</c:v>
                </c:pt>
                <c:pt idx="6">
                  <c:v>0.05 [%]</c:v>
                </c:pt>
              </c:strCache>
            </c:strRef>
          </c:xVal>
          <c:yVal>
            <c:numRef>
              <c:f>Cooper_1984b_PD!$L$2:$L$8</c:f>
              <c:numCache>
                <c:formatCode>0.00E+00</c:formatCode>
                <c:ptCount val="7"/>
                <c:pt idx="0">
                  <c:v>3.9300000000000001E-4</c:v>
                </c:pt>
                <c:pt idx="1">
                  <c:v>3.57E-4</c:v>
                </c:pt>
                <c:pt idx="2">
                  <c:v>2.5799999999999998E-4</c:v>
                </c:pt>
                <c:pt idx="3">
                  <c:v>2.0000000000000001E-4</c:v>
                </c:pt>
                <c:pt idx="4">
                  <c:v>1E-4</c:v>
                </c:pt>
                <c:pt idx="5">
                  <c:v>8.6600000000000004E-5</c:v>
                </c:pt>
                <c:pt idx="6">
                  <c:v>6.9999999999999994E-5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47-4F21-9323-796ED32B0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702848"/>
        <c:axId val="1406405552"/>
      </c:scatterChart>
      <c:valAx>
        <c:axId val="155470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05552"/>
        <c:crosses val="autoZero"/>
        <c:crossBetween val="midCat"/>
      </c:valAx>
      <c:valAx>
        <c:axId val="140640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[µg/ml]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70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T4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Observed T4 (normalized)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Cooper_1984b_PD!$K$9:$K$15</c:f>
                <c:numCache>
                  <c:formatCode>General</c:formatCode>
                  <c:ptCount val="7"/>
                  <c:pt idx="0">
                    <c:v>1.5201401050788091E-3</c:v>
                  </c:pt>
                  <c:pt idx="1">
                    <c:v>1.5201401050788091E-3</c:v>
                  </c:pt>
                  <c:pt idx="2">
                    <c:v>1.8143607705779334E-3</c:v>
                  </c:pt>
                  <c:pt idx="3">
                    <c:v>1.5691768826619967E-3</c:v>
                  </c:pt>
                  <c:pt idx="4">
                    <c:v>8.3362521891418555E-4</c:v>
                  </c:pt>
                  <c:pt idx="5">
                    <c:v>5.3940455341506134E-4</c:v>
                  </c:pt>
                  <c:pt idx="6">
                    <c:v>1.9614711033274956E-4</c:v>
                  </c:pt>
                </c:numCache>
              </c:numRef>
            </c:plus>
            <c:minus>
              <c:numRef>
                <c:f>Cooper_1984b_PD!$K$9:$K$15</c:f>
                <c:numCache>
                  <c:formatCode>General</c:formatCode>
                  <c:ptCount val="7"/>
                  <c:pt idx="0">
                    <c:v>1.5201401050788091E-3</c:v>
                  </c:pt>
                  <c:pt idx="1">
                    <c:v>1.5201401050788091E-3</c:v>
                  </c:pt>
                  <c:pt idx="2">
                    <c:v>1.8143607705779334E-3</c:v>
                  </c:pt>
                  <c:pt idx="3">
                    <c:v>1.5691768826619967E-3</c:v>
                  </c:pt>
                  <c:pt idx="4">
                    <c:v>8.3362521891418555E-4</c:v>
                  </c:pt>
                  <c:pt idx="5">
                    <c:v>5.3940455341506134E-4</c:v>
                  </c:pt>
                  <c:pt idx="6">
                    <c:v>1.9614711033274956E-4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Cooper_1984b_PD!$G$9:$G$15</c:f>
              <c:strCache>
                <c:ptCount val="7"/>
                <c:pt idx="0">
                  <c:v>0</c:v>
                </c:pt>
                <c:pt idx="1">
                  <c:v>0.0001 [%]</c:v>
                </c:pt>
                <c:pt idx="2">
                  <c:v>0.0005 [%]</c:v>
                </c:pt>
                <c:pt idx="3">
                  <c:v>0.001 [%]</c:v>
                </c:pt>
                <c:pt idx="4">
                  <c:v>0.005 [%]</c:v>
                </c:pt>
                <c:pt idx="5">
                  <c:v>0.01 [%]</c:v>
                </c:pt>
                <c:pt idx="6">
                  <c:v>0.05 [%]</c:v>
                </c:pt>
              </c:strCache>
            </c:strRef>
          </c:xVal>
          <c:yVal>
            <c:numRef>
              <c:f>Cooper_1984b_PD!$J$9:$J$15</c:f>
              <c:numCache>
                <c:formatCode>General</c:formatCode>
                <c:ptCount val="7"/>
                <c:pt idx="0">
                  <c:v>2.7999999999999997E-2</c:v>
                </c:pt>
                <c:pt idx="1">
                  <c:v>2.1919439579684757E-2</c:v>
                </c:pt>
                <c:pt idx="2">
                  <c:v>2.2605954465849388E-2</c:v>
                </c:pt>
                <c:pt idx="3">
                  <c:v>1.6819614711033277E-2</c:v>
                </c:pt>
                <c:pt idx="4">
                  <c:v>5.492119089316988E-3</c:v>
                </c:pt>
                <c:pt idx="5">
                  <c:v>3.57968476357268E-3</c:v>
                </c:pt>
                <c:pt idx="6">
                  <c:v>1.373029772329247E-3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3-4973-9DBC-7687A34BBFB1}"/>
            </c:ext>
          </c:extLst>
        </c:ser>
        <c:ser>
          <c:idx val="1"/>
          <c:order val="1"/>
          <c:tx>
            <c:v>Simulated 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Cooper_1984b_PD!$G$9:$G$15</c:f>
              <c:strCache>
                <c:ptCount val="7"/>
                <c:pt idx="0">
                  <c:v>0</c:v>
                </c:pt>
                <c:pt idx="1">
                  <c:v>0.0001 [%]</c:v>
                </c:pt>
                <c:pt idx="2">
                  <c:v>0.0005 [%]</c:v>
                </c:pt>
                <c:pt idx="3">
                  <c:v>0.001 [%]</c:v>
                </c:pt>
                <c:pt idx="4">
                  <c:v>0.005 [%]</c:v>
                </c:pt>
                <c:pt idx="5">
                  <c:v>0.01 [%]</c:v>
                </c:pt>
                <c:pt idx="6">
                  <c:v>0.05 [%]</c:v>
                </c:pt>
              </c:strCache>
            </c:strRef>
          </c:xVal>
          <c:yVal>
            <c:numRef>
              <c:f>Cooper_1984b_PD!$L$9:$L$15</c:f>
              <c:numCache>
                <c:formatCode>0.00E+00</c:formatCode>
                <c:ptCount val="7"/>
                <c:pt idx="0">
                  <c:v>2.8199999999999999E-2</c:v>
                </c:pt>
                <c:pt idx="1">
                  <c:v>2.47E-2</c:v>
                </c:pt>
                <c:pt idx="2">
                  <c:v>1.6799999999999999E-2</c:v>
                </c:pt>
                <c:pt idx="3">
                  <c:v>1.2200000000000001E-2</c:v>
                </c:pt>
                <c:pt idx="4">
                  <c:v>4.8999999999999998E-3</c:v>
                </c:pt>
                <c:pt idx="5">
                  <c:v>3.5300000000000002E-3</c:v>
                </c:pt>
                <c:pt idx="6">
                  <c:v>2.31E-3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F3-4973-9DBC-7687A34BB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371408"/>
        <c:axId val="1235544048"/>
      </c:scatterChart>
      <c:valAx>
        <c:axId val="123437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44048"/>
        <c:crosses val="autoZero"/>
        <c:crossBetween val="midCat"/>
      </c:valAx>
      <c:valAx>
        <c:axId val="12355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[µg/ml]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37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TSH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Observed TSH (normalized)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Cooper_1984b_PD!$K$16:$K$22</c:f>
                <c:numCache>
                  <c:formatCode>General</c:formatCode>
                  <c:ptCount val="7"/>
                  <c:pt idx="0">
                    <c:v>3.7549407114624507E-4</c:v>
                  </c:pt>
                  <c:pt idx="1">
                    <c:v>8.3003952569169956E-4</c:v>
                  </c:pt>
                  <c:pt idx="2">
                    <c:v>7.5098814229249025E-4</c:v>
                  </c:pt>
                  <c:pt idx="3">
                    <c:v>8.3992094861660093E-4</c:v>
                  </c:pt>
                  <c:pt idx="4">
                    <c:v>6.6205533596837957E-4</c:v>
                  </c:pt>
                  <c:pt idx="5">
                    <c:v>8.0039525691699622E-4</c:v>
                  </c:pt>
                  <c:pt idx="6">
                    <c:v>6.0276679841897245E-4</c:v>
                  </c:pt>
                </c:numCache>
              </c:numRef>
            </c:plus>
            <c:minus>
              <c:numRef>
                <c:f>Cooper_1984b_PD!$K$16:$K$22</c:f>
                <c:numCache>
                  <c:formatCode>General</c:formatCode>
                  <c:ptCount val="7"/>
                  <c:pt idx="0">
                    <c:v>3.7549407114624507E-4</c:v>
                  </c:pt>
                  <c:pt idx="1">
                    <c:v>8.3003952569169956E-4</c:v>
                  </c:pt>
                  <c:pt idx="2">
                    <c:v>7.5098814229249025E-4</c:v>
                  </c:pt>
                  <c:pt idx="3">
                    <c:v>8.3992094861660093E-4</c:v>
                  </c:pt>
                  <c:pt idx="4">
                    <c:v>6.6205533596837957E-4</c:v>
                  </c:pt>
                  <c:pt idx="5">
                    <c:v>8.0039525691699622E-4</c:v>
                  </c:pt>
                  <c:pt idx="6">
                    <c:v>6.0276679841897245E-4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Cooper_1984b_PD!$G$16:$G$22</c:f>
              <c:strCache>
                <c:ptCount val="7"/>
                <c:pt idx="0">
                  <c:v>0</c:v>
                </c:pt>
                <c:pt idx="1">
                  <c:v>0.0001 [%]</c:v>
                </c:pt>
                <c:pt idx="2">
                  <c:v>0.0005 [%]</c:v>
                </c:pt>
                <c:pt idx="3">
                  <c:v>0.001 [%]</c:v>
                </c:pt>
                <c:pt idx="4">
                  <c:v>0.005 [%]</c:v>
                </c:pt>
                <c:pt idx="5">
                  <c:v>0.01 [%]</c:v>
                </c:pt>
                <c:pt idx="6">
                  <c:v>0.05 [%]</c:v>
                </c:pt>
              </c:strCache>
            </c:strRef>
          </c:xVal>
          <c:yVal>
            <c:numRef>
              <c:f>Cooper_1984b_PD!$J$16:$J$22</c:f>
              <c:numCache>
                <c:formatCode>General</c:formatCode>
                <c:ptCount val="7"/>
                <c:pt idx="0">
                  <c:v>2.5000000000000001E-3</c:v>
                </c:pt>
                <c:pt idx="1">
                  <c:v>3.1719367588932809E-3</c:v>
                </c:pt>
                <c:pt idx="2">
                  <c:v>4.9011857707509879E-3</c:v>
                </c:pt>
                <c:pt idx="3">
                  <c:v>6.5316205533596855E-3</c:v>
                </c:pt>
                <c:pt idx="4">
                  <c:v>8.5276679841897254E-3</c:v>
                </c:pt>
                <c:pt idx="5">
                  <c:v>8.725296442687748E-3</c:v>
                </c:pt>
                <c:pt idx="6">
                  <c:v>7.470355731225297E-3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FB-4AE6-81EF-A5128A7B1DE7}"/>
            </c:ext>
          </c:extLst>
        </c:ser>
        <c:ser>
          <c:idx val="1"/>
          <c:order val="1"/>
          <c:tx>
            <c:v>Simulated TSH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Cooper_1984b_PD!$G$16:$G$22</c:f>
              <c:strCache>
                <c:ptCount val="7"/>
                <c:pt idx="0">
                  <c:v>0</c:v>
                </c:pt>
                <c:pt idx="1">
                  <c:v>0.0001 [%]</c:v>
                </c:pt>
                <c:pt idx="2">
                  <c:v>0.0005 [%]</c:v>
                </c:pt>
                <c:pt idx="3">
                  <c:v>0.001 [%]</c:v>
                </c:pt>
                <c:pt idx="4">
                  <c:v>0.005 [%]</c:v>
                </c:pt>
                <c:pt idx="5">
                  <c:v>0.01 [%]</c:v>
                </c:pt>
                <c:pt idx="6">
                  <c:v>0.05 [%]</c:v>
                </c:pt>
              </c:strCache>
            </c:strRef>
          </c:xVal>
          <c:yVal>
            <c:numRef>
              <c:f>Cooper_1984b_PD!$L$16:$L$22</c:f>
              <c:numCache>
                <c:formatCode>0.00E+00</c:formatCode>
                <c:ptCount val="7"/>
                <c:pt idx="0">
                  <c:v>2.5200000000000001E-3</c:v>
                </c:pt>
                <c:pt idx="1">
                  <c:v>2.6700000000000001E-3</c:v>
                </c:pt>
                <c:pt idx="2">
                  <c:v>3.3300000000000001E-3</c:v>
                </c:pt>
                <c:pt idx="3">
                  <c:v>4.0000000000000001E-3</c:v>
                </c:pt>
                <c:pt idx="4">
                  <c:v>6.7000000000000002E-3</c:v>
                </c:pt>
                <c:pt idx="5">
                  <c:v>7.9600000000000001E-3</c:v>
                </c:pt>
                <c:pt idx="6">
                  <c:v>9.9399999999999992E-3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FB-4AE6-81EF-A5128A7B1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337488"/>
        <c:axId val="1915435392"/>
      </c:scatterChart>
      <c:valAx>
        <c:axId val="15973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435392"/>
        <c:crosses val="autoZero"/>
        <c:crossBetween val="midCat"/>
      </c:valAx>
      <c:valAx>
        <c:axId val="19154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[µg/ml]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3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T4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MMI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Cooper_1984b_PD!$G$9:$G$15</c:f>
              <c:strCache>
                <c:ptCount val="7"/>
                <c:pt idx="0">
                  <c:v>0</c:v>
                </c:pt>
                <c:pt idx="1">
                  <c:v>0.0001 [%]</c:v>
                </c:pt>
                <c:pt idx="2">
                  <c:v>0.0005 [%]</c:v>
                </c:pt>
                <c:pt idx="3">
                  <c:v>0.001 [%]</c:v>
                </c:pt>
                <c:pt idx="4">
                  <c:v>0.005 [%]</c:v>
                </c:pt>
                <c:pt idx="5">
                  <c:v>0.01 [%]</c:v>
                </c:pt>
                <c:pt idx="6">
                  <c:v>0.05 [%]</c:v>
                </c:pt>
              </c:strCache>
            </c:strRef>
          </c:xVal>
          <c:yVal>
            <c:numRef>
              <c:f>Cooper_1984b_PD!$J$9:$J$15</c:f>
              <c:numCache>
                <c:formatCode>General</c:formatCode>
                <c:ptCount val="7"/>
                <c:pt idx="0">
                  <c:v>2.7999999999999997E-2</c:v>
                </c:pt>
                <c:pt idx="1">
                  <c:v>2.1919439579684757E-2</c:v>
                </c:pt>
                <c:pt idx="2">
                  <c:v>2.2605954465849388E-2</c:v>
                </c:pt>
                <c:pt idx="3">
                  <c:v>1.6819614711033277E-2</c:v>
                </c:pt>
                <c:pt idx="4">
                  <c:v>5.492119089316988E-3</c:v>
                </c:pt>
                <c:pt idx="5">
                  <c:v>3.57968476357268E-3</c:v>
                </c:pt>
                <c:pt idx="6">
                  <c:v>1.373029772329247E-3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E-4152-8E08-525FEAAE8FED}"/>
            </c:ext>
          </c:extLst>
        </c:ser>
        <c:ser>
          <c:idx val="1"/>
          <c:order val="1"/>
          <c:tx>
            <c:v>PTU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Cooper_1983!$G$10:$G$16</c:f>
              <c:strCache>
                <c:ptCount val="7"/>
                <c:pt idx="0">
                  <c:v>0</c:v>
                </c:pt>
                <c:pt idx="1">
                  <c:v>0.0001 [%]</c:v>
                </c:pt>
                <c:pt idx="2">
                  <c:v>0.0005 [%]</c:v>
                </c:pt>
                <c:pt idx="3">
                  <c:v>0.001 [%]</c:v>
                </c:pt>
                <c:pt idx="4">
                  <c:v>0.005 [%]</c:v>
                </c:pt>
                <c:pt idx="5">
                  <c:v>0.01 [%]</c:v>
                </c:pt>
                <c:pt idx="6">
                  <c:v>0.05</c:v>
                </c:pt>
              </c:strCache>
            </c:strRef>
          </c:xVal>
          <c:yVal>
            <c:numRef>
              <c:f>Cooper_1983!$J$10:$J$16</c:f>
              <c:numCache>
                <c:formatCode>General</c:formatCode>
                <c:ptCount val="7"/>
                <c:pt idx="0">
                  <c:v>2.7999999999999997E-2</c:v>
                </c:pt>
                <c:pt idx="1">
                  <c:v>3.8666666666666662E-2</c:v>
                </c:pt>
                <c:pt idx="2">
                  <c:v>2.5333333333333329E-2</c:v>
                </c:pt>
                <c:pt idx="3">
                  <c:v>1.8666666666666665E-2</c:v>
                </c:pt>
                <c:pt idx="4">
                  <c:v>1.0666666666666665E-2</c:v>
                </c:pt>
                <c:pt idx="5">
                  <c:v>6.6666666666666662E-3</c:v>
                </c:pt>
                <c:pt idx="6" formatCode="0.00E+00">
                  <c:v>6.3400000000000001E-3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E-4152-8E08-525FEAAE8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371408"/>
        <c:axId val="1235544048"/>
      </c:scatterChart>
      <c:valAx>
        <c:axId val="123437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44048"/>
        <c:crosses val="autoZero"/>
        <c:crossBetween val="midCat"/>
      </c:valAx>
      <c:valAx>
        <c:axId val="12355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[µg/ml]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37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T3/TSH</a:t>
            </a:r>
            <a:r>
              <a:rPr lang="en-US" baseline="0"/>
              <a:t> relaitonship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MMI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Cooper_1984b_PD!$J$2:$J$8</c:f>
              <c:numCache>
                <c:formatCode>General</c:formatCode>
                <c:ptCount val="7"/>
                <c:pt idx="0">
                  <c:v>4.0000000000000002E-4</c:v>
                </c:pt>
                <c:pt idx="1">
                  <c:v>3.3725490196078437E-4</c:v>
                </c:pt>
                <c:pt idx="2">
                  <c:v>3.5966386554621849E-4</c:v>
                </c:pt>
                <c:pt idx="3">
                  <c:v>2.8627450980392162E-4</c:v>
                </c:pt>
                <c:pt idx="4">
                  <c:v>1.1204481792717087E-4</c:v>
                </c:pt>
                <c:pt idx="5">
                  <c:v>6.3305322128851538E-5</c:v>
                </c:pt>
                <c:pt idx="6">
                  <c:v>5.99439775910364E-5</c:v>
                </c:pt>
              </c:numCache>
            </c:numRef>
          </c:xVal>
          <c:yVal>
            <c:numRef>
              <c:f>Cooper_1984b_PD!$J$16:$J$22</c:f>
              <c:numCache>
                <c:formatCode>General</c:formatCode>
                <c:ptCount val="7"/>
                <c:pt idx="0">
                  <c:v>2.5000000000000001E-3</c:v>
                </c:pt>
                <c:pt idx="1">
                  <c:v>3.1719367588932809E-3</c:v>
                </c:pt>
                <c:pt idx="2">
                  <c:v>4.9011857707509879E-3</c:v>
                </c:pt>
                <c:pt idx="3">
                  <c:v>6.5316205533596855E-3</c:v>
                </c:pt>
                <c:pt idx="4">
                  <c:v>8.5276679841897254E-3</c:v>
                </c:pt>
                <c:pt idx="5">
                  <c:v>8.725296442687748E-3</c:v>
                </c:pt>
                <c:pt idx="6">
                  <c:v>7.470355731225297E-3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9-4408-9BC8-1D33B24A9839}"/>
            </c:ext>
          </c:extLst>
        </c:ser>
        <c:ser>
          <c:idx val="1"/>
          <c:order val="1"/>
          <c:tx>
            <c:v>PTU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Cooper_1983!$J$3:$J$9</c:f>
              <c:numCache>
                <c:formatCode>General</c:formatCode>
                <c:ptCount val="7"/>
                <c:pt idx="0">
                  <c:v>4.0000000000000002E-4</c:v>
                </c:pt>
                <c:pt idx="1">
                  <c:v>3.6000000000000002E-4</c:v>
                </c:pt>
                <c:pt idx="2">
                  <c:v>3.2000000000000003E-4</c:v>
                </c:pt>
                <c:pt idx="3">
                  <c:v>2.8666666666666673E-4</c:v>
                </c:pt>
                <c:pt idx="4">
                  <c:v>2.4000000000000001E-4</c:v>
                </c:pt>
                <c:pt idx="5">
                  <c:v>2.2666666666666666E-4</c:v>
                </c:pt>
                <c:pt idx="6">
                  <c:v>2.5500000000000002E-4</c:v>
                </c:pt>
              </c:numCache>
            </c:numRef>
          </c:xVal>
          <c:yVal>
            <c:numRef>
              <c:f>Cooper_1983!$J$17:$J$22</c:f>
              <c:numCache>
                <c:formatCode>General</c:formatCode>
                <c:ptCount val="6"/>
                <c:pt idx="0">
                  <c:v>2.5000000000000001E-3</c:v>
                </c:pt>
                <c:pt idx="1">
                  <c:v>3.9655172413793098E-3</c:v>
                </c:pt>
                <c:pt idx="2">
                  <c:v>1.0086206896551724E-2</c:v>
                </c:pt>
                <c:pt idx="3">
                  <c:v>8.4482758620689664E-3</c:v>
                </c:pt>
                <c:pt idx="4">
                  <c:v>1.0172413793103451E-2</c:v>
                </c:pt>
                <c:pt idx="5">
                  <c:v>8.9655172413793099E-3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79-4408-9BC8-1D33B24A9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784784"/>
        <c:axId val="672733024"/>
      </c:scatterChart>
      <c:valAx>
        <c:axId val="72678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T3</a:t>
                </a:r>
                <a:r>
                  <a:rPr lang="en-US" baseline="0"/>
                  <a:t> concentration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33024"/>
        <c:crosses val="autoZero"/>
        <c:crossBetween val="midCat"/>
      </c:valAx>
      <c:valAx>
        <c:axId val="6727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TSH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8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T4/TSH 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MMI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Cooper_1984b_PD!$J$9:$J$15</c:f>
              <c:numCache>
                <c:formatCode>General</c:formatCode>
                <c:ptCount val="7"/>
                <c:pt idx="0">
                  <c:v>2.7999999999999997E-2</c:v>
                </c:pt>
                <c:pt idx="1">
                  <c:v>2.1919439579684757E-2</c:v>
                </c:pt>
                <c:pt idx="2">
                  <c:v>2.2605954465849388E-2</c:v>
                </c:pt>
                <c:pt idx="3">
                  <c:v>1.6819614711033277E-2</c:v>
                </c:pt>
                <c:pt idx="4">
                  <c:v>5.492119089316988E-3</c:v>
                </c:pt>
                <c:pt idx="5">
                  <c:v>3.57968476357268E-3</c:v>
                </c:pt>
                <c:pt idx="6">
                  <c:v>1.373029772329247E-3</c:v>
                </c:pt>
              </c:numCache>
            </c:numRef>
          </c:xVal>
          <c:yVal>
            <c:numRef>
              <c:f>Cooper_1984b_PD!$J$16:$J$22</c:f>
              <c:numCache>
                <c:formatCode>General</c:formatCode>
                <c:ptCount val="7"/>
                <c:pt idx="0">
                  <c:v>2.5000000000000001E-3</c:v>
                </c:pt>
                <c:pt idx="1">
                  <c:v>3.1719367588932809E-3</c:v>
                </c:pt>
                <c:pt idx="2">
                  <c:v>4.9011857707509879E-3</c:v>
                </c:pt>
                <c:pt idx="3">
                  <c:v>6.5316205533596855E-3</c:v>
                </c:pt>
                <c:pt idx="4">
                  <c:v>8.5276679841897254E-3</c:v>
                </c:pt>
                <c:pt idx="5">
                  <c:v>8.725296442687748E-3</c:v>
                </c:pt>
                <c:pt idx="6">
                  <c:v>7.470355731225297E-3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D-4BCF-9038-B8D9EC9F8852}"/>
            </c:ext>
          </c:extLst>
        </c:ser>
        <c:ser>
          <c:idx val="1"/>
          <c:order val="1"/>
          <c:tx>
            <c:v>PTU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Cooper_1983!$J$10:$J$16</c:f>
              <c:numCache>
                <c:formatCode>General</c:formatCode>
                <c:ptCount val="7"/>
                <c:pt idx="0">
                  <c:v>2.7999999999999997E-2</c:v>
                </c:pt>
                <c:pt idx="1">
                  <c:v>3.8666666666666662E-2</c:v>
                </c:pt>
                <c:pt idx="2">
                  <c:v>2.5333333333333329E-2</c:v>
                </c:pt>
                <c:pt idx="3">
                  <c:v>1.8666666666666665E-2</c:v>
                </c:pt>
                <c:pt idx="4">
                  <c:v>1.0666666666666665E-2</c:v>
                </c:pt>
                <c:pt idx="5">
                  <c:v>6.6666666666666662E-3</c:v>
                </c:pt>
                <c:pt idx="6" formatCode="0.00E+00">
                  <c:v>6.3400000000000001E-3</c:v>
                </c:pt>
              </c:numCache>
            </c:numRef>
          </c:xVal>
          <c:yVal>
            <c:numRef>
              <c:f>Cooper_1983!$J$17:$J$22</c:f>
              <c:numCache>
                <c:formatCode>General</c:formatCode>
                <c:ptCount val="6"/>
                <c:pt idx="0">
                  <c:v>2.5000000000000001E-3</c:v>
                </c:pt>
                <c:pt idx="1">
                  <c:v>3.9655172413793098E-3</c:v>
                </c:pt>
                <c:pt idx="2">
                  <c:v>1.0086206896551724E-2</c:v>
                </c:pt>
                <c:pt idx="3">
                  <c:v>8.4482758620689664E-3</c:v>
                </c:pt>
                <c:pt idx="4">
                  <c:v>1.0172413793103451E-2</c:v>
                </c:pt>
                <c:pt idx="5">
                  <c:v>8.9655172413793099E-3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ED-4BCF-9038-B8D9EC9F8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891920"/>
        <c:axId val="674093248"/>
      </c:scatterChart>
      <c:valAx>
        <c:axId val="71989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T4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93248"/>
        <c:crosses val="autoZero"/>
        <c:crossBetween val="midCat"/>
      </c:valAx>
      <c:valAx>
        <c:axId val="6740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TSH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9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25</xdr:row>
      <xdr:rowOff>71437</xdr:rowOff>
    </xdr:from>
    <xdr:to>
      <xdr:col>9</xdr:col>
      <xdr:colOff>66675</xdr:colOff>
      <xdr:row>39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C7BEBA-46FA-4DB7-99C2-B5729A092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183173</xdr:colOff>
      <xdr:row>25</xdr:row>
      <xdr:rowOff>79130</xdr:rowOff>
    </xdr:from>
    <xdr:to>
      <xdr:col>13</xdr:col>
      <xdr:colOff>534866</xdr:colOff>
      <xdr:row>39</xdr:row>
      <xdr:rowOff>155330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33C32D-A452-4D5E-BC93-4C784BF88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73269</xdr:colOff>
      <xdr:row>25</xdr:row>
      <xdr:rowOff>79130</xdr:rowOff>
    </xdr:from>
    <xdr:to>
      <xdr:col>21</xdr:col>
      <xdr:colOff>388327</xdr:colOff>
      <xdr:row>39</xdr:row>
      <xdr:rowOff>155330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9160B1-F69D-419B-9CA0-BD4791ACC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24</xdr:row>
      <xdr:rowOff>71437</xdr:rowOff>
    </xdr:from>
    <xdr:to>
      <xdr:col>9</xdr:col>
      <xdr:colOff>66675</xdr:colOff>
      <xdr:row>38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02F91C-ECE0-4693-8B96-B515BD3DC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183173</xdr:colOff>
      <xdr:row>24</xdr:row>
      <xdr:rowOff>79130</xdr:rowOff>
    </xdr:from>
    <xdr:to>
      <xdr:col>13</xdr:col>
      <xdr:colOff>534866</xdr:colOff>
      <xdr:row>38</xdr:row>
      <xdr:rowOff>155330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35EE3F-2FAF-437C-A369-88FC15380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73269</xdr:colOff>
      <xdr:row>24</xdr:row>
      <xdr:rowOff>79130</xdr:rowOff>
    </xdr:from>
    <xdr:to>
      <xdr:col>21</xdr:col>
      <xdr:colOff>388327</xdr:colOff>
      <xdr:row>38</xdr:row>
      <xdr:rowOff>155330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18B54E-C730-45D9-A3E8-CD8F80135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351118</xdr:colOff>
      <xdr:row>41</xdr:row>
      <xdr:rowOff>22411</xdr:rowOff>
    </xdr:from>
    <xdr:to>
      <xdr:col>9</xdr:col>
      <xdr:colOff>26161</xdr:colOff>
      <xdr:row>55</xdr:row>
      <xdr:rowOff>98611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6F8954-6557-49E8-B50A-4068AD5C8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61912</xdr:colOff>
      <xdr:row>24</xdr:row>
      <xdr:rowOff>42862</xdr:rowOff>
    </xdr:from>
    <xdr:to>
      <xdr:col>30</xdr:col>
      <xdr:colOff>366712</xdr:colOff>
      <xdr:row>38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DE2CE1-C25B-4C95-9464-4A7E125F6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80962</xdr:colOff>
      <xdr:row>43</xdr:row>
      <xdr:rowOff>4762</xdr:rowOff>
    </xdr:from>
    <xdr:to>
      <xdr:col>30</xdr:col>
      <xdr:colOff>385762</xdr:colOff>
      <xdr:row>57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A454F5-5DB4-4198-B043-B76C005A9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114300</xdr:colOff>
      <xdr:row>24</xdr:row>
      <xdr:rowOff>28575</xdr:rowOff>
    </xdr:from>
    <xdr:to>
      <xdr:col>38</xdr:col>
      <xdr:colOff>419100</xdr:colOff>
      <xdr:row>38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A7B077-8448-403A-A375-D3E5DAA95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285750</xdr:colOff>
      <xdr:row>43</xdr:row>
      <xdr:rowOff>19050</xdr:rowOff>
    </xdr:from>
    <xdr:to>
      <xdr:col>38</xdr:col>
      <xdr:colOff>590550</xdr:colOff>
      <xdr:row>57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B611703-6E74-4432-B84F-E295850FF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306293</xdr:colOff>
      <xdr:row>42</xdr:row>
      <xdr:rowOff>21665</xdr:rowOff>
    </xdr:from>
    <xdr:to>
      <xdr:col>16</xdr:col>
      <xdr:colOff>382586</xdr:colOff>
      <xdr:row>56</xdr:row>
      <xdr:rowOff>150159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2588FE8-9330-46C0-A4BA-874E43367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530944</xdr:colOff>
      <xdr:row>14</xdr:row>
      <xdr:rowOff>109641</xdr:rowOff>
    </xdr:from>
    <xdr:to>
      <xdr:col>29</xdr:col>
      <xdr:colOff>475431</xdr:colOff>
      <xdr:row>44</xdr:row>
      <xdr:rowOff>4509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838E98-6926-41C2-B347-9713348CD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02E6D-D5FA-4632-83B1-0591A8C675C0}">
  <dimension ref="A1:O19"/>
  <sheetViews>
    <sheetView workbookViewId="0">
      <selection activeCell="B29" sqref="B29"/>
    </sheetView>
  </sheetViews>
  <sheetFormatPr defaultColWidth="11.5703125" defaultRowHeight="15" x14ac:dyDescent="0.25"/>
  <cols>
    <col min="1" max="1" width="36.140625" style="9" bestFit="1" customWidth="1"/>
    <col min="2" max="2" width="33.7109375" style="9" bestFit="1" customWidth="1"/>
    <col min="3" max="3" width="15.42578125" style="11" bestFit="1" customWidth="1"/>
    <col min="4" max="4" width="18.42578125" style="9" bestFit="1" customWidth="1"/>
    <col min="5" max="5" width="13.5703125" style="9" bestFit="1" customWidth="1"/>
    <col min="6" max="6" width="15.7109375" style="9" bestFit="1" customWidth="1"/>
    <col min="7" max="7" width="16.42578125" style="9" bestFit="1" customWidth="1"/>
    <col min="8" max="8" width="15.7109375" style="9" bestFit="1" customWidth="1"/>
    <col min="9" max="9" width="16.42578125" style="9" bestFit="1" customWidth="1"/>
    <col min="10" max="10" width="17.7109375" style="9" bestFit="1" customWidth="1"/>
    <col min="11" max="11" width="18.28515625" style="9" bestFit="1" customWidth="1"/>
    <col min="12" max="12" width="18.140625" style="9" bestFit="1" customWidth="1"/>
    <col min="13" max="13" width="19.5703125" style="9" bestFit="1" customWidth="1"/>
    <col min="14" max="14" width="20.42578125" style="9" bestFit="1" customWidth="1"/>
    <col min="15" max="15" width="21.85546875" style="9" bestFit="1" customWidth="1"/>
    <col min="16" max="16384" width="11.5703125" style="9"/>
  </cols>
  <sheetData>
    <row r="1" spans="1:15" x14ac:dyDescent="0.25">
      <c r="A1" s="8" t="s">
        <v>2</v>
      </c>
      <c r="B1" s="9" t="s">
        <v>103</v>
      </c>
      <c r="C1" s="10" t="s">
        <v>104</v>
      </c>
      <c r="D1" s="8" t="s">
        <v>92</v>
      </c>
      <c r="E1" s="8" t="s">
        <v>91</v>
      </c>
      <c r="F1" s="9" t="s">
        <v>93</v>
      </c>
      <c r="G1" s="9" t="s">
        <v>94</v>
      </c>
      <c r="H1" s="9" t="s">
        <v>95</v>
      </c>
      <c r="I1" s="9" t="s">
        <v>96</v>
      </c>
      <c r="J1" s="9" t="s">
        <v>97</v>
      </c>
      <c r="K1" s="9" t="s">
        <v>98</v>
      </c>
      <c r="L1" s="9" t="s">
        <v>99</v>
      </c>
      <c r="M1" s="9" t="s">
        <v>100</v>
      </c>
      <c r="N1" s="9" t="s">
        <v>101</v>
      </c>
      <c r="O1" s="9" t="s">
        <v>102</v>
      </c>
    </row>
    <row r="2" spans="1:15" x14ac:dyDescent="0.25">
      <c r="A2" s="8" t="s">
        <v>141</v>
      </c>
      <c r="B2" s="9">
        <f>1000*25*C2</f>
        <v>0</v>
      </c>
      <c r="C2" s="11">
        <v>0</v>
      </c>
      <c r="D2" s="9">
        <v>89</v>
      </c>
      <c r="E2" s="9">
        <v>1</v>
      </c>
      <c r="F2" s="9">
        <v>4.2</v>
      </c>
      <c r="G2" s="9">
        <v>0.3</v>
      </c>
      <c r="H2" s="9">
        <v>60</v>
      </c>
      <c r="I2" s="9">
        <v>2</v>
      </c>
      <c r="J2" s="9">
        <v>2.9</v>
      </c>
      <c r="K2" s="9">
        <v>0.5</v>
      </c>
      <c r="L2" s="9">
        <v>0</v>
      </c>
      <c r="M2" s="9">
        <v>0</v>
      </c>
      <c r="N2" s="9">
        <v>0</v>
      </c>
      <c r="O2" s="9">
        <v>0</v>
      </c>
    </row>
    <row r="3" spans="1:15" x14ac:dyDescent="0.25">
      <c r="A3" s="8" t="s">
        <v>140</v>
      </c>
      <c r="B3" s="9">
        <f>1000*25*C3</f>
        <v>2.5</v>
      </c>
      <c r="C3" s="11">
        <v>1E-4</v>
      </c>
      <c r="D3" s="9">
        <v>85</v>
      </c>
      <c r="E3" s="9">
        <v>2</v>
      </c>
      <c r="F3" s="9">
        <v>5.8</v>
      </c>
      <c r="G3" s="9">
        <v>0.4</v>
      </c>
      <c r="H3" s="9">
        <v>54</v>
      </c>
      <c r="I3" s="9">
        <v>5</v>
      </c>
      <c r="J3" s="9">
        <v>4.5999999999999996</v>
      </c>
      <c r="K3" s="9">
        <v>1</v>
      </c>
      <c r="L3" s="9">
        <v>4.5999999999999999E-2</v>
      </c>
      <c r="M3" s="9">
        <v>6.0000000000000001E-3</v>
      </c>
      <c r="N3" s="9">
        <v>6.2E-2</v>
      </c>
      <c r="O3" s="9">
        <v>8.9999999999999993E-3</v>
      </c>
    </row>
    <row r="4" spans="1:15" x14ac:dyDescent="0.25">
      <c r="A4" s="8" t="s">
        <v>142</v>
      </c>
      <c r="B4" s="9">
        <f>1000*25*C4</f>
        <v>12.5</v>
      </c>
      <c r="C4" s="11">
        <v>5.0000000000000001E-4</v>
      </c>
      <c r="D4" s="9">
        <v>42</v>
      </c>
      <c r="E4" s="9">
        <v>3</v>
      </c>
      <c r="F4" s="9">
        <v>3.8</v>
      </c>
      <c r="G4" s="9">
        <v>0.4</v>
      </c>
      <c r="H4" s="9">
        <v>48</v>
      </c>
      <c r="I4" s="9">
        <v>3</v>
      </c>
      <c r="J4" s="9">
        <v>11.7</v>
      </c>
      <c r="K4" s="9">
        <v>1.5</v>
      </c>
      <c r="L4" s="9">
        <v>0.32</v>
      </c>
      <c r="M4" s="9">
        <v>0.02</v>
      </c>
      <c r="N4" s="9">
        <v>0.313</v>
      </c>
      <c r="O4" s="9">
        <v>5.8999999999999997E-2</v>
      </c>
    </row>
    <row r="5" spans="1:15" x14ac:dyDescent="0.25">
      <c r="A5" s="8" t="s">
        <v>143</v>
      </c>
      <c r="B5" s="9">
        <f>1000*25*C5</f>
        <v>25</v>
      </c>
      <c r="C5" s="11">
        <v>1E-3</v>
      </c>
      <c r="D5" s="9">
        <v>24</v>
      </c>
      <c r="E5" s="9">
        <v>6</v>
      </c>
      <c r="F5" s="9">
        <v>2.8</v>
      </c>
      <c r="G5" s="9">
        <v>0.4</v>
      </c>
      <c r="H5" s="9">
        <v>43</v>
      </c>
      <c r="I5" s="9">
        <v>4</v>
      </c>
      <c r="J5" s="9">
        <v>9.8000000000000007</v>
      </c>
      <c r="K5" s="9">
        <v>0.7</v>
      </c>
      <c r="L5" s="9">
        <v>0.53</v>
      </c>
      <c r="M5" s="9">
        <v>0.12</v>
      </c>
      <c r="N5" s="9">
        <v>0.376</v>
      </c>
      <c r="O5" s="9">
        <v>4.3999999999999997E-2</v>
      </c>
    </row>
    <row r="6" spans="1:15" x14ac:dyDescent="0.25">
      <c r="A6" s="8" t="s">
        <v>144</v>
      </c>
      <c r="B6" s="9">
        <f>1000*25*C6</f>
        <v>125</v>
      </c>
      <c r="C6" s="11">
        <v>5.0000000000000001E-3</v>
      </c>
      <c r="D6" s="9">
        <v>8</v>
      </c>
      <c r="E6" s="9">
        <v>1.5</v>
      </c>
      <c r="F6" s="9">
        <v>1.6</v>
      </c>
      <c r="G6" s="9">
        <v>0.2</v>
      </c>
      <c r="H6" s="9">
        <v>36</v>
      </c>
      <c r="I6" s="9">
        <v>2</v>
      </c>
      <c r="J6" s="9">
        <v>11.8</v>
      </c>
      <c r="K6" s="9">
        <v>1.8</v>
      </c>
      <c r="L6" s="9">
        <v>3</v>
      </c>
      <c r="M6" s="9">
        <v>0.34</v>
      </c>
      <c r="N6" s="9">
        <v>0.502</v>
      </c>
      <c r="O6" s="9">
        <v>8.5999999999999993E-2</v>
      </c>
    </row>
    <row r="7" spans="1:15" x14ac:dyDescent="0.25">
      <c r="A7" s="8" t="s">
        <v>146</v>
      </c>
      <c r="B7" s="9">
        <f t="shared" ref="B7" si="0">1000*25*C7</f>
        <v>250</v>
      </c>
      <c r="C7" s="11">
        <v>0.01</v>
      </c>
      <c r="D7" s="9">
        <v>3</v>
      </c>
      <c r="E7" s="9">
        <v>0.3</v>
      </c>
      <c r="F7" s="9">
        <v>1</v>
      </c>
      <c r="G7" s="9">
        <v>0.1</v>
      </c>
      <c r="H7" s="9">
        <v>34</v>
      </c>
      <c r="I7" s="9">
        <v>3</v>
      </c>
      <c r="J7" s="9">
        <v>10.4</v>
      </c>
      <c r="K7" s="9">
        <v>0.6</v>
      </c>
      <c r="L7" s="9">
        <v>5.73</v>
      </c>
      <c r="M7" s="9">
        <v>0.5</v>
      </c>
      <c r="N7" s="9">
        <v>0.54300000000000004</v>
      </c>
      <c r="O7" s="9">
        <v>6.2E-2</v>
      </c>
    </row>
    <row r="12" spans="1:15" x14ac:dyDescent="0.25">
      <c r="C12" s="17" t="s">
        <v>147</v>
      </c>
      <c r="D12" s="13" t="s">
        <v>148</v>
      </c>
      <c r="E12" s="14" t="s">
        <v>145</v>
      </c>
    </row>
    <row r="13" spans="1:15" x14ac:dyDescent="0.25">
      <c r="C13" s="17">
        <f>25*1000*1000</f>
        <v>25000000</v>
      </c>
      <c r="D13" s="18">
        <v>9.9999999999999995E-7</v>
      </c>
      <c r="E13" s="15">
        <f>C13*D13</f>
        <v>25</v>
      </c>
    </row>
    <row r="14" spans="1:15" x14ac:dyDescent="0.25">
      <c r="C14" s="17">
        <f t="shared" ref="C14:C16" si="1">25*1000*1000</f>
        <v>25000000</v>
      </c>
      <c r="D14" s="18">
        <v>5.0000000000000004E-6</v>
      </c>
      <c r="E14" s="15">
        <f t="shared" ref="E14:E17" si="2">C14*D14</f>
        <v>125.00000000000001</v>
      </c>
    </row>
    <row r="15" spans="1:15" x14ac:dyDescent="0.25">
      <c r="C15" s="17">
        <f t="shared" si="1"/>
        <v>25000000</v>
      </c>
      <c r="D15" s="18">
        <v>1.0000000000000001E-5</v>
      </c>
      <c r="E15" s="15">
        <f t="shared" si="2"/>
        <v>250.00000000000003</v>
      </c>
    </row>
    <row r="16" spans="1:15" x14ac:dyDescent="0.25">
      <c r="C16" s="17">
        <f t="shared" si="1"/>
        <v>25000000</v>
      </c>
      <c r="D16" s="18">
        <v>5.0000000000000002E-5</v>
      </c>
      <c r="E16" s="15">
        <f t="shared" si="2"/>
        <v>1250</v>
      </c>
    </row>
    <row r="17" spans="3:5" x14ac:dyDescent="0.25">
      <c r="C17" s="17">
        <f>25*1000*1000</f>
        <v>25000000</v>
      </c>
      <c r="D17" s="18">
        <v>1E-4</v>
      </c>
      <c r="E17" s="15">
        <f t="shared" si="2"/>
        <v>2500</v>
      </c>
    </row>
    <row r="18" spans="3:5" x14ac:dyDescent="0.25">
      <c r="C18" s="17"/>
      <c r="D18" s="18"/>
      <c r="E18" s="13"/>
    </row>
    <row r="19" spans="3:5" x14ac:dyDescent="0.25">
      <c r="D19" s="16"/>
    </row>
  </sheetData>
  <phoneticPr fontId="2" type="noConversion"/>
  <pageMargins left="0.7" right="0.7" top="0.78740157499999996" bottom="0.78740157499999996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A48A0-A849-4CCB-A1DA-310644EFF275}">
  <dimension ref="A1:Q28"/>
  <sheetViews>
    <sheetView workbookViewId="0">
      <selection activeCell="E29" sqref="E29"/>
    </sheetView>
  </sheetViews>
  <sheetFormatPr defaultColWidth="10.5703125" defaultRowHeight="15" x14ac:dyDescent="0.25"/>
  <cols>
    <col min="1" max="1" width="29.5703125" bestFit="1" customWidth="1"/>
    <col min="2" max="2" width="12.7109375" bestFit="1" customWidth="1"/>
    <col min="3" max="3" width="22" bestFit="1" customWidth="1"/>
    <col min="4" max="4" width="15" bestFit="1" customWidth="1"/>
    <col min="5" max="5" width="21.28515625" bestFit="1" customWidth="1"/>
    <col min="6" max="6" width="14.28515625" bestFit="1" customWidth="1"/>
    <col min="7" max="7" width="21.28515625" style="12" bestFit="1" customWidth="1"/>
    <col min="8" max="8" width="14.28515625" style="12" bestFit="1" customWidth="1"/>
    <col min="9" max="9" width="20.85546875" style="12" bestFit="1" customWidth="1"/>
    <col min="10" max="10" width="14" style="12" bestFit="1" customWidth="1"/>
    <col min="11" max="11" width="19.5703125" style="12" bestFit="1" customWidth="1"/>
    <col min="12" max="12" width="14" style="12" bestFit="1" customWidth="1"/>
    <col min="13" max="13" width="20.5703125" style="12" bestFit="1" customWidth="1"/>
    <col min="14" max="14" width="14" style="12" bestFit="1" customWidth="1"/>
    <col min="15" max="15" width="20.5703125" style="1" bestFit="1" customWidth="1"/>
    <col min="16" max="16" width="14" style="1" bestFit="1" customWidth="1"/>
  </cols>
  <sheetData>
    <row r="1" spans="1:17" x14ac:dyDescent="0.25">
      <c r="A1" t="s">
        <v>2</v>
      </c>
      <c r="B1" t="s">
        <v>16</v>
      </c>
      <c r="C1" t="s">
        <v>115</v>
      </c>
      <c r="D1" t="s">
        <v>116</v>
      </c>
      <c r="E1" t="s">
        <v>7</v>
      </c>
      <c r="F1" t="s">
        <v>68</v>
      </c>
      <c r="G1" s="12" t="s">
        <v>7</v>
      </c>
      <c r="H1" s="12" t="s">
        <v>68</v>
      </c>
      <c r="I1" s="12" t="s">
        <v>108</v>
      </c>
      <c r="J1" s="12" t="s">
        <v>109</v>
      </c>
      <c r="K1" s="12" t="s">
        <v>110</v>
      </c>
      <c r="L1" s="12" t="s">
        <v>111</v>
      </c>
      <c r="M1" s="12" t="s">
        <v>117</v>
      </c>
      <c r="N1" s="12" t="s">
        <v>111</v>
      </c>
    </row>
    <row r="2" spans="1:17" x14ac:dyDescent="0.25">
      <c r="A2" t="s">
        <v>112</v>
      </c>
      <c r="B2">
        <v>1</v>
      </c>
      <c r="C2">
        <f>E2*0.000000001*1000 / 30000 * 1000000000</f>
        <v>6.277214017128001E-4</v>
      </c>
      <c r="D2">
        <f>F2*0.000000001*1000 / 30000 * 1000000000</f>
        <v>3.5245079166549144E-4</v>
      </c>
      <c r="E2">
        <v>1.8831642051384E-2</v>
      </c>
      <c r="F2">
        <v>1.0573523749964743E-2</v>
      </c>
      <c r="G2" s="12">
        <f>(( I2 + 0.9137 )/50.31)^1.35</f>
        <v>1.8831642051384032E-2</v>
      </c>
      <c r="H2" s="12">
        <f>(( J2 + 0.9137 )/50.31)^1.35</f>
        <v>1.0573523749964743E-2</v>
      </c>
      <c r="I2" s="12">
        <v>1.7396449704142001</v>
      </c>
      <c r="J2" s="12">
        <v>0.81656804733727006</v>
      </c>
      <c r="K2" s="12">
        <v>2.5562130177514701</v>
      </c>
      <c r="L2" s="12">
        <f t="shared" ref="L2:L13" si="0">K2-I2</f>
        <v>0.81656804733727006</v>
      </c>
    </row>
    <row r="3" spans="1:17" x14ac:dyDescent="0.25">
      <c r="A3" t="s">
        <v>112</v>
      </c>
      <c r="B3">
        <v>6</v>
      </c>
      <c r="C3">
        <f t="shared" ref="C3:D13" si="1">E3*0.000000001*1000 / 30000 * 1000000000</f>
        <v>7.2009422753282484E-4</v>
      </c>
      <c r="D3">
        <f t="shared" si="1"/>
        <v>3.5245079166549388E-4</v>
      </c>
      <c r="E3">
        <v>2.1602826825984744E-2</v>
      </c>
      <c r="F3">
        <v>1.0573523749964817E-2</v>
      </c>
      <c r="G3" s="12">
        <f t="shared" ref="G3:G12" si="2">(( I3 + 0.9137 )/50.31)^1.35</f>
        <v>2.1602826825984744E-2</v>
      </c>
      <c r="H3" s="12">
        <f t="shared" ref="H3:H12" si="3">(( J3 + 0.9137 )/50.31)^1.35</f>
        <v>1.0573523749964817E-2</v>
      </c>
      <c r="I3" s="12">
        <v>2.0236686390532501</v>
      </c>
      <c r="J3" s="12">
        <v>0.81656804733728006</v>
      </c>
      <c r="K3" s="12">
        <v>2.8402366863905302</v>
      </c>
      <c r="L3" s="12">
        <f t="shared" si="0"/>
        <v>0.81656804733728006</v>
      </c>
    </row>
    <row r="4" spans="1:17" x14ac:dyDescent="0.25">
      <c r="A4" t="s">
        <v>112</v>
      </c>
      <c r="B4">
        <v>10</v>
      </c>
      <c r="C4">
        <f t="shared" si="1"/>
        <v>7.4369265323994728E-4</v>
      </c>
      <c r="D4">
        <f t="shared" si="1"/>
        <v>3.3306628164686661E-4</v>
      </c>
      <c r="E4">
        <v>2.2310779597198419E-2</v>
      </c>
      <c r="F4">
        <v>9.9919884494059988E-3</v>
      </c>
      <c r="G4" s="12">
        <f t="shared" si="2"/>
        <v>2.2310779597198419E-2</v>
      </c>
      <c r="H4" s="12">
        <f t="shared" si="3"/>
        <v>9.9919884494059988E-3</v>
      </c>
      <c r="I4" s="12">
        <v>2.0946745562130098</v>
      </c>
      <c r="J4" s="12">
        <v>0.74556213017752038</v>
      </c>
      <c r="K4" s="12">
        <v>2.8402366863905302</v>
      </c>
      <c r="L4" s="12">
        <f t="shared" si="0"/>
        <v>0.74556213017752038</v>
      </c>
    </row>
    <row r="5" spans="1:17" x14ac:dyDescent="0.25">
      <c r="A5" t="s">
        <v>112</v>
      </c>
      <c r="B5">
        <v>16</v>
      </c>
      <c r="C5">
        <f t="shared" si="1"/>
        <v>8.8929492930709265E-4</v>
      </c>
      <c r="D5">
        <f t="shared" si="1"/>
        <v>4.0212352731168824E-4</v>
      </c>
      <c r="E5">
        <v>2.6678847879212778E-2</v>
      </c>
      <c r="F5">
        <v>1.2063705819350646E-2</v>
      </c>
      <c r="G5" s="12">
        <f t="shared" si="2"/>
        <v>2.6678847879212778E-2</v>
      </c>
      <c r="H5" s="12">
        <f t="shared" si="3"/>
        <v>1.2063705819350646E-2</v>
      </c>
      <c r="I5" s="12">
        <v>2.5207100591715901</v>
      </c>
      <c r="J5" s="12">
        <v>0.99408284023669014</v>
      </c>
      <c r="K5" s="12">
        <v>3.5147928994082802</v>
      </c>
      <c r="L5" s="12">
        <f t="shared" si="0"/>
        <v>0.99408284023669014</v>
      </c>
    </row>
    <row r="6" spans="1:17" x14ac:dyDescent="0.25">
      <c r="A6" t="s">
        <v>112</v>
      </c>
      <c r="B6">
        <v>22</v>
      </c>
      <c r="C6">
        <f t="shared" si="1"/>
        <v>8.8929492930709265E-4</v>
      </c>
      <c r="D6">
        <f t="shared" si="1"/>
        <v>2.9517031484693637E-4</v>
      </c>
      <c r="E6">
        <v>2.6678847879212778E-2</v>
      </c>
      <c r="F6">
        <v>8.8551094454080923E-3</v>
      </c>
      <c r="G6" s="12">
        <f t="shared" si="2"/>
        <v>2.6678847879212778E-2</v>
      </c>
      <c r="H6" s="12">
        <f t="shared" si="3"/>
        <v>8.8551094454080923E-3</v>
      </c>
      <c r="I6" s="12">
        <v>2.5207100591715901</v>
      </c>
      <c r="J6" s="12">
        <v>0.60355029585798992</v>
      </c>
      <c r="K6" s="12">
        <v>3.12426035502958</v>
      </c>
      <c r="L6" s="12">
        <f t="shared" si="0"/>
        <v>0.60355029585798992</v>
      </c>
    </row>
    <row r="7" spans="1:17" x14ac:dyDescent="0.25">
      <c r="A7" t="s">
        <v>112</v>
      </c>
      <c r="B7">
        <v>52</v>
      </c>
      <c r="C7">
        <f t="shared" si="1"/>
        <v>6.7349706010742707E-4</v>
      </c>
      <c r="D7">
        <f t="shared" si="1"/>
        <v>3.1397001722379683E-4</v>
      </c>
      <c r="E7">
        <v>2.020491180322281E-2</v>
      </c>
      <c r="F7">
        <v>9.419100516713904E-3</v>
      </c>
      <c r="G7" s="12">
        <f t="shared" si="2"/>
        <v>2.020491180322281E-2</v>
      </c>
      <c r="H7" s="12">
        <f t="shared" si="3"/>
        <v>9.419100516713904E-3</v>
      </c>
      <c r="I7" s="12">
        <v>1.8816568047337201</v>
      </c>
      <c r="J7" s="12">
        <v>0.67455621301775004</v>
      </c>
      <c r="K7" s="12">
        <v>2.5562130177514701</v>
      </c>
      <c r="L7" s="12">
        <f t="shared" si="0"/>
        <v>0.67455621301775004</v>
      </c>
    </row>
    <row r="8" spans="1:17" x14ac:dyDescent="0.25">
      <c r="A8" t="s">
        <v>113</v>
      </c>
      <c r="B8">
        <v>0.24</v>
      </c>
      <c r="C8">
        <f t="shared" si="1"/>
        <v>6.5050482821464941E-4</v>
      </c>
      <c r="D8">
        <f t="shared" si="1"/>
        <v>3.4272300281307266E-4</v>
      </c>
      <c r="E8">
        <v>1.9515144846439479E-2</v>
      </c>
      <c r="F8">
        <v>1.0281690084392179E-2</v>
      </c>
      <c r="G8" s="12">
        <f t="shared" si="2"/>
        <v>1.9515144846439479E-2</v>
      </c>
      <c r="H8" s="12">
        <f t="shared" si="3"/>
        <v>1.0281690084392179E-2</v>
      </c>
      <c r="I8" s="12">
        <v>1.81065088757396</v>
      </c>
      <c r="J8" s="12">
        <v>0.78106508875739999</v>
      </c>
      <c r="K8" s="12">
        <v>2.59171597633136</v>
      </c>
      <c r="L8" s="12">
        <f t="shared" si="0"/>
        <v>0.78106508875739999</v>
      </c>
    </row>
    <row r="9" spans="1:17" x14ac:dyDescent="0.25">
      <c r="A9" t="s">
        <v>113</v>
      </c>
      <c r="B9">
        <v>5</v>
      </c>
      <c r="C9">
        <f t="shared" si="1"/>
        <v>9.6455604877365242E-4</v>
      </c>
      <c r="D9">
        <f t="shared" si="1"/>
        <v>4.5344256450881553E-4</v>
      </c>
      <c r="E9">
        <v>2.893668146320957E-2</v>
      </c>
      <c r="F9">
        <v>1.3603276935264466E-2</v>
      </c>
      <c r="G9" s="12">
        <f t="shared" si="2"/>
        <v>2.893668146320957E-2</v>
      </c>
      <c r="H9" s="12">
        <f t="shared" si="3"/>
        <v>1.3603276935264466E-2</v>
      </c>
      <c r="I9" s="12">
        <v>2.7337278106508802</v>
      </c>
      <c r="J9" s="12">
        <v>1.1715976331360998</v>
      </c>
      <c r="K9" s="12">
        <v>3.90532544378698</v>
      </c>
      <c r="L9" s="12">
        <f t="shared" si="0"/>
        <v>1.1715976331360998</v>
      </c>
    </row>
    <row r="10" spans="1:17" x14ac:dyDescent="0.25">
      <c r="A10" t="s">
        <v>113</v>
      </c>
      <c r="B10">
        <v>8.9</v>
      </c>
      <c r="C10">
        <f t="shared" si="1"/>
        <v>1.0284639241781104E-3</v>
      </c>
      <c r="D10">
        <f t="shared" si="1"/>
        <v>4.6389553809824053E-4</v>
      </c>
      <c r="E10">
        <v>3.0853917725343308E-2</v>
      </c>
      <c r="F10">
        <v>1.3916866142947217E-2</v>
      </c>
      <c r="G10" s="12">
        <f t="shared" si="2"/>
        <v>3.0853917725343308E-2</v>
      </c>
      <c r="H10" s="12">
        <f t="shared" si="3"/>
        <v>1.3916866142947217E-2</v>
      </c>
      <c r="I10" s="12">
        <v>2.9112426035502899</v>
      </c>
      <c r="J10" s="12">
        <v>1.2071005917159803</v>
      </c>
      <c r="K10" s="12">
        <v>4.1183431952662701</v>
      </c>
      <c r="L10" s="12">
        <f t="shared" si="0"/>
        <v>1.2071005917159803</v>
      </c>
    </row>
    <row r="11" spans="1:17" x14ac:dyDescent="0.25">
      <c r="A11" t="s">
        <v>113</v>
      </c>
      <c r="B11">
        <v>14.8</v>
      </c>
      <c r="C11">
        <f t="shared" si="1"/>
        <v>1.1065325285429229E-3</v>
      </c>
      <c r="D11">
        <f t="shared" si="1"/>
        <v>5.8279559211717625E-4</v>
      </c>
      <c r="E11">
        <v>3.3195975856287682E-2</v>
      </c>
      <c r="F11">
        <v>1.7483867763515286E-2</v>
      </c>
      <c r="G11" s="12">
        <f t="shared" si="2"/>
        <v>3.3195975856287682E-2</v>
      </c>
      <c r="H11" s="12">
        <f t="shared" si="3"/>
        <v>1.7483867763515286E-2</v>
      </c>
      <c r="I11" s="12">
        <v>3.12426035502958</v>
      </c>
      <c r="J11" s="12">
        <v>1.5976331360946703</v>
      </c>
      <c r="K11" s="12">
        <v>4.7218934911242503</v>
      </c>
      <c r="L11" s="12">
        <f t="shared" si="0"/>
        <v>1.5976331360946703</v>
      </c>
      <c r="Q11" s="1"/>
    </row>
    <row r="12" spans="1:17" x14ac:dyDescent="0.25">
      <c r="A12" t="s">
        <v>113</v>
      </c>
      <c r="B12">
        <v>20.8</v>
      </c>
      <c r="C12">
        <f t="shared" si="1"/>
        <v>1.1065325285429235E-3</v>
      </c>
      <c r="D12">
        <f t="shared" si="1"/>
        <v>6.7349706010743054E-4</v>
      </c>
      <c r="E12">
        <v>3.3195975856287703E-2</v>
      </c>
      <c r="F12">
        <v>2.0204911803222911E-2</v>
      </c>
      <c r="G12" s="12">
        <f t="shared" si="2"/>
        <v>3.3195975856287682E-2</v>
      </c>
      <c r="H12" s="12">
        <f t="shared" si="3"/>
        <v>2.0204911803222911E-2</v>
      </c>
      <c r="I12" s="12">
        <v>3.12426035502958</v>
      </c>
      <c r="J12" s="12">
        <v>1.8816568047337303</v>
      </c>
      <c r="K12" s="12">
        <v>5.0059171597633103</v>
      </c>
      <c r="L12" s="12">
        <f t="shared" si="0"/>
        <v>1.8816568047337303</v>
      </c>
      <c r="Q12" s="1"/>
    </row>
    <row r="13" spans="1:17" x14ac:dyDescent="0.25">
      <c r="A13" t="s">
        <v>113</v>
      </c>
      <c r="B13">
        <v>50.8</v>
      </c>
      <c r="C13">
        <f t="shared" si="1"/>
        <v>9.6455604877365242E-4</v>
      </c>
      <c r="D13">
        <f t="shared" si="1"/>
        <v>6.7349706010743054E-4</v>
      </c>
      <c r="E13">
        <v>2.893668146320957E-2</v>
      </c>
      <c r="F13">
        <v>2.0204911803222911E-2</v>
      </c>
      <c r="G13" s="12">
        <f>(( I13 + 0.9137 )/50.31)^1.35</f>
        <v>2.893668146320957E-2</v>
      </c>
      <c r="H13" s="12">
        <f>(( J13 + 0.9137 )/50.31)^1.35</f>
        <v>2.0204911803222911E-2</v>
      </c>
      <c r="I13" s="12">
        <v>2.7337278106508802</v>
      </c>
      <c r="J13" s="12">
        <v>1.8816568047337294</v>
      </c>
      <c r="K13" s="12">
        <v>4.6153846153846096</v>
      </c>
      <c r="L13" s="12">
        <f t="shared" si="0"/>
        <v>1.8816568047337294</v>
      </c>
      <c r="Q13" s="1"/>
    </row>
    <row r="14" spans="1:17" x14ac:dyDescent="0.25">
      <c r="A14" t="s">
        <v>114</v>
      </c>
      <c r="B14">
        <v>0.9</v>
      </c>
      <c r="C14">
        <v>80.161290322580598</v>
      </c>
      <c r="D14">
        <v>19.193548387096797</v>
      </c>
      <c r="M14" s="12">
        <v>99.354838709677395</v>
      </c>
      <c r="N14" s="12">
        <f t="shared" ref="N14:N25" si="4">M14-C14</f>
        <v>19.193548387096797</v>
      </c>
      <c r="Q14" s="1"/>
    </row>
    <row r="15" spans="1:17" x14ac:dyDescent="0.25">
      <c r="A15" t="s">
        <v>114</v>
      </c>
      <c r="B15">
        <v>5.7</v>
      </c>
      <c r="C15">
        <v>73.387096774193495</v>
      </c>
      <c r="D15">
        <v>13.548387096774206</v>
      </c>
      <c r="M15" s="12">
        <v>86.935483870967701</v>
      </c>
      <c r="N15" s="12">
        <f t="shared" si="4"/>
        <v>13.548387096774206</v>
      </c>
      <c r="Q15" s="1"/>
    </row>
    <row r="16" spans="1:17" x14ac:dyDescent="0.25">
      <c r="A16" t="s">
        <v>114</v>
      </c>
      <c r="B16">
        <v>9.8000000000000007</v>
      </c>
      <c r="C16">
        <v>70</v>
      </c>
      <c r="D16">
        <v>14.677419354838605</v>
      </c>
      <c r="M16" s="12">
        <v>84.677419354838605</v>
      </c>
      <c r="N16" s="12">
        <f t="shared" si="4"/>
        <v>14.677419354838605</v>
      </c>
      <c r="Q16" s="1"/>
    </row>
    <row r="17" spans="1:17" x14ac:dyDescent="0.25">
      <c r="A17" t="s">
        <v>114</v>
      </c>
      <c r="B17">
        <v>15.8</v>
      </c>
      <c r="C17">
        <v>67.741935483870904</v>
      </c>
      <c r="D17">
        <v>15.806451612903203</v>
      </c>
      <c r="M17" s="12">
        <v>83.548387096774107</v>
      </c>
      <c r="N17" s="12">
        <f t="shared" si="4"/>
        <v>15.806451612903203</v>
      </c>
      <c r="Q17" s="1"/>
    </row>
    <row r="18" spans="1:17" x14ac:dyDescent="0.25">
      <c r="A18" t="s">
        <v>114</v>
      </c>
      <c r="B18">
        <v>21.8</v>
      </c>
      <c r="C18">
        <v>66.612903225806406</v>
      </c>
      <c r="D18">
        <v>15.806451612903189</v>
      </c>
      <c r="M18" s="12">
        <v>82.419354838709594</v>
      </c>
      <c r="N18" s="12">
        <f t="shared" si="4"/>
        <v>15.806451612903189</v>
      </c>
      <c r="Q18" s="1"/>
    </row>
    <row r="19" spans="1:17" x14ac:dyDescent="0.25">
      <c r="A19" t="s">
        <v>114</v>
      </c>
      <c r="B19">
        <v>51.6</v>
      </c>
      <c r="C19">
        <v>84.677419354838605</v>
      </c>
      <c r="D19">
        <v>14.67741935483879</v>
      </c>
      <c r="M19" s="12">
        <v>99.354838709677395</v>
      </c>
      <c r="N19" s="12">
        <f t="shared" si="4"/>
        <v>14.67741935483879</v>
      </c>
      <c r="Q19" s="1"/>
    </row>
    <row r="20" spans="1:17" x14ac:dyDescent="0.25">
      <c r="A20" t="s">
        <v>118</v>
      </c>
      <c r="B20">
        <v>0</v>
      </c>
      <c r="C20">
        <v>84.677419354838605</v>
      </c>
      <c r="D20">
        <v>12.419354838709694</v>
      </c>
      <c r="M20" s="12">
        <v>97.096774193548299</v>
      </c>
      <c r="N20" s="12">
        <f t="shared" si="4"/>
        <v>12.419354838709694</v>
      </c>
      <c r="Q20" s="1"/>
    </row>
    <row r="21" spans="1:17" x14ac:dyDescent="0.25">
      <c r="A21" t="s">
        <v>118</v>
      </c>
      <c r="B21">
        <v>4.8</v>
      </c>
      <c r="C21">
        <v>82.419354838709594</v>
      </c>
      <c r="D21">
        <v>10.161290322580712</v>
      </c>
      <c r="M21" s="12">
        <v>92.580645161290306</v>
      </c>
      <c r="N21" s="12">
        <f t="shared" si="4"/>
        <v>10.161290322580712</v>
      </c>
      <c r="Q21" s="1"/>
    </row>
    <row r="22" spans="1:17" x14ac:dyDescent="0.25">
      <c r="A22" t="s">
        <v>118</v>
      </c>
      <c r="B22">
        <v>8.8000000000000007</v>
      </c>
      <c r="C22">
        <v>85.806451612903203</v>
      </c>
      <c r="D22">
        <v>9.0322580645160997</v>
      </c>
      <c r="M22" s="12">
        <v>94.838709677419303</v>
      </c>
      <c r="N22" s="12">
        <f t="shared" si="4"/>
        <v>9.0322580645160997</v>
      </c>
      <c r="Q22" s="1"/>
    </row>
    <row r="23" spans="1:17" x14ac:dyDescent="0.25">
      <c r="A23" t="s">
        <v>118</v>
      </c>
      <c r="B23">
        <v>14.8</v>
      </c>
      <c r="C23">
        <v>84.677419354838605</v>
      </c>
      <c r="D23">
        <v>9.0322580645161992</v>
      </c>
      <c r="M23" s="12">
        <v>93.709677419354804</v>
      </c>
      <c r="N23" s="12">
        <f t="shared" si="4"/>
        <v>9.0322580645161992</v>
      </c>
      <c r="Q23" s="1"/>
    </row>
    <row r="24" spans="1:17" x14ac:dyDescent="0.25">
      <c r="A24" t="s">
        <v>118</v>
      </c>
      <c r="B24">
        <v>21</v>
      </c>
      <c r="C24">
        <v>82.419354838709594</v>
      </c>
      <c r="D24">
        <v>7.9032258064516014</v>
      </c>
      <c r="M24" s="12">
        <v>90.322580645161196</v>
      </c>
      <c r="N24" s="12">
        <f t="shared" si="4"/>
        <v>7.9032258064516014</v>
      </c>
      <c r="Q24" s="1"/>
    </row>
    <row r="25" spans="1:17" x14ac:dyDescent="0.25">
      <c r="A25" t="s">
        <v>118</v>
      </c>
      <c r="B25">
        <v>50.8</v>
      </c>
      <c r="C25">
        <v>93.709677419354804</v>
      </c>
      <c r="D25">
        <v>13.548387096774192</v>
      </c>
      <c r="M25" s="12">
        <v>107.258064516129</v>
      </c>
      <c r="N25" s="12">
        <f t="shared" si="4"/>
        <v>13.548387096774192</v>
      </c>
      <c r="Q25" s="1"/>
    </row>
    <row r="26" spans="1:17" x14ac:dyDescent="0.25">
      <c r="Q26" s="1"/>
    </row>
    <row r="27" spans="1:17" x14ac:dyDescent="0.25">
      <c r="Q27" s="1"/>
    </row>
    <row r="28" spans="1:17" x14ac:dyDescent="0.25">
      <c r="Q28" s="1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D2C27-CB1F-4429-B915-907BFA3CFADB}">
  <dimension ref="A1:I36"/>
  <sheetViews>
    <sheetView workbookViewId="0">
      <selection activeCell="B2" sqref="B2"/>
    </sheetView>
  </sheetViews>
  <sheetFormatPr defaultColWidth="10.5703125" defaultRowHeight="15" x14ac:dyDescent="0.25"/>
  <cols>
    <col min="1" max="1" width="38" bestFit="1" customWidth="1"/>
    <col min="2" max="2" width="12.7109375" bestFit="1" customWidth="1"/>
    <col min="3" max="3" width="21.28515625" bestFit="1" customWidth="1"/>
    <col min="4" max="5" width="20.5703125" bestFit="1" customWidth="1"/>
    <col min="6" max="6" width="21.28515625" bestFit="1" customWidth="1"/>
    <col min="7" max="7" width="25.140625" bestFit="1" customWidth="1"/>
    <col min="8" max="8" width="21.28515625" bestFit="1" customWidth="1"/>
  </cols>
  <sheetData>
    <row r="1" spans="1:9" x14ac:dyDescent="0.25">
      <c r="A1" t="s">
        <v>2</v>
      </c>
      <c r="B1" t="s">
        <v>16</v>
      </c>
      <c r="C1" t="s">
        <v>25</v>
      </c>
      <c r="D1" s="2" t="s">
        <v>27</v>
      </c>
      <c r="E1" s="2" t="s">
        <v>26</v>
      </c>
      <c r="F1" s="2" t="s">
        <v>29</v>
      </c>
      <c r="G1" s="2" t="s">
        <v>30</v>
      </c>
      <c r="H1" s="2" t="s">
        <v>28</v>
      </c>
      <c r="I1" s="2"/>
    </row>
    <row r="2" spans="1:9" x14ac:dyDescent="0.25">
      <c r="A2" t="s">
        <v>137</v>
      </c>
      <c r="B2">
        <v>8.85</v>
      </c>
      <c r="C2">
        <f>H2/0.6*0.4</f>
        <v>0.27848797250859064</v>
      </c>
      <c r="D2" s="2">
        <v>41.773195876288597</v>
      </c>
      <c r="E2" s="2"/>
      <c r="F2" s="2"/>
      <c r="G2" s="2"/>
      <c r="H2" s="2">
        <f t="shared" ref="H2:H9" si="0">D2/100</f>
        <v>0.41773195876288599</v>
      </c>
      <c r="I2" s="2"/>
    </row>
    <row r="3" spans="1:9" x14ac:dyDescent="0.25">
      <c r="A3" t="s">
        <v>137</v>
      </c>
      <c r="B3">
        <v>9.5399999999999991</v>
      </c>
      <c r="C3">
        <f t="shared" ref="C3:C9" si="1">H3/0.6*0.4</f>
        <v>0.283436426116838</v>
      </c>
      <c r="D3" s="2">
        <v>42.5154639175257</v>
      </c>
      <c r="E3" s="2"/>
      <c r="F3" s="2"/>
      <c r="G3" s="2"/>
      <c r="H3" s="2">
        <f t="shared" si="0"/>
        <v>0.42515463917525698</v>
      </c>
      <c r="I3" s="2"/>
    </row>
    <row r="4" spans="1:9" x14ac:dyDescent="0.25">
      <c r="A4" t="s">
        <v>137</v>
      </c>
      <c r="B4">
        <v>9.93</v>
      </c>
      <c r="C4">
        <f t="shared" si="1"/>
        <v>0.29993127147766274</v>
      </c>
      <c r="D4" s="2">
        <v>44.989690721649403</v>
      </c>
      <c r="E4" s="2"/>
      <c r="F4" s="2"/>
      <c r="G4" s="2"/>
      <c r="H4" s="2">
        <f t="shared" si="0"/>
        <v>0.449896907216494</v>
      </c>
      <c r="I4" s="2"/>
    </row>
    <row r="5" spans="1:9" x14ac:dyDescent="0.25">
      <c r="A5" t="s">
        <v>137</v>
      </c>
      <c r="B5">
        <v>9.83</v>
      </c>
      <c r="C5">
        <f t="shared" si="1"/>
        <v>0.255395189003436</v>
      </c>
      <c r="D5" s="2">
        <v>38.309278350515399</v>
      </c>
      <c r="E5" s="2"/>
      <c r="F5" s="2"/>
      <c r="G5" s="2"/>
      <c r="H5" s="2">
        <f t="shared" si="0"/>
        <v>0.38309278350515397</v>
      </c>
      <c r="I5" s="2"/>
    </row>
    <row r="6" spans="1:9" x14ac:dyDescent="0.25">
      <c r="A6" t="s">
        <v>137</v>
      </c>
      <c r="B6">
        <v>10.92</v>
      </c>
      <c r="C6">
        <f t="shared" si="1"/>
        <v>0.56714776632302399</v>
      </c>
      <c r="D6" s="2">
        <v>85.072164948453604</v>
      </c>
      <c r="E6" s="2"/>
      <c r="F6" s="2"/>
      <c r="G6" s="2"/>
      <c r="H6" s="2">
        <f t="shared" si="0"/>
        <v>0.85072164948453599</v>
      </c>
      <c r="I6" s="2"/>
    </row>
    <row r="7" spans="1:9" x14ac:dyDescent="0.25">
      <c r="A7" t="s">
        <v>137</v>
      </c>
      <c r="B7">
        <v>12.98</v>
      </c>
      <c r="C7">
        <f t="shared" si="1"/>
        <v>0.67436426116838</v>
      </c>
      <c r="D7" s="2">
        <v>101.154639175257</v>
      </c>
      <c r="E7" s="2"/>
      <c r="F7" s="2"/>
      <c r="G7" s="2"/>
      <c r="H7" s="2">
        <f t="shared" si="0"/>
        <v>1.01154639175257</v>
      </c>
      <c r="I7" s="2"/>
    </row>
    <row r="8" spans="1:9" x14ac:dyDescent="0.25">
      <c r="A8" t="s">
        <v>137</v>
      </c>
      <c r="B8">
        <v>14.07</v>
      </c>
      <c r="C8">
        <f t="shared" si="1"/>
        <v>0.62982817869415808</v>
      </c>
      <c r="D8" s="2">
        <v>94.474226804123703</v>
      </c>
      <c r="E8" s="2"/>
      <c r="F8" s="2"/>
      <c r="G8" s="2"/>
      <c r="H8" s="2">
        <f t="shared" si="0"/>
        <v>0.94474226804123707</v>
      </c>
      <c r="I8" s="2"/>
    </row>
    <row r="9" spans="1:9" x14ac:dyDescent="0.25">
      <c r="A9" t="s">
        <v>137</v>
      </c>
      <c r="B9">
        <v>16.03</v>
      </c>
      <c r="C9">
        <f t="shared" si="1"/>
        <v>0.73539518900343337</v>
      </c>
      <c r="D9" s="2">
        <v>110.309278350515</v>
      </c>
      <c r="E9" s="2"/>
      <c r="F9" s="2"/>
      <c r="G9" s="2"/>
      <c r="H9" s="2">
        <f t="shared" si="0"/>
        <v>1.1030927835051501</v>
      </c>
      <c r="I9" s="2"/>
    </row>
    <row r="10" spans="1:9" x14ac:dyDescent="0.25">
      <c r="A10" t="s">
        <v>138</v>
      </c>
      <c r="B10">
        <v>9.08</v>
      </c>
      <c r="C10">
        <f>H10/42*28</f>
        <v>6.2450134568947</v>
      </c>
      <c r="D10" s="2"/>
      <c r="E10" s="2">
        <v>0.93675201853420498</v>
      </c>
      <c r="F10" s="2"/>
      <c r="G10" s="2"/>
      <c r="H10" s="2">
        <f>10*E10</f>
        <v>9.36752018534205</v>
      </c>
      <c r="I10" s="2"/>
    </row>
    <row r="11" spans="1:9" x14ac:dyDescent="0.25">
      <c r="A11" t="s">
        <v>138</v>
      </c>
      <c r="B11">
        <v>9.27</v>
      </c>
      <c r="C11">
        <f t="shared" ref="C11:C17" si="2">H11/42*28</f>
        <v>7.7174225003889987</v>
      </c>
      <c r="D11" s="2"/>
      <c r="E11" s="2">
        <v>1.1576133750583499</v>
      </c>
      <c r="F11" s="2"/>
      <c r="G11" s="2"/>
      <c r="H11" s="2">
        <f t="shared" ref="H11:H17" si="3">10*E11</f>
        <v>11.5761337505835</v>
      </c>
      <c r="I11" s="2"/>
    </row>
    <row r="12" spans="1:9" x14ac:dyDescent="0.25">
      <c r="A12" t="s">
        <v>138</v>
      </c>
      <c r="B12">
        <v>10.050000000000001</v>
      </c>
      <c r="C12">
        <f t="shared" si="2"/>
        <v>6.6997931038456668</v>
      </c>
      <c r="D12" s="2"/>
      <c r="E12" s="2">
        <v>1.0049689655768499</v>
      </c>
      <c r="F12" s="2"/>
      <c r="G12" s="2"/>
      <c r="H12" s="2">
        <f t="shared" si="3"/>
        <v>10.0496896557685</v>
      </c>
      <c r="I12" s="2"/>
    </row>
    <row r="13" spans="1:9" x14ac:dyDescent="0.25">
      <c r="A13" t="s">
        <v>138</v>
      </c>
      <c r="B13">
        <v>11.02</v>
      </c>
      <c r="C13">
        <f t="shared" si="2"/>
        <v>13.042733565010868</v>
      </c>
      <c r="D13" s="2"/>
      <c r="E13" s="2">
        <v>1.95641003475163</v>
      </c>
      <c r="F13" s="2"/>
      <c r="G13" s="2"/>
      <c r="H13" s="2">
        <f t="shared" si="3"/>
        <v>19.564100347516302</v>
      </c>
      <c r="I13" s="2"/>
    </row>
    <row r="14" spans="1:9" x14ac:dyDescent="0.25">
      <c r="A14" t="s">
        <v>138</v>
      </c>
      <c r="B14">
        <v>10.130000000000001</v>
      </c>
      <c r="C14">
        <f t="shared" si="2"/>
        <v>16.098388054196398</v>
      </c>
      <c r="D14" s="2"/>
      <c r="E14" s="2">
        <v>2.4147582081294598</v>
      </c>
      <c r="F14" s="2"/>
      <c r="G14" s="2"/>
      <c r="H14" s="2">
        <f t="shared" si="3"/>
        <v>24.147582081294598</v>
      </c>
      <c r="I14" s="2"/>
    </row>
    <row r="15" spans="1:9" x14ac:dyDescent="0.25">
      <c r="A15" t="s">
        <v>138</v>
      </c>
      <c r="B15">
        <v>12.95</v>
      </c>
      <c r="C15">
        <f t="shared" si="2"/>
        <v>22.897767942045999</v>
      </c>
      <c r="D15" s="2"/>
      <c r="E15" s="2">
        <v>3.4346651913069</v>
      </c>
      <c r="F15" s="2"/>
      <c r="G15" s="2"/>
      <c r="H15" s="2">
        <f>10*E15</f>
        <v>34.346651913068996</v>
      </c>
      <c r="I15" s="2"/>
    </row>
    <row r="16" spans="1:9" x14ac:dyDescent="0.25">
      <c r="A16" t="s">
        <v>138</v>
      </c>
      <c r="B16">
        <v>14.11</v>
      </c>
      <c r="C16">
        <f t="shared" si="2"/>
        <v>30.260181999458197</v>
      </c>
      <c r="D16" s="2"/>
      <c r="E16" s="2">
        <v>4.5390272999187298</v>
      </c>
      <c r="F16" s="2"/>
      <c r="G16" s="2"/>
      <c r="H16" s="2">
        <f t="shared" si="3"/>
        <v>45.390272999187296</v>
      </c>
      <c r="I16" s="2"/>
    </row>
    <row r="17" spans="1:9" x14ac:dyDescent="0.25">
      <c r="A17" t="s">
        <v>138</v>
      </c>
      <c r="B17">
        <v>15.97</v>
      </c>
      <c r="C17">
        <f t="shared" si="2"/>
        <v>32.981298662378869</v>
      </c>
      <c r="D17" s="2"/>
      <c r="E17" s="2">
        <v>4.9471947993568302</v>
      </c>
      <c r="F17" s="2"/>
      <c r="G17" s="2"/>
      <c r="H17" s="2">
        <f t="shared" si="3"/>
        <v>49.4719479935683</v>
      </c>
      <c r="I17" s="2"/>
    </row>
    <row r="18" spans="1:9" x14ac:dyDescent="0.25">
      <c r="A18" t="s">
        <v>139</v>
      </c>
      <c r="B18">
        <v>9.02</v>
      </c>
      <c r="C18">
        <v>26603.773584905601</v>
      </c>
      <c r="D18" s="2"/>
      <c r="E18" s="2"/>
      <c r="F18" s="2">
        <v>26.6037735849056</v>
      </c>
      <c r="G18" s="2"/>
      <c r="H18" s="2">
        <f>1000*F18</f>
        <v>26603.773584905601</v>
      </c>
      <c r="I18" s="2"/>
    </row>
    <row r="19" spans="1:9" x14ac:dyDescent="0.25">
      <c r="A19" t="s">
        <v>139</v>
      </c>
      <c r="B19">
        <v>9.18</v>
      </c>
      <c r="C19">
        <v>23207.5471698113</v>
      </c>
      <c r="D19" s="2"/>
      <c r="E19" s="2"/>
      <c r="F19" s="2">
        <v>23.207547169811299</v>
      </c>
      <c r="G19" s="2"/>
      <c r="H19" s="2">
        <f t="shared" ref="H19:H24" si="4">1000*F19</f>
        <v>23207.5471698113</v>
      </c>
      <c r="I19" s="2"/>
    </row>
    <row r="20" spans="1:9" x14ac:dyDescent="0.25">
      <c r="A20" t="s">
        <v>139</v>
      </c>
      <c r="B20">
        <v>9.42</v>
      </c>
      <c r="C20">
        <v>3962.2641509433902</v>
      </c>
      <c r="D20" s="2"/>
      <c r="E20" s="2"/>
      <c r="F20" s="2">
        <v>3.96226415094339</v>
      </c>
      <c r="G20" s="2"/>
      <c r="H20" s="2">
        <f t="shared" si="4"/>
        <v>3962.2641509433902</v>
      </c>
      <c r="I20" s="2"/>
    </row>
    <row r="21" spans="1:9" x14ac:dyDescent="0.25">
      <c r="A21" t="s">
        <v>139</v>
      </c>
      <c r="B21">
        <v>9.6300000000000008</v>
      </c>
      <c r="C21">
        <v>1698.1132075471601</v>
      </c>
      <c r="D21" s="2"/>
      <c r="E21" s="2"/>
      <c r="F21" s="2">
        <v>1.6981132075471601</v>
      </c>
      <c r="G21" s="2"/>
      <c r="H21" s="2">
        <f t="shared" si="4"/>
        <v>1698.1132075471601</v>
      </c>
      <c r="I21" s="2"/>
    </row>
    <row r="22" spans="1:9" x14ac:dyDescent="0.25">
      <c r="A22" t="s">
        <v>139</v>
      </c>
      <c r="B22">
        <v>9.84</v>
      </c>
      <c r="C22">
        <v>905.66037735849</v>
      </c>
      <c r="D22" s="2"/>
      <c r="E22" s="2"/>
      <c r="F22" s="2">
        <v>0.90566037735849003</v>
      </c>
      <c r="G22" s="2"/>
      <c r="H22" s="2">
        <f t="shared" si="4"/>
        <v>905.66037735849</v>
      </c>
      <c r="I22" s="2"/>
    </row>
    <row r="23" spans="1:9" x14ac:dyDescent="0.25">
      <c r="A23" t="s">
        <v>139</v>
      </c>
      <c r="B23">
        <v>10.87</v>
      </c>
      <c r="C23">
        <v>169.81132075472101</v>
      </c>
      <c r="D23" s="2"/>
      <c r="E23" s="2"/>
      <c r="F23" s="2">
        <v>0.169811320754721</v>
      </c>
      <c r="G23" s="2"/>
      <c r="H23" s="2">
        <f t="shared" si="4"/>
        <v>169.81132075472101</v>
      </c>
      <c r="I23" s="2"/>
    </row>
    <row r="24" spans="1:9" x14ac:dyDescent="0.25">
      <c r="A24" t="s">
        <v>139</v>
      </c>
      <c r="B24">
        <v>12.97</v>
      </c>
      <c r="C24">
        <v>226.41509433962102</v>
      </c>
      <c r="D24" s="2"/>
      <c r="E24" s="2"/>
      <c r="F24" s="2">
        <v>0.22641509433962101</v>
      </c>
      <c r="G24" s="2"/>
      <c r="H24" s="2">
        <f t="shared" si="4"/>
        <v>226.41509433962102</v>
      </c>
      <c r="I24" s="2"/>
    </row>
    <row r="25" spans="1:9" x14ac:dyDescent="0.25">
      <c r="A25" t="s">
        <v>139</v>
      </c>
      <c r="B25">
        <v>13.97</v>
      </c>
      <c r="C25">
        <v>169.81132075472101</v>
      </c>
      <c r="D25" s="2"/>
      <c r="E25" s="2"/>
      <c r="F25" s="2">
        <v>0.169811320754721</v>
      </c>
      <c r="G25" s="2"/>
      <c r="H25" s="2">
        <f>1000*F25</f>
        <v>169.81132075472101</v>
      </c>
      <c r="I25" s="2"/>
    </row>
    <row r="26" spans="1:9" x14ac:dyDescent="0.25">
      <c r="A26" t="s">
        <v>139</v>
      </c>
      <c r="B26">
        <v>15.97</v>
      </c>
      <c r="C26">
        <v>56.603773584910698</v>
      </c>
      <c r="D26" s="2"/>
      <c r="E26" s="2"/>
      <c r="F26" s="2">
        <v>5.6603773584910699E-2</v>
      </c>
      <c r="G26" s="2"/>
      <c r="H26" s="2">
        <f>1000*F26</f>
        <v>56.603773584910698</v>
      </c>
      <c r="I26" s="2"/>
    </row>
    <row r="27" spans="1:9" x14ac:dyDescent="0.25">
      <c r="A27" t="s">
        <v>136</v>
      </c>
      <c r="B27">
        <v>9.0500000000000007</v>
      </c>
      <c r="C27" s="19">
        <v>461.83608580742958</v>
      </c>
      <c r="D27" s="2"/>
      <c r="E27" s="2"/>
      <c r="F27" s="2"/>
      <c r="G27" s="2">
        <v>0.57729510725928701</v>
      </c>
      <c r="H27" s="2">
        <f>G27*1000/1.25</f>
        <v>461.83608580742958</v>
      </c>
      <c r="I27" s="2"/>
    </row>
    <row r="28" spans="1:9" x14ac:dyDescent="0.25">
      <c r="A28" t="s">
        <v>136</v>
      </c>
      <c r="B28">
        <v>9.2799999999999994</v>
      </c>
      <c r="C28" s="19">
        <v>561.0678973423303</v>
      </c>
      <c r="D28" s="2"/>
      <c r="E28" s="2"/>
      <c r="F28" s="2"/>
      <c r="G28" s="2">
        <v>0.70133487167791297</v>
      </c>
      <c r="H28" s="2">
        <f t="shared" ref="H28:H36" si="5">G28*1000/1.25</f>
        <v>561.0678973423303</v>
      </c>
      <c r="I28" s="2"/>
    </row>
    <row r="29" spans="1:9" x14ac:dyDescent="0.25">
      <c r="A29" t="s">
        <v>136</v>
      </c>
      <c r="B29">
        <v>9.51</v>
      </c>
      <c r="C29" s="19">
        <v>622.5701981513032</v>
      </c>
      <c r="D29" s="2"/>
      <c r="E29" s="2"/>
      <c r="F29" s="2"/>
      <c r="G29" s="2">
        <v>0.77821274768912896</v>
      </c>
      <c r="H29" s="2">
        <f t="shared" si="5"/>
        <v>622.5701981513032</v>
      </c>
      <c r="I29" s="2"/>
    </row>
    <row r="30" spans="1:9" x14ac:dyDescent="0.25">
      <c r="A30" t="s">
        <v>136</v>
      </c>
      <c r="B30">
        <v>9.76</v>
      </c>
      <c r="C30" s="19">
        <v>639.35818833094083</v>
      </c>
      <c r="D30" s="2"/>
      <c r="E30" s="2"/>
      <c r="F30" s="2"/>
      <c r="G30" s="2">
        <v>0.799197735413676</v>
      </c>
      <c r="H30" s="2">
        <f t="shared" si="5"/>
        <v>639.35818833094083</v>
      </c>
      <c r="I30" s="2"/>
    </row>
    <row r="31" spans="1:9" x14ac:dyDescent="0.25">
      <c r="A31" t="s">
        <v>136</v>
      </c>
      <c r="B31">
        <v>11.81</v>
      </c>
      <c r="C31" s="19">
        <v>698.2073813708256</v>
      </c>
      <c r="D31" s="2"/>
      <c r="E31" s="2"/>
      <c r="F31" s="2"/>
      <c r="G31" s="2">
        <v>0.87275922671353201</v>
      </c>
      <c r="H31" s="2">
        <f t="shared" si="5"/>
        <v>698.2073813708256</v>
      </c>
      <c r="I31" s="2"/>
    </row>
    <row r="32" spans="1:9" x14ac:dyDescent="0.25">
      <c r="A32" t="s">
        <v>136</v>
      </c>
      <c r="B32">
        <v>9.94</v>
      </c>
      <c r="C32" s="19">
        <v>453.52043896483684</v>
      </c>
      <c r="D32" s="2"/>
      <c r="E32" s="2"/>
      <c r="F32" s="2"/>
      <c r="G32" s="2">
        <v>0.566900548706046</v>
      </c>
      <c r="H32" s="2">
        <f t="shared" si="5"/>
        <v>453.52043896483684</v>
      </c>
      <c r="I32" s="2"/>
    </row>
    <row r="33" spans="1:9" x14ac:dyDescent="0.25">
      <c r="A33" t="s">
        <v>136</v>
      </c>
      <c r="B33">
        <v>10.92</v>
      </c>
      <c r="C33" s="19">
        <v>347.39612820134397</v>
      </c>
      <c r="D33" s="2"/>
      <c r="E33" s="2"/>
      <c r="F33" s="2"/>
      <c r="G33" s="2">
        <v>0.43424516025167997</v>
      </c>
      <c r="H33" s="2">
        <f t="shared" si="5"/>
        <v>347.39612820134397</v>
      </c>
      <c r="I33" s="2"/>
    </row>
    <row r="34" spans="1:9" x14ac:dyDescent="0.25">
      <c r="A34" t="s">
        <v>136</v>
      </c>
      <c r="B34">
        <v>13.08</v>
      </c>
      <c r="C34" s="19">
        <v>325.2053287540752</v>
      </c>
      <c r="D34" s="2"/>
      <c r="E34" s="2"/>
      <c r="F34" s="2"/>
      <c r="G34" s="2">
        <v>0.40650666094259402</v>
      </c>
      <c r="H34" s="2">
        <f t="shared" si="5"/>
        <v>325.2053287540752</v>
      </c>
      <c r="I34" s="2"/>
    </row>
    <row r="35" spans="1:9" x14ac:dyDescent="0.25">
      <c r="A35" t="s">
        <v>136</v>
      </c>
      <c r="B35">
        <v>13.96</v>
      </c>
      <c r="C35" s="19">
        <v>294.53145333315445</v>
      </c>
      <c r="D35" s="2"/>
      <c r="E35" s="2"/>
      <c r="F35" s="2"/>
      <c r="G35" s="2">
        <v>0.368164316666443</v>
      </c>
      <c r="H35" s="2">
        <f t="shared" si="5"/>
        <v>294.53145333315445</v>
      </c>
      <c r="I35" s="2"/>
    </row>
    <row r="36" spans="1:9" x14ac:dyDescent="0.25">
      <c r="A36" t="s">
        <v>136</v>
      </c>
      <c r="B36">
        <v>15.95</v>
      </c>
      <c r="C36" s="19">
        <v>12.415514026214719</v>
      </c>
      <c r="D36" s="2"/>
      <c r="E36" s="2"/>
      <c r="F36" s="2"/>
      <c r="G36" s="2">
        <v>1.55193925327684E-2</v>
      </c>
      <c r="H36" s="2">
        <f t="shared" si="5"/>
        <v>12.415514026214719</v>
      </c>
      <c r="I36" s="2"/>
    </row>
  </sheetData>
  <phoneticPr fontId="2" type="noConversion"/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D48C7-ADBE-4D67-BB8B-76A5A5593A0F}">
  <dimension ref="A1:C10"/>
  <sheetViews>
    <sheetView workbookViewId="0">
      <selection activeCell="D16" sqref="D16"/>
    </sheetView>
  </sheetViews>
  <sheetFormatPr defaultColWidth="10.5703125" defaultRowHeight="15" x14ac:dyDescent="0.25"/>
  <cols>
    <col min="1" max="1" width="30.7109375" bestFit="1" customWidth="1"/>
    <col min="2" max="2" width="12.7109375" bestFit="1" customWidth="1"/>
    <col min="3" max="3" width="21.28515625" bestFit="1" customWidth="1"/>
  </cols>
  <sheetData>
    <row r="1" spans="1:3" x14ac:dyDescent="0.25">
      <c r="A1" t="s">
        <v>2</v>
      </c>
      <c r="B1" t="s">
        <v>0</v>
      </c>
      <c r="C1" t="s">
        <v>17</v>
      </c>
    </row>
    <row r="2" spans="1:3" x14ac:dyDescent="0.25">
      <c r="A2" t="s">
        <v>157</v>
      </c>
      <c r="B2">
        <v>0</v>
      </c>
      <c r="C2">
        <v>0</v>
      </c>
    </row>
    <row r="3" spans="1:3" x14ac:dyDescent="0.25">
      <c r="A3" t="s">
        <v>157</v>
      </c>
      <c r="B3">
        <v>0.68</v>
      </c>
      <c r="C3">
        <v>82.052963491839705</v>
      </c>
    </row>
    <row r="4" spans="1:3" x14ac:dyDescent="0.25">
      <c r="A4" t="s">
        <v>157</v>
      </c>
      <c r="B4">
        <v>1.98</v>
      </c>
      <c r="C4">
        <v>153.49729421642499</v>
      </c>
    </row>
    <row r="5" spans="1:3" x14ac:dyDescent="0.25">
      <c r="A5" t="s">
        <v>157</v>
      </c>
      <c r="B5">
        <v>4.17</v>
      </c>
      <c r="C5">
        <v>218.195551851148</v>
      </c>
    </row>
    <row r="6" spans="1:3" x14ac:dyDescent="0.25">
      <c r="A6" t="s">
        <v>157</v>
      </c>
      <c r="B6">
        <v>8.11</v>
      </c>
      <c r="C6">
        <v>213.41676421379</v>
      </c>
    </row>
    <row r="7" spans="1:3" x14ac:dyDescent="0.25">
      <c r="A7" t="s">
        <v>157</v>
      </c>
      <c r="B7">
        <v>16.16</v>
      </c>
      <c r="C7">
        <v>74.517831205682498</v>
      </c>
    </row>
    <row r="8" spans="1:3" x14ac:dyDescent="0.25">
      <c r="A8" t="s">
        <v>157</v>
      </c>
      <c r="B8">
        <v>24.15</v>
      </c>
      <c r="C8">
        <v>38.899852300375699</v>
      </c>
    </row>
    <row r="9" spans="1:3" x14ac:dyDescent="0.25">
      <c r="A9" t="s">
        <v>157</v>
      </c>
      <c r="B9">
        <v>32.01</v>
      </c>
      <c r="C9">
        <v>21.620221978439599</v>
      </c>
    </row>
    <row r="10" spans="1:3" x14ac:dyDescent="0.25">
      <c r="A10" t="s">
        <v>157</v>
      </c>
      <c r="B10">
        <v>47.88</v>
      </c>
      <c r="C10">
        <v>19.881227439035602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A9C72-08EF-4C64-A410-E69A1DB8ED47}">
  <dimension ref="A1:J13"/>
  <sheetViews>
    <sheetView workbookViewId="0">
      <selection activeCell="H30" sqref="H30"/>
    </sheetView>
  </sheetViews>
  <sheetFormatPr defaultColWidth="10.5703125" defaultRowHeight="15" x14ac:dyDescent="0.25"/>
  <cols>
    <col min="1" max="1" width="30.140625" bestFit="1" customWidth="1"/>
    <col min="2" max="2" width="12.7109375" bestFit="1" customWidth="1"/>
    <col min="3" max="3" width="20.5703125" bestFit="1" customWidth="1"/>
    <col min="4" max="4" width="14.7109375" bestFit="1" customWidth="1"/>
    <col min="5" max="5" width="12.85546875" bestFit="1" customWidth="1"/>
    <col min="6" max="6" width="12" bestFit="1" customWidth="1"/>
    <col min="7" max="7" width="12.140625" bestFit="1" customWidth="1"/>
    <col min="8" max="10" width="12" bestFit="1" customWidth="1"/>
  </cols>
  <sheetData>
    <row r="1" spans="1:10" x14ac:dyDescent="0.25">
      <c r="A1" s="3" t="s">
        <v>2</v>
      </c>
      <c r="B1" s="3" t="s">
        <v>16</v>
      </c>
      <c r="C1" s="3" t="s">
        <v>23</v>
      </c>
      <c r="D1" s="3" t="s">
        <v>10</v>
      </c>
      <c r="E1" s="2" t="s">
        <v>18</v>
      </c>
      <c r="F1" s="2" t="s">
        <v>19</v>
      </c>
      <c r="G1" s="2" t="s">
        <v>24</v>
      </c>
      <c r="H1" s="2" t="s">
        <v>20</v>
      </c>
      <c r="I1" s="2" t="s">
        <v>21</v>
      </c>
      <c r="J1" s="2" t="s">
        <v>22</v>
      </c>
    </row>
    <row r="2" spans="1:10" x14ac:dyDescent="0.25">
      <c r="A2" s="3" t="s">
        <v>32</v>
      </c>
      <c r="B2" s="3">
        <v>31</v>
      </c>
      <c r="C2" s="3">
        <v>45.154185022026397</v>
      </c>
      <c r="D2" s="3">
        <v>2.9735682819383058</v>
      </c>
      <c r="E2" s="2">
        <v>4.5154185022026398</v>
      </c>
      <c r="F2" s="2">
        <v>4.8127753303964704</v>
      </c>
      <c r="G2" s="2"/>
      <c r="H2" s="2">
        <f t="shared" ref="H2:H7" si="0">F2-E2</f>
        <v>0.29735682819383058</v>
      </c>
      <c r="I2" s="2">
        <f>E2*10</f>
        <v>45.154185022026397</v>
      </c>
      <c r="J2" s="2">
        <f>H2*10</f>
        <v>2.9735682819383058</v>
      </c>
    </row>
    <row r="3" spans="1:10" x14ac:dyDescent="0.25">
      <c r="A3" s="3" t="s">
        <v>33</v>
      </c>
      <c r="B3" s="3">
        <v>31</v>
      </c>
      <c r="C3" s="3">
        <v>43.061674008810506</v>
      </c>
      <c r="D3" s="3">
        <v>3.0837004405286983</v>
      </c>
      <c r="E3" s="2">
        <v>4.3061674008810504</v>
      </c>
      <c r="F3" s="2">
        <v>4.6145374449339203</v>
      </c>
      <c r="G3" s="2"/>
      <c r="H3" s="2">
        <f t="shared" si="0"/>
        <v>0.30837004405286983</v>
      </c>
      <c r="I3" s="2">
        <f t="shared" ref="I3:I7" si="1">E3*10</f>
        <v>43.061674008810506</v>
      </c>
      <c r="J3" s="2">
        <f t="shared" ref="J3:J7" si="2">H3*10</f>
        <v>3.0837004405286983</v>
      </c>
    </row>
    <row r="4" spans="1:10" x14ac:dyDescent="0.25">
      <c r="A4" s="3" t="s">
        <v>34</v>
      </c>
      <c r="B4" s="3">
        <v>31</v>
      </c>
      <c r="C4" s="3">
        <v>26.872246696035198</v>
      </c>
      <c r="D4" s="3">
        <v>2.4229074889868008</v>
      </c>
      <c r="E4" s="2">
        <v>2.6872246696035198</v>
      </c>
      <c r="F4" s="2">
        <v>2.9295154185021999</v>
      </c>
      <c r="G4" s="2"/>
      <c r="H4" s="2">
        <f t="shared" si="0"/>
        <v>0.24229074889868008</v>
      </c>
      <c r="I4" s="2">
        <f t="shared" si="1"/>
        <v>26.872246696035198</v>
      </c>
      <c r="J4" s="2">
        <f t="shared" si="2"/>
        <v>2.4229074889868008</v>
      </c>
    </row>
    <row r="5" spans="1:10" x14ac:dyDescent="0.25">
      <c r="A5" s="3" t="s">
        <v>35</v>
      </c>
      <c r="B5" s="3">
        <v>31</v>
      </c>
      <c r="C5" s="3">
        <v>24.7797356828193</v>
      </c>
      <c r="D5" s="3">
        <v>2.5330396475771</v>
      </c>
      <c r="E5" s="2">
        <v>2.4779735682819299</v>
      </c>
      <c r="F5" s="2">
        <v>2.7312775330396399</v>
      </c>
      <c r="G5" s="2"/>
      <c r="H5" s="2">
        <f t="shared" si="0"/>
        <v>0.25330396475771</v>
      </c>
      <c r="I5" s="2">
        <f t="shared" si="1"/>
        <v>24.7797356828193</v>
      </c>
      <c r="J5" s="2">
        <f t="shared" si="2"/>
        <v>2.5330396475771</v>
      </c>
    </row>
    <row r="6" spans="1:10" x14ac:dyDescent="0.25">
      <c r="A6" s="3" t="s">
        <v>36</v>
      </c>
      <c r="B6" s="3">
        <v>31</v>
      </c>
      <c r="C6" s="3">
        <v>11.7841409691629</v>
      </c>
      <c r="D6" s="3">
        <v>0.88105726872250045</v>
      </c>
      <c r="E6" s="2">
        <v>1.17841409691629</v>
      </c>
      <c r="F6" s="2">
        <v>1.26651982378854</v>
      </c>
      <c r="G6" s="2"/>
      <c r="H6" s="2">
        <f t="shared" si="0"/>
        <v>8.8105726872250045E-2</v>
      </c>
      <c r="I6" s="2">
        <f t="shared" si="1"/>
        <v>11.7841409691629</v>
      </c>
      <c r="J6" s="2">
        <f t="shared" si="2"/>
        <v>0.88105726872250045</v>
      </c>
    </row>
    <row r="7" spans="1:10" x14ac:dyDescent="0.25">
      <c r="A7" s="3" t="s">
        <v>37</v>
      </c>
      <c r="B7" s="3">
        <v>31</v>
      </c>
      <c r="C7" s="3">
        <v>10.792951541850201</v>
      </c>
      <c r="D7" s="3">
        <v>0.55066079295150061</v>
      </c>
      <c r="E7" s="2">
        <v>1.07929515418502</v>
      </c>
      <c r="F7" s="2">
        <v>1.13436123348017</v>
      </c>
      <c r="G7" s="2"/>
      <c r="H7" s="2">
        <f t="shared" si="0"/>
        <v>5.5066079295150061E-2</v>
      </c>
      <c r="I7" s="2">
        <f t="shared" si="1"/>
        <v>10.792951541850201</v>
      </c>
      <c r="J7" s="2">
        <f t="shared" si="2"/>
        <v>0.55066079295150061</v>
      </c>
    </row>
    <row r="8" spans="1:10" x14ac:dyDescent="0.25">
      <c r="A8" s="3" t="s">
        <v>38</v>
      </c>
      <c r="B8" s="3">
        <v>31</v>
      </c>
      <c r="C8" s="3">
        <v>0.78781038374717804</v>
      </c>
      <c r="D8" s="3">
        <f t="shared" ref="D8:D13" si="3">H8</f>
        <v>2.4830699774265996E-2</v>
      </c>
      <c r="G8" s="2">
        <v>0.81264108352144404</v>
      </c>
      <c r="H8" s="2">
        <f t="shared" ref="H8:H13" si="4">G8-C8</f>
        <v>2.4830699774265996E-2</v>
      </c>
    </row>
    <row r="9" spans="1:10" x14ac:dyDescent="0.25">
      <c r="A9" s="3" t="s">
        <v>39</v>
      </c>
      <c r="B9" s="3">
        <v>31</v>
      </c>
      <c r="C9" s="3">
        <v>0.94130925507900598</v>
      </c>
      <c r="D9" s="3">
        <f t="shared" si="3"/>
        <v>4.0632054176072074E-2</v>
      </c>
      <c r="G9" s="2">
        <v>0.98194130925507805</v>
      </c>
      <c r="H9" s="2">
        <f t="shared" si="4"/>
        <v>4.0632054176072074E-2</v>
      </c>
    </row>
    <row r="10" spans="1:10" x14ac:dyDescent="0.25">
      <c r="A10" s="3" t="s">
        <v>40</v>
      </c>
      <c r="B10" s="3">
        <v>31</v>
      </c>
      <c r="C10" s="3">
        <v>0.90519187358916398</v>
      </c>
      <c r="D10" s="3">
        <f t="shared" si="3"/>
        <v>4.0632054176072074E-2</v>
      </c>
      <c r="G10" s="2">
        <v>0.94582392776523605</v>
      </c>
      <c r="H10" s="2">
        <f t="shared" si="4"/>
        <v>4.0632054176072074E-2</v>
      </c>
    </row>
    <row r="11" spans="1:10" x14ac:dyDescent="0.25">
      <c r="A11" s="3" t="s">
        <v>41</v>
      </c>
      <c r="B11" s="3">
        <v>31</v>
      </c>
      <c r="C11" s="3">
        <v>0.67268623024830698</v>
      </c>
      <c r="D11" s="3">
        <f t="shared" si="3"/>
        <v>1.8058690744920058E-2</v>
      </c>
      <c r="G11" s="2">
        <v>0.69074492099322704</v>
      </c>
      <c r="H11" s="2">
        <f t="shared" si="4"/>
        <v>1.8058690744920058E-2</v>
      </c>
    </row>
    <row r="12" spans="1:10" x14ac:dyDescent="0.25">
      <c r="A12" s="3" t="s">
        <v>42</v>
      </c>
      <c r="B12" s="3">
        <v>31</v>
      </c>
      <c r="C12" s="3">
        <v>0.60045146726862297</v>
      </c>
      <c r="D12" s="3">
        <f t="shared" si="3"/>
        <v>2.2573363431151017E-2</v>
      </c>
      <c r="G12" s="2">
        <v>0.62302483069977399</v>
      </c>
      <c r="H12" s="2">
        <f t="shared" si="4"/>
        <v>2.2573363431151017E-2</v>
      </c>
    </row>
    <row r="13" spans="1:10" x14ac:dyDescent="0.25">
      <c r="A13" s="3" t="s">
        <v>43</v>
      </c>
      <c r="B13" s="3">
        <v>31</v>
      </c>
      <c r="C13" s="3">
        <v>0.70654627539503301</v>
      </c>
      <c r="D13" s="3">
        <f t="shared" si="3"/>
        <v>2.7088036117381975E-2</v>
      </c>
      <c r="G13" s="2">
        <v>0.73363431151241498</v>
      </c>
      <c r="H13" s="2">
        <f t="shared" si="4"/>
        <v>2.7088036117381975E-2</v>
      </c>
    </row>
  </sheetData>
  <phoneticPr fontId="2" type="noConversion"/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DE51D-4BA1-4531-BB83-6CEC337CB52B}">
  <dimension ref="A1:C12"/>
  <sheetViews>
    <sheetView workbookViewId="0">
      <selection activeCell="A12" sqref="A12"/>
    </sheetView>
  </sheetViews>
  <sheetFormatPr defaultColWidth="10.5703125" defaultRowHeight="15" x14ac:dyDescent="0.25"/>
  <cols>
    <col min="1" max="1" width="30.140625" bestFit="1" customWidth="1"/>
    <col min="2" max="2" width="12.7109375" bestFit="1" customWidth="1"/>
    <col min="3" max="3" width="19.140625" bestFit="1" customWidth="1"/>
  </cols>
  <sheetData>
    <row r="1" spans="1:3" x14ac:dyDescent="0.25">
      <c r="A1" s="3" t="s">
        <v>2</v>
      </c>
      <c r="B1" s="3" t="s">
        <v>16</v>
      </c>
      <c r="C1" s="3" t="s">
        <v>31</v>
      </c>
    </row>
    <row r="2" spans="1:3" x14ac:dyDescent="0.25">
      <c r="A2" s="3" t="s">
        <v>44</v>
      </c>
      <c r="B2">
        <v>4</v>
      </c>
      <c r="C2">
        <v>100</v>
      </c>
    </row>
    <row r="3" spans="1:3" x14ac:dyDescent="0.25">
      <c r="A3" s="3" t="s">
        <v>45</v>
      </c>
      <c r="B3">
        <v>4</v>
      </c>
      <c r="C3">
        <v>96.730245231607597</v>
      </c>
    </row>
    <row r="4" spans="1:3" x14ac:dyDescent="0.25">
      <c r="A4" s="3" t="s">
        <v>46</v>
      </c>
      <c r="B4">
        <v>4</v>
      </c>
      <c r="C4">
        <v>91.280653950953607</v>
      </c>
    </row>
    <row r="5" spans="1:3" x14ac:dyDescent="0.25">
      <c r="A5" s="3" t="s">
        <v>47</v>
      </c>
      <c r="B5">
        <v>4</v>
      </c>
      <c r="C5">
        <v>73.841961852861004</v>
      </c>
    </row>
    <row r="6" spans="1:3" x14ac:dyDescent="0.25">
      <c r="A6" s="3" t="s">
        <v>48</v>
      </c>
      <c r="B6">
        <v>4</v>
      </c>
      <c r="C6">
        <v>64.850136239782003</v>
      </c>
    </row>
    <row r="7" spans="1:3" x14ac:dyDescent="0.25">
      <c r="A7" s="3" t="s">
        <v>49</v>
      </c>
      <c r="B7">
        <v>4</v>
      </c>
      <c r="C7">
        <v>41.144414168937296</v>
      </c>
    </row>
    <row r="8" spans="1:3" x14ac:dyDescent="0.25">
      <c r="A8" s="3" t="s">
        <v>50</v>
      </c>
      <c r="B8">
        <v>4</v>
      </c>
      <c r="C8">
        <v>100</v>
      </c>
    </row>
    <row r="9" spans="1:3" x14ac:dyDescent="0.25">
      <c r="A9" s="3" t="s">
        <v>51</v>
      </c>
      <c r="B9">
        <v>4</v>
      </c>
      <c r="C9">
        <v>100</v>
      </c>
    </row>
    <row r="10" spans="1:3" x14ac:dyDescent="0.25">
      <c r="A10" s="3" t="s">
        <v>52</v>
      </c>
      <c r="B10">
        <v>4</v>
      </c>
      <c r="C10">
        <v>91.436464088397699</v>
      </c>
    </row>
    <row r="11" spans="1:3" x14ac:dyDescent="0.25">
      <c r="A11" s="3" t="s">
        <v>53</v>
      </c>
      <c r="B11">
        <v>4</v>
      </c>
      <c r="C11">
        <v>87.569060773480601</v>
      </c>
    </row>
    <row r="12" spans="1:3" x14ac:dyDescent="0.25">
      <c r="A12" s="3" t="s">
        <v>54</v>
      </c>
      <c r="B12">
        <v>4</v>
      </c>
      <c r="C12">
        <v>74.861878453038599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3ECFD-6808-45F9-ADFB-1AB95A1C2A70}">
  <dimension ref="A1:F20"/>
  <sheetViews>
    <sheetView workbookViewId="0">
      <selection activeCell="D28" sqref="D28"/>
    </sheetView>
  </sheetViews>
  <sheetFormatPr defaultColWidth="10.5703125" defaultRowHeight="15" x14ac:dyDescent="0.25"/>
  <cols>
    <col min="1" max="1" width="29.28515625" bestFit="1" customWidth="1"/>
    <col min="2" max="2" width="13.7109375" bestFit="1" customWidth="1"/>
    <col min="3" max="3" width="19.42578125" bestFit="1" customWidth="1"/>
    <col min="4" max="4" width="24.42578125" style="12" bestFit="1" customWidth="1"/>
    <col min="5" max="5" width="9.140625" style="12" bestFit="1" customWidth="1"/>
    <col min="6" max="6" width="20.7109375" style="12" bestFit="1" customWidth="1"/>
  </cols>
  <sheetData>
    <row r="1" spans="1:6" x14ac:dyDescent="0.25">
      <c r="A1" t="s">
        <v>2</v>
      </c>
      <c r="B1" t="s">
        <v>0</v>
      </c>
      <c r="C1" t="s">
        <v>156</v>
      </c>
      <c r="D1" s="12" t="s">
        <v>155</v>
      </c>
      <c r="E1" s="12" t="s">
        <v>135</v>
      </c>
      <c r="F1" s="12" t="s">
        <v>156</v>
      </c>
    </row>
    <row r="2" spans="1:6" x14ac:dyDescent="0.25">
      <c r="A2" t="s">
        <v>158</v>
      </c>
      <c r="B2">
        <v>0</v>
      </c>
      <c r="C2">
        <v>32.423185301101483</v>
      </c>
      <c r="D2" s="12">
        <v>38.144923883648801</v>
      </c>
      <c r="E2" s="12">
        <v>85</v>
      </c>
      <c r="F2" s="12">
        <f t="shared" ref="F2:F20" si="0">D2*E2/100</f>
        <v>32.423185301101483</v>
      </c>
    </row>
    <row r="3" spans="1:6" x14ac:dyDescent="0.25">
      <c r="A3" t="s">
        <v>158</v>
      </c>
      <c r="B3">
        <v>0.1</v>
      </c>
      <c r="C3">
        <v>25.196122182625526</v>
      </c>
      <c r="D3" s="12">
        <v>29.642496685441799</v>
      </c>
      <c r="E3" s="12">
        <v>85</v>
      </c>
      <c r="F3" s="12">
        <f t="shared" si="0"/>
        <v>25.196122182625526</v>
      </c>
    </row>
    <row r="4" spans="1:6" x14ac:dyDescent="0.25">
      <c r="A4" t="s">
        <v>158</v>
      </c>
      <c r="B4">
        <v>3.23</v>
      </c>
      <c r="C4">
        <v>12.042594807128019</v>
      </c>
      <c r="D4" s="12">
        <v>14.1677585966212</v>
      </c>
      <c r="E4" s="12">
        <v>85</v>
      </c>
      <c r="F4" s="12">
        <f t="shared" si="0"/>
        <v>12.042594807128019</v>
      </c>
    </row>
    <row r="5" spans="1:6" x14ac:dyDescent="0.25">
      <c r="A5" t="s">
        <v>158</v>
      </c>
      <c r="B5">
        <v>4.76</v>
      </c>
      <c r="C5">
        <v>10.714693194630376</v>
      </c>
      <c r="D5" s="12">
        <v>12.605521405447501</v>
      </c>
      <c r="E5" s="12">
        <v>85</v>
      </c>
      <c r="F5" s="12">
        <f t="shared" si="0"/>
        <v>10.714693194630376</v>
      </c>
    </row>
    <row r="6" spans="1:6" x14ac:dyDescent="0.25">
      <c r="A6" t="s">
        <v>158</v>
      </c>
      <c r="B6">
        <v>24</v>
      </c>
      <c r="C6">
        <v>6.822787067979176</v>
      </c>
      <c r="D6" s="12">
        <v>8.0268083152696192</v>
      </c>
      <c r="E6" s="12">
        <v>85</v>
      </c>
      <c r="F6" s="12">
        <f t="shared" si="0"/>
        <v>6.822787067979176</v>
      </c>
    </row>
    <row r="7" spans="1:6" x14ac:dyDescent="0.25">
      <c r="A7" t="s">
        <v>158</v>
      </c>
      <c r="B7">
        <v>48</v>
      </c>
      <c r="C7">
        <v>5.9185171185214251</v>
      </c>
      <c r="D7" s="12">
        <v>6.9629613159075596</v>
      </c>
      <c r="E7" s="12">
        <v>85</v>
      </c>
      <c r="F7" s="12">
        <f t="shared" si="0"/>
        <v>5.9185171185214251</v>
      </c>
    </row>
    <row r="8" spans="1:6" x14ac:dyDescent="0.25">
      <c r="A8" t="s">
        <v>158</v>
      </c>
      <c r="B8">
        <v>72</v>
      </c>
      <c r="C8">
        <v>5.1326932244273733</v>
      </c>
      <c r="D8" s="12">
        <v>6.0384626169733799</v>
      </c>
      <c r="E8" s="12">
        <v>85</v>
      </c>
      <c r="F8" s="12">
        <f t="shared" si="0"/>
        <v>5.1326932244273733</v>
      </c>
    </row>
    <row r="9" spans="1:6" x14ac:dyDescent="0.25">
      <c r="A9" t="s">
        <v>159</v>
      </c>
      <c r="B9">
        <v>0.31</v>
      </c>
      <c r="C9">
        <v>0.50008059797689985</v>
      </c>
      <c r="D9" s="12">
        <v>0.58833011526694101</v>
      </c>
      <c r="E9" s="12">
        <v>85</v>
      </c>
      <c r="F9" s="12">
        <f t="shared" si="0"/>
        <v>0.50008059797689985</v>
      </c>
    </row>
    <row r="10" spans="1:6" x14ac:dyDescent="0.25">
      <c r="A10" t="s">
        <v>159</v>
      </c>
      <c r="B10">
        <v>3.65</v>
      </c>
      <c r="C10">
        <v>0.15002967971988426</v>
      </c>
      <c r="D10" s="12">
        <v>0.176505505552805</v>
      </c>
      <c r="E10" s="12">
        <v>85</v>
      </c>
      <c r="F10" s="12">
        <f t="shared" si="0"/>
        <v>0.15002967971988426</v>
      </c>
    </row>
    <row r="11" spans="1:6" x14ac:dyDescent="0.25">
      <c r="A11" t="s">
        <v>159</v>
      </c>
      <c r="B11">
        <v>24</v>
      </c>
      <c r="C11">
        <v>3.4144276903994013E-2</v>
      </c>
      <c r="D11" s="12">
        <v>4.01697375341106E-2</v>
      </c>
      <c r="E11" s="12">
        <v>85</v>
      </c>
      <c r="F11" s="12">
        <f t="shared" si="0"/>
        <v>3.4144276903994013E-2</v>
      </c>
    </row>
    <row r="12" spans="1:6" x14ac:dyDescent="0.25">
      <c r="A12" t="s">
        <v>159</v>
      </c>
      <c r="B12">
        <v>48</v>
      </c>
      <c r="C12">
        <v>5.0994859583057689E-2</v>
      </c>
      <c r="D12" s="12">
        <v>5.9993952450656099E-2</v>
      </c>
      <c r="E12" s="12">
        <v>85</v>
      </c>
      <c r="F12" s="12">
        <f t="shared" si="0"/>
        <v>5.0994859583057689E-2</v>
      </c>
    </row>
    <row r="13" spans="1:6" x14ac:dyDescent="0.25">
      <c r="A13" t="s">
        <v>159</v>
      </c>
      <c r="B13">
        <v>72</v>
      </c>
      <c r="C13">
        <v>6.7772560203934074E-2</v>
      </c>
      <c r="D13" s="12">
        <v>7.9732423769334204E-2</v>
      </c>
      <c r="E13" s="12">
        <v>85</v>
      </c>
      <c r="F13" s="12">
        <f t="shared" si="0"/>
        <v>6.7772560203934074E-2</v>
      </c>
    </row>
    <row r="14" spans="1:6" x14ac:dyDescent="0.25">
      <c r="A14" t="s">
        <v>160</v>
      </c>
      <c r="B14">
        <v>24</v>
      </c>
      <c r="C14">
        <v>1.7920880828491418E-2</v>
      </c>
      <c r="D14" s="12">
        <v>2.1083389209989901E-2</v>
      </c>
      <c r="E14" s="12">
        <v>85</v>
      </c>
      <c r="F14" s="12">
        <f t="shared" si="0"/>
        <v>1.7920880828491418E-2</v>
      </c>
    </row>
    <row r="15" spans="1:6" x14ac:dyDescent="0.25">
      <c r="A15" t="s">
        <v>160</v>
      </c>
      <c r="B15">
        <v>48</v>
      </c>
      <c r="C15">
        <v>2.6790789792479012E-3</v>
      </c>
      <c r="D15" s="12">
        <v>3.1518576226445901E-3</v>
      </c>
      <c r="E15" s="12">
        <v>85</v>
      </c>
      <c r="F15" s="12">
        <f t="shared" si="0"/>
        <v>2.6790789792479012E-3</v>
      </c>
    </row>
    <row r="16" spans="1:6" x14ac:dyDescent="0.25">
      <c r="A16" t="s">
        <v>160</v>
      </c>
      <c r="B16">
        <v>72</v>
      </c>
      <c r="C16">
        <v>2.4466917509362658E-3</v>
      </c>
      <c r="D16" s="12">
        <v>2.8784608834544301E-3</v>
      </c>
      <c r="E16" s="12">
        <v>85</v>
      </c>
      <c r="F16" s="12">
        <f t="shared" si="0"/>
        <v>2.4466917509362658E-3</v>
      </c>
    </row>
    <row r="17" spans="1:6" x14ac:dyDescent="0.25">
      <c r="A17" t="s">
        <v>161</v>
      </c>
      <c r="B17">
        <v>3.31</v>
      </c>
      <c r="C17">
        <v>2.5959164948970797</v>
      </c>
      <c r="D17" s="12">
        <v>3.0540194057612702</v>
      </c>
      <c r="E17" s="12">
        <v>85</v>
      </c>
      <c r="F17" s="12">
        <f t="shared" si="0"/>
        <v>2.5959164948970797</v>
      </c>
    </row>
    <row r="18" spans="1:6" x14ac:dyDescent="0.25">
      <c r="A18" t="s">
        <v>161</v>
      </c>
      <c r="B18">
        <v>24</v>
      </c>
      <c r="C18">
        <v>0.60662672295040776</v>
      </c>
      <c r="D18" s="12">
        <v>0.71367849758871504</v>
      </c>
      <c r="E18" s="12">
        <v>85</v>
      </c>
      <c r="F18" s="12">
        <f t="shared" si="0"/>
        <v>0.60662672295040776</v>
      </c>
    </row>
    <row r="19" spans="1:6" x14ac:dyDescent="0.25">
      <c r="A19" t="s">
        <v>161</v>
      </c>
      <c r="B19">
        <v>48</v>
      </c>
      <c r="C19">
        <v>0.25936486234755574</v>
      </c>
      <c r="D19" s="12">
        <v>0.305135132173595</v>
      </c>
      <c r="E19" s="12">
        <v>85</v>
      </c>
      <c r="F19" s="12">
        <f t="shared" si="0"/>
        <v>0.25936486234755574</v>
      </c>
    </row>
    <row r="20" spans="1:6" x14ac:dyDescent="0.25">
      <c r="A20" t="s">
        <v>161</v>
      </c>
      <c r="B20">
        <v>72</v>
      </c>
      <c r="C20">
        <v>9.4906461712919651E-2</v>
      </c>
      <c r="D20" s="12">
        <v>0.11165466083872901</v>
      </c>
      <c r="E20" s="12">
        <v>85</v>
      </c>
      <c r="F20" s="12">
        <f t="shared" si="0"/>
        <v>9.4906461712919651E-2</v>
      </c>
    </row>
  </sheetData>
  <phoneticPr fontId="2" type="noConversion"/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87B5-CAC2-4264-865B-58570014BCC9}">
  <dimension ref="A1:L25"/>
  <sheetViews>
    <sheetView workbookViewId="0">
      <selection activeCell="H28" sqref="H28"/>
    </sheetView>
  </sheetViews>
  <sheetFormatPr defaultColWidth="10.5703125" defaultRowHeight="15" x14ac:dyDescent="0.25"/>
  <cols>
    <col min="1" max="1" width="29.28515625" bestFit="1" customWidth="1"/>
    <col min="2" max="2" width="12" bestFit="1" customWidth="1"/>
    <col min="3" max="3" width="19.42578125" bestFit="1" customWidth="1"/>
    <col min="4" max="4" width="12.5703125" bestFit="1" customWidth="1"/>
    <col min="5" max="5" width="12.7109375" style="2" bestFit="1" customWidth="1"/>
    <col min="6" max="6" width="8.42578125" style="2" bestFit="1" customWidth="1"/>
    <col min="7" max="7" width="35" style="2" bestFit="1" customWidth="1"/>
    <col min="8" max="8" width="32" style="2" bestFit="1" customWidth="1"/>
    <col min="9" max="9" width="33" style="2" bestFit="1" customWidth="1"/>
    <col min="10" max="10" width="9.42578125" style="21" bestFit="1" customWidth="1"/>
    <col min="11" max="11" width="22.7109375" style="2" bestFit="1" customWidth="1"/>
    <col min="12" max="12" width="20.5703125" style="2" bestFit="1" customWidth="1"/>
    <col min="13" max="13" width="17.5703125" bestFit="1" customWidth="1"/>
    <col min="14" max="14" width="18.5703125" bestFit="1" customWidth="1"/>
    <col min="15" max="15" width="20.5703125" bestFit="1" customWidth="1"/>
    <col min="16" max="16" width="17.5703125" bestFit="1" customWidth="1"/>
    <col min="17" max="17" width="18.5703125" bestFit="1" customWidth="1"/>
  </cols>
  <sheetData>
    <row r="1" spans="1:12" x14ac:dyDescent="0.25">
      <c r="A1" t="s">
        <v>2</v>
      </c>
      <c r="B1" t="s">
        <v>0</v>
      </c>
      <c r="C1" t="s">
        <v>156</v>
      </c>
      <c r="D1" t="s">
        <v>167</v>
      </c>
      <c r="E1" s="2" t="s">
        <v>16</v>
      </c>
      <c r="F1" s="2" t="s">
        <v>0</v>
      </c>
      <c r="G1" s="2" t="s">
        <v>162</v>
      </c>
      <c r="H1" s="2" t="s">
        <v>163</v>
      </c>
      <c r="I1" s="2" t="s">
        <v>164</v>
      </c>
      <c r="J1" s="21" t="s">
        <v>135</v>
      </c>
      <c r="K1" s="2" t="s">
        <v>166</v>
      </c>
      <c r="L1" s="2" t="s">
        <v>168</v>
      </c>
    </row>
    <row r="2" spans="1:12" x14ac:dyDescent="0.25">
      <c r="A2" t="s">
        <v>165</v>
      </c>
      <c r="B2">
        <v>4.2854929631384701E-2</v>
      </c>
      <c r="C2">
        <v>5.1069480257982418</v>
      </c>
      <c r="D2">
        <v>0.28740415298072586</v>
      </c>
      <c r="G2" s="2">
        <v>30.7647471433629</v>
      </c>
      <c r="H2" s="2">
        <v>32.496097462523899</v>
      </c>
      <c r="I2" s="2">
        <f t="shared" ref="I2:I10" si="0">H2-G2</f>
        <v>1.7313503191609989</v>
      </c>
      <c r="J2" s="21">
        <v>16.600000000000001</v>
      </c>
      <c r="K2" s="2">
        <f>G2*J2/100</f>
        <v>5.1069480257982418</v>
      </c>
      <c r="L2" s="2">
        <f>I2*J2/100</f>
        <v>0.28740415298072586</v>
      </c>
    </row>
    <row r="3" spans="1:12" x14ac:dyDescent="0.25">
      <c r="A3" t="s">
        <v>165</v>
      </c>
      <c r="B3">
        <v>0.123420833512784</v>
      </c>
      <c r="C3">
        <v>5.2807104080379137</v>
      </c>
      <c r="D3">
        <v>0.54692666143051372</v>
      </c>
      <c r="G3" s="2">
        <v>31.8115084821561</v>
      </c>
      <c r="H3" s="2">
        <v>35.106247406436303</v>
      </c>
      <c r="I3" s="2">
        <f t="shared" si="0"/>
        <v>3.2947389242802032</v>
      </c>
      <c r="J3" s="21">
        <v>16.600000000000001</v>
      </c>
      <c r="K3" s="2">
        <f t="shared" ref="K3:K12" si="1">G3*J3/100</f>
        <v>5.2807104080379137</v>
      </c>
      <c r="L3" s="2">
        <f t="shared" ref="L3:L12" si="2">I3*J3/100</f>
        <v>0.54692666143051372</v>
      </c>
    </row>
    <row r="4" spans="1:12" x14ac:dyDescent="0.25">
      <c r="A4" t="s">
        <v>165</v>
      </c>
      <c r="B4">
        <v>0.22</v>
      </c>
      <c r="C4">
        <v>5.0580964081460431</v>
      </c>
      <c r="D4">
        <v>0.46308067453016588</v>
      </c>
      <c r="G4" s="2">
        <v>30.470460290036399</v>
      </c>
      <c r="H4" s="2">
        <v>33.260102907688001</v>
      </c>
      <c r="I4" s="2">
        <f t="shared" si="0"/>
        <v>2.7896426176516016</v>
      </c>
      <c r="J4" s="21">
        <v>16.600000000000001</v>
      </c>
      <c r="K4" s="2">
        <f t="shared" si="1"/>
        <v>5.0580964081460431</v>
      </c>
      <c r="L4" s="2">
        <f t="shared" si="2"/>
        <v>0.46308067453016588</v>
      </c>
    </row>
    <row r="5" spans="1:12" x14ac:dyDescent="0.25">
      <c r="A5" t="s">
        <v>165</v>
      </c>
      <c r="B5">
        <v>0.38</v>
      </c>
      <c r="C5">
        <v>4.2503662265045223</v>
      </c>
      <c r="D5">
        <v>0.38969558046862446</v>
      </c>
      <c r="G5" s="2">
        <v>25.604615822316401</v>
      </c>
      <c r="H5" s="2">
        <v>27.952179560079198</v>
      </c>
      <c r="I5" s="2">
        <f t="shared" si="0"/>
        <v>2.3475637377627976</v>
      </c>
      <c r="J5" s="21">
        <v>16.600000000000001</v>
      </c>
      <c r="K5" s="2">
        <f t="shared" si="1"/>
        <v>4.2503662265045223</v>
      </c>
      <c r="L5" s="2">
        <f t="shared" si="2"/>
        <v>0.38969558046862446</v>
      </c>
    </row>
    <row r="6" spans="1:12" x14ac:dyDescent="0.25">
      <c r="A6" t="s">
        <v>165</v>
      </c>
      <c r="B6">
        <v>0.56000000000000005</v>
      </c>
      <c r="C6">
        <v>3.9854205715678854</v>
      </c>
      <c r="D6">
        <v>0.41277263837197181</v>
      </c>
      <c r="G6" s="2">
        <v>24.008557660047501</v>
      </c>
      <c r="H6" s="2">
        <v>26.495139818914801</v>
      </c>
      <c r="I6" s="2">
        <f t="shared" si="0"/>
        <v>2.4865821588673001</v>
      </c>
      <c r="J6" s="21">
        <v>16.600000000000001</v>
      </c>
      <c r="K6" s="2">
        <f t="shared" si="1"/>
        <v>3.9854205715678854</v>
      </c>
      <c r="L6" s="2">
        <f>I6*J6/100</f>
        <v>0.41277263837197181</v>
      </c>
    </row>
    <row r="7" spans="1:12" x14ac:dyDescent="0.25">
      <c r="A7" t="s">
        <v>165</v>
      </c>
      <c r="B7">
        <v>1.0529999999999999</v>
      </c>
      <c r="C7">
        <v>3.1440512043577957</v>
      </c>
      <c r="D7">
        <v>0.36383363698254334</v>
      </c>
      <c r="G7" s="2">
        <v>18.940067496131299</v>
      </c>
      <c r="H7" s="2">
        <v>21.131836393616499</v>
      </c>
      <c r="I7" s="2">
        <f t="shared" si="0"/>
        <v>2.1917688974852005</v>
      </c>
      <c r="J7" s="21">
        <v>16.600000000000001</v>
      </c>
      <c r="K7" s="2">
        <f t="shared" si="1"/>
        <v>3.1440512043577957</v>
      </c>
      <c r="L7" s="2">
        <f t="shared" si="2"/>
        <v>0.36383363698254334</v>
      </c>
    </row>
    <row r="8" spans="1:12" x14ac:dyDescent="0.25">
      <c r="A8" t="s">
        <v>165</v>
      </c>
      <c r="B8">
        <v>2.0499999999999998</v>
      </c>
      <c r="C8">
        <v>2.5170895382370473</v>
      </c>
      <c r="D8">
        <v>0.32220177434999842</v>
      </c>
      <c r="G8" s="2">
        <v>15.1631899893798</v>
      </c>
      <c r="H8" s="2">
        <v>17.104164533656899</v>
      </c>
      <c r="I8" s="2">
        <f t="shared" si="0"/>
        <v>1.9409745442770987</v>
      </c>
      <c r="J8" s="21">
        <v>16.600000000000001</v>
      </c>
      <c r="K8" s="2">
        <f t="shared" si="1"/>
        <v>2.5170895382370473</v>
      </c>
      <c r="L8" s="2">
        <f t="shared" si="2"/>
        <v>0.32220177434999842</v>
      </c>
    </row>
    <row r="9" spans="1:12" x14ac:dyDescent="0.25">
      <c r="A9" t="s">
        <v>165</v>
      </c>
      <c r="B9">
        <v>3.04</v>
      </c>
      <c r="C9">
        <v>2.2731024383491163</v>
      </c>
      <c r="D9">
        <v>0.29097003812918648</v>
      </c>
      <c r="G9" s="2">
        <v>13.693388182826</v>
      </c>
      <c r="H9" s="2">
        <v>15.446219737821099</v>
      </c>
      <c r="I9" s="2">
        <f t="shared" si="0"/>
        <v>1.7528315549950992</v>
      </c>
      <c r="J9" s="21">
        <v>16.600000000000001</v>
      </c>
      <c r="K9" s="2">
        <f t="shared" si="1"/>
        <v>2.2731024383491163</v>
      </c>
      <c r="L9" s="2">
        <f>I9*J9/100</f>
        <v>0.29097003812918648</v>
      </c>
    </row>
    <row r="10" spans="1:12" x14ac:dyDescent="0.25">
      <c r="A10" t="s">
        <v>165</v>
      </c>
      <c r="B10">
        <v>4.04</v>
      </c>
      <c r="C10">
        <v>2.1446757340475595</v>
      </c>
      <c r="D10">
        <v>0.35532215633478031</v>
      </c>
      <c r="G10" s="2">
        <v>12.9197333376359</v>
      </c>
      <c r="H10" s="2">
        <v>15.0602282553153</v>
      </c>
      <c r="I10" s="2">
        <f t="shared" si="0"/>
        <v>2.1404949176793995</v>
      </c>
      <c r="J10" s="21">
        <v>16.600000000000001</v>
      </c>
      <c r="K10" s="2">
        <f t="shared" si="1"/>
        <v>2.1446757340475595</v>
      </c>
      <c r="L10" s="2">
        <f t="shared" si="2"/>
        <v>0.35532215633478031</v>
      </c>
    </row>
    <row r="11" spans="1:12" x14ac:dyDescent="0.25">
      <c r="A11" t="s">
        <v>165</v>
      </c>
      <c r="B11">
        <v>24</v>
      </c>
      <c r="C11">
        <v>1.5551864909176063</v>
      </c>
      <c r="D11">
        <v>0.18067541295760381</v>
      </c>
      <c r="E11" s="2">
        <v>1</v>
      </c>
      <c r="F11" s="2">
        <f>E11*24</f>
        <v>24</v>
      </c>
      <c r="G11" s="2">
        <v>9.3685933187807606</v>
      </c>
      <c r="H11" s="2">
        <v>10.456999420935</v>
      </c>
      <c r="I11" s="2">
        <f t="shared" ref="I11" si="3">H11-G11</f>
        <v>1.0884061021542397</v>
      </c>
      <c r="J11" s="21">
        <v>16.600000000000001</v>
      </c>
      <c r="K11" s="2">
        <f t="shared" si="1"/>
        <v>1.5551864909176063</v>
      </c>
      <c r="L11" s="2">
        <f t="shared" si="2"/>
        <v>0.18067541295760381</v>
      </c>
    </row>
    <row r="12" spans="1:12" x14ac:dyDescent="0.25">
      <c r="A12" t="s">
        <v>165</v>
      </c>
      <c r="B12">
        <v>72</v>
      </c>
      <c r="C12">
        <v>1.2078062489960468</v>
      </c>
      <c r="D12">
        <v>0.17028034688998089</v>
      </c>
      <c r="E12" s="2">
        <v>3</v>
      </c>
      <c r="F12" s="2">
        <f>E12*24</f>
        <v>72</v>
      </c>
      <c r="G12" s="2">
        <v>7.2759412590123302</v>
      </c>
      <c r="H12" s="2">
        <v>8.3017264812411309</v>
      </c>
      <c r="I12" s="2">
        <f>H12-G12</f>
        <v>1.0257852222288006</v>
      </c>
      <c r="J12" s="21">
        <v>16.600000000000001</v>
      </c>
      <c r="K12" s="2">
        <f t="shared" si="1"/>
        <v>1.2078062489960468</v>
      </c>
      <c r="L12" s="2">
        <f t="shared" si="2"/>
        <v>0.17028034688998089</v>
      </c>
    </row>
    <row r="13" spans="1:12" x14ac:dyDescent="0.25">
      <c r="A13" t="s">
        <v>165</v>
      </c>
      <c r="B13">
        <v>168</v>
      </c>
      <c r="C13">
        <v>0.67454973916733918</v>
      </c>
      <c r="D13">
        <v>6.1996703309687595E-2</v>
      </c>
      <c r="E13" s="2">
        <v>7</v>
      </c>
      <c r="F13" s="2">
        <f>E13*24</f>
        <v>168</v>
      </c>
      <c r="G13" s="2">
        <v>4.0635526455863804</v>
      </c>
      <c r="H13" s="2">
        <v>4.4370267619097996</v>
      </c>
      <c r="I13" s="2">
        <f>H13-G13</f>
        <v>0.3734741163234192</v>
      </c>
      <c r="J13" s="21">
        <v>16.600000000000001</v>
      </c>
      <c r="K13" s="2">
        <f>G13*J13/100</f>
        <v>0.67454973916733918</v>
      </c>
      <c r="L13" s="2">
        <f>I13*J13/100</f>
        <v>6.1996703309687595E-2</v>
      </c>
    </row>
    <row r="14" spans="1:12" x14ac:dyDescent="0.25">
      <c r="A14" t="s">
        <v>169</v>
      </c>
      <c r="B14">
        <v>0</v>
      </c>
      <c r="C14">
        <v>3.0243192052602961</v>
      </c>
      <c r="D14">
        <v>0.5818580297128888</v>
      </c>
      <c r="G14" s="2">
        <v>21.1490853514706</v>
      </c>
      <c r="H14" s="2">
        <v>25.218022622190102</v>
      </c>
      <c r="I14" s="2">
        <f>H14-G14</f>
        <v>4.068937270719502</v>
      </c>
      <c r="J14" s="21">
        <v>14.3</v>
      </c>
      <c r="K14" s="2">
        <f>G14*J14/100</f>
        <v>3.0243192052602961</v>
      </c>
      <c r="L14" s="2">
        <f>I14*J14/100</f>
        <v>0.5818580297128888</v>
      </c>
    </row>
    <row r="15" spans="1:12" x14ac:dyDescent="0.25">
      <c r="A15" t="s">
        <v>169</v>
      </c>
      <c r="B15">
        <v>0.08</v>
      </c>
      <c r="C15">
        <v>2.5039067663766299</v>
      </c>
      <c r="D15">
        <v>0.33518583963368792</v>
      </c>
      <c r="G15" s="2">
        <v>17.509837527109301</v>
      </c>
      <c r="H15" s="2">
        <v>19.853794447624601</v>
      </c>
      <c r="I15" s="2">
        <f t="shared" ref="I15:I25" si="4">H15-G15</f>
        <v>2.3439569205152999</v>
      </c>
      <c r="J15" s="21">
        <v>14.3</v>
      </c>
      <c r="K15" s="2">
        <f t="shared" ref="K15:K25" si="5">G15*J15/100</f>
        <v>2.5039067663766299</v>
      </c>
      <c r="L15" s="2">
        <f t="shared" ref="L15:L25" si="6">I15*J15/100</f>
        <v>0.33518583963368792</v>
      </c>
    </row>
    <row r="16" spans="1:12" x14ac:dyDescent="0.25">
      <c r="A16" t="s">
        <v>169</v>
      </c>
      <c r="B16">
        <v>0.14000000000000001</v>
      </c>
      <c r="C16">
        <v>1.9966741953409968</v>
      </c>
      <c r="D16">
        <v>0.21093836261330687</v>
      </c>
      <c r="G16" s="2">
        <v>13.9627566107762</v>
      </c>
      <c r="H16" s="2">
        <v>15.4378500556245</v>
      </c>
      <c r="I16" s="2">
        <f t="shared" si="4"/>
        <v>1.4750934448482997</v>
      </c>
      <c r="J16" s="21">
        <v>14.3</v>
      </c>
      <c r="K16" s="2">
        <f t="shared" si="5"/>
        <v>1.9966741953409968</v>
      </c>
      <c r="L16" s="2">
        <f t="shared" si="6"/>
        <v>0.21093836261330687</v>
      </c>
    </row>
    <row r="17" spans="1:12" x14ac:dyDescent="0.25">
      <c r="A17" t="s">
        <v>169</v>
      </c>
      <c r="B17">
        <v>0.3</v>
      </c>
      <c r="C17">
        <v>1.5715900721113309</v>
      </c>
      <c r="D17">
        <v>0.14433684467709654</v>
      </c>
      <c r="G17" s="2">
        <v>10.9901403644149</v>
      </c>
      <c r="H17" s="2">
        <v>11.999488928590401</v>
      </c>
      <c r="I17" s="2">
        <f t="shared" si="4"/>
        <v>1.0093485641755002</v>
      </c>
      <c r="J17" s="21">
        <v>14.3</v>
      </c>
      <c r="K17" s="2">
        <f t="shared" si="5"/>
        <v>1.5715900721113309</v>
      </c>
      <c r="L17" s="2">
        <f t="shared" si="6"/>
        <v>0.14433684467709654</v>
      </c>
    </row>
    <row r="18" spans="1:12" x14ac:dyDescent="0.25">
      <c r="A18" t="s">
        <v>169</v>
      </c>
      <c r="B18">
        <v>0.48</v>
      </c>
      <c r="C18">
        <v>1.4202193328444093</v>
      </c>
      <c r="D18">
        <v>0.13055428344593223</v>
      </c>
      <c r="G18" s="2">
        <v>9.9316037261846795</v>
      </c>
      <c r="H18" s="2">
        <v>10.844570743289101</v>
      </c>
      <c r="I18" s="2">
        <f t="shared" si="4"/>
        <v>0.91296701710442107</v>
      </c>
      <c r="J18" s="21">
        <v>14.3</v>
      </c>
      <c r="K18" s="2">
        <f t="shared" si="5"/>
        <v>1.4202193328444093</v>
      </c>
      <c r="L18" s="2">
        <f t="shared" si="6"/>
        <v>0.13055428344593223</v>
      </c>
    </row>
    <row r="19" spans="1:12" x14ac:dyDescent="0.25">
      <c r="A19" t="s">
        <v>169</v>
      </c>
      <c r="B19">
        <v>1</v>
      </c>
      <c r="C19">
        <v>1.1163104057984765</v>
      </c>
      <c r="D19">
        <v>0.11802758769283071</v>
      </c>
      <c r="G19" s="2">
        <v>7.8063664741152197</v>
      </c>
      <c r="H19" s="2">
        <v>8.6317342202189309</v>
      </c>
      <c r="I19" s="2">
        <f t="shared" si="4"/>
        <v>0.82536774610371122</v>
      </c>
      <c r="J19" s="21">
        <v>14.3</v>
      </c>
      <c r="K19" s="2">
        <f t="shared" si="5"/>
        <v>1.1163104057984765</v>
      </c>
      <c r="L19" s="2">
        <f t="shared" si="6"/>
        <v>0.11802758769283071</v>
      </c>
    </row>
    <row r="20" spans="1:12" x14ac:dyDescent="0.25">
      <c r="A20" t="s">
        <v>169</v>
      </c>
      <c r="B20">
        <v>2</v>
      </c>
      <c r="C20">
        <v>0.80183367467240185</v>
      </c>
      <c r="D20">
        <v>5.1983711099548878E-2</v>
      </c>
      <c r="G20" s="2">
        <v>5.6072284942125998</v>
      </c>
      <c r="H20" s="2">
        <v>5.9707509494542004</v>
      </c>
      <c r="I20" s="2">
        <f t="shared" si="4"/>
        <v>0.36352245524160054</v>
      </c>
      <c r="J20" s="21">
        <v>14.3</v>
      </c>
      <c r="K20" s="2">
        <f t="shared" si="5"/>
        <v>0.80183367467240185</v>
      </c>
      <c r="L20" s="2">
        <f t="shared" si="6"/>
        <v>5.1983711099548878E-2</v>
      </c>
    </row>
    <row r="21" spans="1:12" x14ac:dyDescent="0.25">
      <c r="A21" t="s">
        <v>169</v>
      </c>
      <c r="B21">
        <v>3</v>
      </c>
      <c r="C21">
        <v>0.67813074695021092</v>
      </c>
      <c r="D21">
        <v>5.309298660267886E-2</v>
      </c>
      <c r="G21" s="2">
        <v>4.7421730555958801</v>
      </c>
      <c r="H21" s="2">
        <v>5.1134526821880399</v>
      </c>
      <c r="I21" s="2">
        <f t="shared" si="4"/>
        <v>0.37127962659215985</v>
      </c>
      <c r="J21" s="21">
        <v>14.3</v>
      </c>
      <c r="K21" s="2">
        <f t="shared" si="5"/>
        <v>0.67813074695021092</v>
      </c>
      <c r="L21" s="2">
        <f t="shared" si="6"/>
        <v>5.309298660267886E-2</v>
      </c>
    </row>
    <row r="22" spans="1:12" x14ac:dyDescent="0.25">
      <c r="A22" t="s">
        <v>169</v>
      </c>
      <c r="B22">
        <v>4</v>
      </c>
      <c r="C22">
        <v>0.57351209419725502</v>
      </c>
      <c r="D22">
        <v>3.7181385564816372E-2</v>
      </c>
      <c r="G22" s="2">
        <v>4.0105740852954899</v>
      </c>
      <c r="H22" s="2">
        <v>4.27058377455994</v>
      </c>
      <c r="I22" s="2">
        <f t="shared" si="4"/>
        <v>0.26000968926445012</v>
      </c>
      <c r="J22" s="21">
        <v>14.3</v>
      </c>
      <c r="K22" s="2">
        <f t="shared" si="5"/>
        <v>0.57351209419725502</v>
      </c>
      <c r="L22" s="2">
        <f t="shared" si="6"/>
        <v>3.7181385564816372E-2</v>
      </c>
    </row>
    <row r="23" spans="1:12" x14ac:dyDescent="0.25">
      <c r="A23" t="s">
        <v>169</v>
      </c>
      <c r="B23">
        <v>24</v>
      </c>
      <c r="C23">
        <v>0.25380542837189685</v>
      </c>
      <c r="D23">
        <v>5.6786153711083955E-2</v>
      </c>
      <c r="E23" s="2">
        <v>1</v>
      </c>
      <c r="F23" s="2">
        <f>E23*24</f>
        <v>24</v>
      </c>
      <c r="G23" s="2">
        <v>1.7748631354678099</v>
      </c>
      <c r="H23" s="2">
        <v>2.17196910547539</v>
      </c>
      <c r="I23" s="2">
        <f t="shared" si="4"/>
        <v>0.39710597000758008</v>
      </c>
      <c r="J23" s="21">
        <v>14.3</v>
      </c>
      <c r="K23" s="2">
        <f t="shared" si="5"/>
        <v>0.25380542837189685</v>
      </c>
      <c r="L23" s="2">
        <f t="shared" si="6"/>
        <v>5.6786153711083955E-2</v>
      </c>
    </row>
    <row r="24" spans="1:12" x14ac:dyDescent="0.25">
      <c r="A24" t="s">
        <v>169</v>
      </c>
      <c r="B24">
        <v>72</v>
      </c>
      <c r="C24">
        <v>9.9756298212619054E-2</v>
      </c>
      <c r="D24">
        <v>7.8465123709266574E-3</v>
      </c>
      <c r="E24" s="2">
        <v>3</v>
      </c>
      <c r="F24" s="2">
        <f t="shared" ref="F24:F25" si="7">E24*24</f>
        <v>72</v>
      </c>
      <c r="G24" s="2">
        <v>0.69759649099733601</v>
      </c>
      <c r="H24" s="2">
        <v>0.752467206877942</v>
      </c>
      <c r="I24" s="2">
        <f t="shared" si="4"/>
        <v>5.4870715880605991E-2</v>
      </c>
      <c r="J24" s="21">
        <v>14.3</v>
      </c>
      <c r="K24" s="2">
        <f t="shared" si="5"/>
        <v>9.9756298212619054E-2</v>
      </c>
      <c r="L24" s="2">
        <f t="shared" si="6"/>
        <v>7.8465123709266574E-3</v>
      </c>
    </row>
    <row r="25" spans="1:12" x14ac:dyDescent="0.25">
      <c r="A25" t="s">
        <v>169</v>
      </c>
      <c r="B25">
        <v>168</v>
      </c>
      <c r="C25">
        <v>3.5443398360460662E-2</v>
      </c>
      <c r="D25">
        <v>1.3675495618915168E-3</v>
      </c>
      <c r="E25" s="2">
        <v>7</v>
      </c>
      <c r="F25" s="2">
        <f t="shared" si="7"/>
        <v>168</v>
      </c>
      <c r="G25" s="2">
        <v>0.24785593259063399</v>
      </c>
      <c r="H25" s="2">
        <v>0.25741921624022501</v>
      </c>
      <c r="I25" s="2">
        <f t="shared" si="4"/>
        <v>9.5632836495910256E-3</v>
      </c>
      <c r="J25" s="21">
        <v>14.3</v>
      </c>
      <c r="K25" s="2">
        <f t="shared" si="5"/>
        <v>3.5443398360460662E-2</v>
      </c>
      <c r="L25" s="2">
        <f t="shared" si="6"/>
        <v>1.3675495618915168E-3</v>
      </c>
    </row>
  </sheetData>
  <pageMargins left="0.7" right="0.7" top="0.78740157499999996" bottom="0.78740157499999996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D7D5E-69CA-4976-B2BD-B502996AE40C}">
  <dimension ref="A1:W21"/>
  <sheetViews>
    <sheetView workbookViewId="0">
      <selection activeCell="J12" sqref="J12"/>
    </sheetView>
  </sheetViews>
  <sheetFormatPr defaultRowHeight="15" x14ac:dyDescent="0.25"/>
  <cols>
    <col min="9" max="9" width="12" bestFit="1" customWidth="1"/>
    <col min="10" max="10" width="29" bestFit="1" customWidth="1"/>
    <col min="11" max="11" width="13.28515625" bestFit="1" customWidth="1"/>
    <col min="20" max="20" width="12" bestFit="1" customWidth="1"/>
  </cols>
  <sheetData>
    <row r="1" spans="1:23" x14ac:dyDescent="0.25">
      <c r="A1" s="22" t="s">
        <v>174</v>
      </c>
      <c r="B1" s="22" t="s">
        <v>175</v>
      </c>
      <c r="C1" s="22" t="s">
        <v>176</v>
      </c>
      <c r="D1" s="22" t="s">
        <v>177</v>
      </c>
      <c r="E1" s="22" t="s">
        <v>178</v>
      </c>
      <c r="F1" s="22" t="s">
        <v>179</v>
      </c>
      <c r="G1" s="22" t="s">
        <v>180</v>
      </c>
      <c r="H1" s="22" t="s">
        <v>181</v>
      </c>
      <c r="I1" s="22" t="s">
        <v>0</v>
      </c>
      <c r="J1" s="23" t="s">
        <v>243</v>
      </c>
      <c r="K1" s="22" t="s">
        <v>244</v>
      </c>
      <c r="L1" s="22" t="s">
        <v>182</v>
      </c>
      <c r="M1" t="s">
        <v>183</v>
      </c>
    </row>
    <row r="2" spans="1:23" x14ac:dyDescent="0.25">
      <c r="C2" t="s">
        <v>217</v>
      </c>
      <c r="D2" t="s">
        <v>193</v>
      </c>
      <c r="E2" t="s">
        <v>218</v>
      </c>
      <c r="G2" t="s">
        <v>238</v>
      </c>
      <c r="H2" t="s">
        <v>206</v>
      </c>
      <c r="I2">
        <v>0</v>
      </c>
      <c r="J2">
        <f>S2/100*231</f>
        <v>231</v>
      </c>
      <c r="K2">
        <f>T2/100*231</f>
        <v>0</v>
      </c>
      <c r="L2" t="s">
        <v>223</v>
      </c>
      <c r="M2" t="s">
        <v>206</v>
      </c>
      <c r="R2">
        <v>-0.381818181818182</v>
      </c>
      <c r="S2">
        <v>100</v>
      </c>
      <c r="T2">
        <v>0</v>
      </c>
    </row>
    <row r="3" spans="1:23" x14ac:dyDescent="0.25">
      <c r="C3" t="s">
        <v>217</v>
      </c>
      <c r="D3" t="s">
        <v>193</v>
      </c>
      <c r="E3" t="s">
        <v>218</v>
      </c>
      <c r="G3" t="s">
        <v>238</v>
      </c>
      <c r="H3" t="s">
        <v>206</v>
      </c>
      <c r="I3">
        <f>24*R3</f>
        <v>16.036363636363607</v>
      </c>
      <c r="J3">
        <f t="shared" ref="J3:J11" si="0">S3/100*231</f>
        <v>227.3812010443863</v>
      </c>
      <c r="K3">
        <f t="shared" ref="K3:K12" si="1">T3/S3*J3</f>
        <v>3.6187989556136912</v>
      </c>
      <c r="L3" t="s">
        <v>223</v>
      </c>
      <c r="M3" t="s">
        <v>206</v>
      </c>
      <c r="R3">
        <v>0.66818181818181699</v>
      </c>
      <c r="S3">
        <v>98.433420365535198</v>
      </c>
      <c r="T3">
        <f t="shared" ref="T3:T11" si="2">ABS(W3-S3)</f>
        <v>1.5665796344648015</v>
      </c>
      <c r="V3">
        <v>0.66818181818181699</v>
      </c>
      <c r="W3">
        <v>100</v>
      </c>
    </row>
    <row r="4" spans="1:23" x14ac:dyDescent="0.25">
      <c r="C4" t="s">
        <v>217</v>
      </c>
      <c r="D4" t="s">
        <v>193</v>
      </c>
      <c r="E4" t="s">
        <v>218</v>
      </c>
      <c r="G4" t="s">
        <v>238</v>
      </c>
      <c r="H4" t="s">
        <v>206</v>
      </c>
      <c r="I4">
        <f t="shared" ref="I4:I11" si="3">24*R4</f>
        <v>37.799999999999756</v>
      </c>
      <c r="J4">
        <f t="shared" si="0"/>
        <v>230.39686684073089</v>
      </c>
      <c r="K4">
        <f t="shared" si="1"/>
        <v>4.8250652741495976</v>
      </c>
      <c r="L4" t="s">
        <v>223</v>
      </c>
      <c r="M4" t="s">
        <v>206</v>
      </c>
      <c r="R4">
        <v>1.57499999999999</v>
      </c>
      <c r="S4">
        <v>99.7389033942558</v>
      </c>
      <c r="T4">
        <f t="shared" si="2"/>
        <v>2.0887728459522066</v>
      </c>
      <c r="V4">
        <v>1.6227272727272699</v>
      </c>
      <c r="W4">
        <v>101.82767624020801</v>
      </c>
    </row>
    <row r="5" spans="1:23" x14ac:dyDescent="0.25">
      <c r="C5" t="s">
        <v>217</v>
      </c>
      <c r="D5" t="s">
        <v>193</v>
      </c>
      <c r="E5" t="s">
        <v>218</v>
      </c>
      <c r="G5" t="s">
        <v>238</v>
      </c>
      <c r="H5" t="s">
        <v>206</v>
      </c>
      <c r="I5">
        <f t="shared" si="3"/>
        <v>85.909090909090807</v>
      </c>
      <c r="J5">
        <f t="shared" si="0"/>
        <v>218.33420365535233</v>
      </c>
      <c r="K5">
        <f t="shared" si="1"/>
        <v>7.840731070496255</v>
      </c>
      <c r="L5" t="s">
        <v>223</v>
      </c>
      <c r="M5" t="s">
        <v>206</v>
      </c>
      <c r="R5">
        <v>3.5795454545454501</v>
      </c>
      <c r="S5">
        <v>94.516971279373294</v>
      </c>
      <c r="T5">
        <f t="shared" si="2"/>
        <v>3.3942558746737035</v>
      </c>
      <c r="V5">
        <v>3.72272727272727</v>
      </c>
      <c r="W5">
        <v>97.911227154046998</v>
      </c>
    </row>
    <row r="6" spans="1:23" x14ac:dyDescent="0.25">
      <c r="C6" t="s">
        <v>217</v>
      </c>
      <c r="D6" t="s">
        <v>193</v>
      </c>
      <c r="E6" t="s">
        <v>218</v>
      </c>
      <c r="G6" t="s">
        <v>238</v>
      </c>
      <c r="H6" t="s">
        <v>206</v>
      </c>
      <c r="I6">
        <f t="shared" si="3"/>
        <v>158.07272727272712</v>
      </c>
      <c r="J6">
        <f t="shared" si="0"/>
        <v>193.00261096605743</v>
      </c>
      <c r="K6">
        <f t="shared" si="1"/>
        <v>10.856396866840615</v>
      </c>
      <c r="L6" t="s">
        <v>223</v>
      </c>
      <c r="M6" t="s">
        <v>206</v>
      </c>
      <c r="R6">
        <v>6.5863636363636298</v>
      </c>
      <c r="S6">
        <v>83.550913838120096</v>
      </c>
      <c r="T6">
        <f t="shared" si="2"/>
        <v>4.6997389033942056</v>
      </c>
      <c r="V6">
        <v>6.7295454545454501</v>
      </c>
      <c r="W6">
        <v>88.250652741514301</v>
      </c>
    </row>
    <row r="7" spans="1:23" x14ac:dyDescent="0.25">
      <c r="C7" t="s">
        <v>217</v>
      </c>
      <c r="D7" t="s">
        <v>193</v>
      </c>
      <c r="E7" t="s">
        <v>218</v>
      </c>
      <c r="G7" t="s">
        <v>272</v>
      </c>
      <c r="H7" t="s">
        <v>206</v>
      </c>
      <c r="I7">
        <f t="shared" si="3"/>
        <v>182.12727272727264</v>
      </c>
      <c r="J7">
        <f t="shared" si="0"/>
        <v>181.54308093994774</v>
      </c>
      <c r="K7">
        <f t="shared" si="1"/>
        <v>10.25326370757171</v>
      </c>
      <c r="L7" t="s">
        <v>223</v>
      </c>
      <c r="M7" t="s">
        <v>206</v>
      </c>
      <c r="R7">
        <v>7.5886363636363603</v>
      </c>
      <c r="S7">
        <v>78.590078328981704</v>
      </c>
      <c r="T7">
        <f t="shared" si="2"/>
        <v>4.438642297650091</v>
      </c>
      <c r="V7">
        <v>7.8272727272727201</v>
      </c>
      <c r="W7">
        <v>83.028720626631795</v>
      </c>
    </row>
    <row r="8" spans="1:23" x14ac:dyDescent="0.25">
      <c r="C8" t="s">
        <v>217</v>
      </c>
      <c r="D8" t="s">
        <v>193</v>
      </c>
      <c r="E8" t="s">
        <v>218</v>
      </c>
      <c r="G8" t="s">
        <v>272</v>
      </c>
      <c r="H8" t="s">
        <v>206</v>
      </c>
      <c r="I8">
        <f t="shared" si="3"/>
        <v>211.90909090909079</v>
      </c>
      <c r="J8">
        <f t="shared" si="0"/>
        <v>168.8772845953003</v>
      </c>
      <c r="K8">
        <f t="shared" si="1"/>
        <v>7.8407310704962567</v>
      </c>
      <c r="L8" t="s">
        <v>223</v>
      </c>
      <c r="M8" t="s">
        <v>206</v>
      </c>
      <c r="R8">
        <v>8.8295454545454497</v>
      </c>
      <c r="S8">
        <v>73.107049608355098</v>
      </c>
      <c r="T8">
        <f t="shared" si="2"/>
        <v>3.3942558746737035</v>
      </c>
      <c r="V8">
        <v>8.7818181818181795</v>
      </c>
      <c r="W8">
        <v>69.712793733681394</v>
      </c>
    </row>
    <row r="9" spans="1:23" x14ac:dyDescent="0.25">
      <c r="C9" t="s">
        <v>217</v>
      </c>
      <c r="D9" t="s">
        <v>193</v>
      </c>
      <c r="E9" t="s">
        <v>218</v>
      </c>
      <c r="G9" t="s">
        <v>272</v>
      </c>
      <c r="H9" t="s">
        <v>206</v>
      </c>
      <c r="I9">
        <f t="shared" si="3"/>
        <v>258.87272727272637</v>
      </c>
      <c r="J9">
        <f t="shared" si="0"/>
        <v>150.78328981723232</v>
      </c>
      <c r="K9">
        <f t="shared" si="1"/>
        <v>6.6344647519582809</v>
      </c>
      <c r="L9" t="s">
        <v>223</v>
      </c>
      <c r="M9" t="s">
        <v>206</v>
      </c>
      <c r="R9">
        <v>10.7863636363636</v>
      </c>
      <c r="S9">
        <v>65.274151436031303</v>
      </c>
      <c r="T9">
        <f t="shared" si="2"/>
        <v>2.8720626631854032</v>
      </c>
      <c r="V9">
        <v>10.7863636363636</v>
      </c>
      <c r="W9">
        <v>62.4020887728459</v>
      </c>
    </row>
    <row r="10" spans="1:23" x14ac:dyDescent="0.25">
      <c r="C10" t="s">
        <v>217</v>
      </c>
      <c r="D10" t="s">
        <v>193</v>
      </c>
      <c r="E10" t="s">
        <v>218</v>
      </c>
      <c r="G10" t="s">
        <v>272</v>
      </c>
      <c r="H10" t="s">
        <v>206</v>
      </c>
      <c r="I10">
        <f t="shared" si="3"/>
        <v>332.18181818181597</v>
      </c>
      <c r="J10">
        <f t="shared" si="0"/>
        <v>130.27676240208859</v>
      </c>
      <c r="K10">
        <f t="shared" si="1"/>
        <v>6.0313315926891784</v>
      </c>
      <c r="L10" t="s">
        <v>223</v>
      </c>
      <c r="M10" t="s">
        <v>206</v>
      </c>
      <c r="R10">
        <v>13.840909090908999</v>
      </c>
      <c r="S10">
        <v>56.396866840731001</v>
      </c>
      <c r="T10">
        <f t="shared" si="2"/>
        <v>2.6109660574412032</v>
      </c>
      <c r="V10">
        <v>13.7931818181818</v>
      </c>
      <c r="W10">
        <v>53.785900783289797</v>
      </c>
    </row>
    <row r="11" spans="1:23" x14ac:dyDescent="0.25">
      <c r="C11" t="s">
        <v>217</v>
      </c>
      <c r="D11" t="s">
        <v>193</v>
      </c>
      <c r="E11" t="s">
        <v>218</v>
      </c>
      <c r="G11" t="s">
        <v>272</v>
      </c>
      <c r="H11" t="s">
        <v>206</v>
      </c>
      <c r="I11">
        <f t="shared" si="3"/>
        <v>501.70909090908958</v>
      </c>
      <c r="J11">
        <f t="shared" si="0"/>
        <v>103.73890339425576</v>
      </c>
      <c r="K11">
        <f t="shared" si="1"/>
        <v>6.0313315926891802</v>
      </c>
      <c r="L11" t="s">
        <v>223</v>
      </c>
      <c r="M11" t="s">
        <v>206</v>
      </c>
      <c r="R11">
        <v>20.904545454545399</v>
      </c>
      <c r="S11">
        <v>44.908616187989502</v>
      </c>
      <c r="T11">
        <f t="shared" si="2"/>
        <v>2.6109660574412032</v>
      </c>
      <c r="V11">
        <v>21.047727272727201</v>
      </c>
      <c r="W11">
        <v>42.297650130548298</v>
      </c>
    </row>
    <row r="12" spans="1:23" x14ac:dyDescent="0.25">
      <c r="C12" t="s">
        <v>217</v>
      </c>
      <c r="D12" t="s">
        <v>193</v>
      </c>
      <c r="E12" t="s">
        <v>218</v>
      </c>
      <c r="G12" t="s">
        <v>238</v>
      </c>
      <c r="H12" t="s">
        <v>205</v>
      </c>
      <c r="I12">
        <v>0</v>
      </c>
      <c r="J12">
        <f>S12/100*6.47</f>
        <v>6.47030865191386</v>
      </c>
      <c r="K12">
        <f t="shared" si="1"/>
        <v>0</v>
      </c>
      <c r="L12" t="s">
        <v>223</v>
      </c>
      <c r="M12" t="s">
        <v>205</v>
      </c>
      <c r="R12">
        <v>-0.381187498881912</v>
      </c>
      <c r="S12">
        <v>100.004770508715</v>
      </c>
      <c r="T12">
        <v>0</v>
      </c>
    </row>
    <row r="13" spans="1:23" x14ac:dyDescent="0.25">
      <c r="C13" t="s">
        <v>217</v>
      </c>
      <c r="D13" t="s">
        <v>193</v>
      </c>
      <c r="E13" t="s">
        <v>218</v>
      </c>
      <c r="G13" t="s">
        <v>238</v>
      </c>
      <c r="H13" t="s">
        <v>205</v>
      </c>
      <c r="I13">
        <f>24*R13</f>
        <v>19.063382171416272</v>
      </c>
      <c r="J13">
        <f t="shared" ref="J13:J21" si="4">S13/100*6.47</f>
        <v>3.7104975640589846</v>
      </c>
      <c r="K13">
        <f>T13/S13*J13</f>
        <v>6.786483956182901E-2</v>
      </c>
      <c r="L13" t="s">
        <v>223</v>
      </c>
      <c r="M13" t="s">
        <v>205</v>
      </c>
      <c r="R13">
        <v>0.794307590475678</v>
      </c>
      <c r="S13">
        <v>57.349266832441799</v>
      </c>
      <c r="T13">
        <f t="shared" ref="T13:T21" si="5">ABS(W13-S13)</f>
        <v>1.0489156037376972</v>
      </c>
      <c r="V13">
        <v>0.65029785863790002</v>
      </c>
      <c r="W13">
        <v>56.300351228704102</v>
      </c>
    </row>
    <row r="14" spans="1:23" x14ac:dyDescent="0.25">
      <c r="C14" t="s">
        <v>217</v>
      </c>
      <c r="D14" t="s">
        <v>193</v>
      </c>
      <c r="E14" t="s">
        <v>218</v>
      </c>
      <c r="G14" t="s">
        <v>238</v>
      </c>
      <c r="H14" t="s">
        <v>205</v>
      </c>
      <c r="I14">
        <f t="shared" ref="I14:I21" si="6">24*R14</f>
        <v>43.088713572693358</v>
      </c>
      <c r="J14">
        <f t="shared" si="4"/>
        <v>3.2370641096739963</v>
      </c>
      <c r="K14">
        <f t="shared" ref="K14:K21" si="7">T14/S14*J14</f>
        <v>0.16937273773531999</v>
      </c>
      <c r="L14" t="s">
        <v>223</v>
      </c>
      <c r="M14" t="s">
        <v>205</v>
      </c>
      <c r="R14">
        <v>1.7953630655288899</v>
      </c>
      <c r="S14">
        <v>50.0319027770324</v>
      </c>
      <c r="T14">
        <f t="shared" si="5"/>
        <v>2.617816657423802</v>
      </c>
      <c r="V14">
        <v>1.7966153240666101</v>
      </c>
      <c r="W14">
        <v>52.649719434456202</v>
      </c>
    </row>
    <row r="15" spans="1:23" x14ac:dyDescent="0.25">
      <c r="C15" t="s">
        <v>217</v>
      </c>
      <c r="D15" t="s">
        <v>193</v>
      </c>
      <c r="E15" t="s">
        <v>218</v>
      </c>
      <c r="G15" t="s">
        <v>238</v>
      </c>
      <c r="H15" t="s">
        <v>205</v>
      </c>
      <c r="I15">
        <f t="shared" si="6"/>
        <v>88.960446519615601</v>
      </c>
      <c r="J15">
        <f t="shared" si="4"/>
        <v>2.9506737150932913</v>
      </c>
      <c r="K15">
        <f t="shared" si="7"/>
        <v>0.1355753531667214</v>
      </c>
      <c r="L15" t="s">
        <v>223</v>
      </c>
      <c r="M15" t="s">
        <v>205</v>
      </c>
      <c r="R15">
        <v>3.7066852716506502</v>
      </c>
      <c r="S15">
        <v>45.605467002987503</v>
      </c>
      <c r="T15">
        <f t="shared" si="5"/>
        <v>2.095445953117796</v>
      </c>
      <c r="V15">
        <v>3.8033596307626198</v>
      </c>
      <c r="W15">
        <v>47.700912956105299</v>
      </c>
    </row>
    <row r="16" spans="1:23" x14ac:dyDescent="0.25">
      <c r="C16" t="s">
        <v>217</v>
      </c>
      <c r="D16" t="s">
        <v>193</v>
      </c>
      <c r="E16" t="s">
        <v>218</v>
      </c>
      <c r="G16" t="s">
        <v>238</v>
      </c>
      <c r="H16" t="s">
        <v>205</v>
      </c>
      <c r="I16">
        <f t="shared" si="6"/>
        <v>162.41592872859985</v>
      </c>
      <c r="J16">
        <f t="shared" si="4"/>
        <v>2.8345820139895133</v>
      </c>
      <c r="K16">
        <f t="shared" si="7"/>
        <v>0.15251262694025494</v>
      </c>
      <c r="L16" t="s">
        <v>223</v>
      </c>
      <c r="M16" t="s">
        <v>205</v>
      </c>
      <c r="R16">
        <v>6.7673303636916602</v>
      </c>
      <c r="S16">
        <v>43.811159412511799</v>
      </c>
      <c r="T16">
        <f t="shared" si="5"/>
        <v>2.3572276188602004</v>
      </c>
      <c r="V16">
        <v>6.8641299486573901</v>
      </c>
      <c r="W16">
        <v>46.168387031371999</v>
      </c>
    </row>
    <row r="17" spans="3:23" x14ac:dyDescent="0.25">
      <c r="C17" t="s">
        <v>217</v>
      </c>
      <c r="D17" t="s">
        <v>193</v>
      </c>
      <c r="E17" t="s">
        <v>218</v>
      </c>
      <c r="G17" t="s">
        <v>272</v>
      </c>
      <c r="H17" t="s">
        <v>205</v>
      </c>
      <c r="I17">
        <f t="shared" si="6"/>
        <v>187.88987280631127</v>
      </c>
      <c r="J17">
        <f t="shared" si="4"/>
        <v>4.0549145184469575</v>
      </c>
      <c r="K17">
        <f t="shared" si="7"/>
        <v>0.15243546396178639</v>
      </c>
      <c r="L17" t="s">
        <v>223</v>
      </c>
      <c r="M17" t="s">
        <v>205</v>
      </c>
      <c r="R17">
        <v>7.8287447002629698</v>
      </c>
      <c r="S17">
        <v>62.672558244929803</v>
      </c>
      <c r="T17">
        <f t="shared" si="5"/>
        <v>2.3560349916813976</v>
      </c>
      <c r="V17">
        <v>7.8298717329469198</v>
      </c>
      <c r="W17">
        <v>65.028593236611201</v>
      </c>
    </row>
    <row r="18" spans="3:23" x14ac:dyDescent="0.25">
      <c r="C18" t="s">
        <v>217</v>
      </c>
      <c r="D18" t="s">
        <v>193</v>
      </c>
      <c r="E18" t="s">
        <v>218</v>
      </c>
      <c r="G18" t="s">
        <v>272</v>
      </c>
      <c r="H18" t="s">
        <v>205</v>
      </c>
      <c r="I18">
        <f t="shared" si="6"/>
        <v>210.8332528309987</v>
      </c>
      <c r="J18">
        <f t="shared" si="4"/>
        <v>3.9540625055904353</v>
      </c>
      <c r="K18">
        <f t="shared" si="7"/>
        <v>0.23719899580791542</v>
      </c>
      <c r="L18" t="s">
        <v>223</v>
      </c>
      <c r="M18" t="s">
        <v>205</v>
      </c>
      <c r="R18">
        <v>8.7847188679582793</v>
      </c>
      <c r="S18">
        <v>61.113794522263298</v>
      </c>
      <c r="T18">
        <f t="shared" si="5"/>
        <v>3.6661359475721085</v>
      </c>
      <c r="V18">
        <v>8.8821445821928808</v>
      </c>
      <c r="W18">
        <v>64.779930469835406</v>
      </c>
    </row>
    <row r="19" spans="3:23" x14ac:dyDescent="0.25">
      <c r="C19" t="s">
        <v>217</v>
      </c>
      <c r="D19" t="s">
        <v>193</v>
      </c>
      <c r="E19" t="s">
        <v>218</v>
      </c>
      <c r="G19" t="s">
        <v>272</v>
      </c>
      <c r="H19" t="s">
        <v>205</v>
      </c>
      <c r="I19">
        <f t="shared" si="6"/>
        <v>261.26420866205041</v>
      </c>
      <c r="J19">
        <f t="shared" si="4"/>
        <v>3.4815164254578144</v>
      </c>
      <c r="K19">
        <f t="shared" si="7"/>
        <v>0.1863100115088531</v>
      </c>
      <c r="L19" t="s">
        <v>223</v>
      </c>
      <c r="M19" t="s">
        <v>205</v>
      </c>
      <c r="R19">
        <v>10.8860086942521</v>
      </c>
      <c r="S19">
        <v>53.8101456794098</v>
      </c>
      <c r="T19">
        <f t="shared" si="5"/>
        <v>2.8795983231661992</v>
      </c>
      <c r="V19">
        <v>10.887386178643601</v>
      </c>
      <c r="W19">
        <v>56.689744002575999</v>
      </c>
    </row>
    <row r="20" spans="3:23" x14ac:dyDescent="0.25">
      <c r="C20" t="s">
        <v>217</v>
      </c>
      <c r="D20" t="s">
        <v>193</v>
      </c>
      <c r="E20" t="s">
        <v>218</v>
      </c>
      <c r="G20" t="s">
        <v>272</v>
      </c>
      <c r="H20" t="s">
        <v>205</v>
      </c>
      <c r="I20">
        <f t="shared" si="6"/>
        <v>335.7715880427192</v>
      </c>
      <c r="J20">
        <f t="shared" si="4"/>
        <v>2.8234705450902506</v>
      </c>
      <c r="K20">
        <f t="shared" si="7"/>
        <v>0.10173938710889567</v>
      </c>
      <c r="L20" t="s">
        <v>223</v>
      </c>
      <c r="M20" t="s">
        <v>205</v>
      </c>
      <c r="R20">
        <v>13.990482835113299</v>
      </c>
      <c r="S20">
        <v>43.6394210987674</v>
      </c>
      <c r="T20">
        <f t="shared" si="5"/>
        <v>1.5724789352224988</v>
      </c>
      <c r="V20">
        <v>13.846222651568</v>
      </c>
      <c r="W20">
        <v>42.066942163544901</v>
      </c>
    </row>
    <row r="21" spans="3:23" x14ac:dyDescent="0.25">
      <c r="C21" t="s">
        <v>217</v>
      </c>
      <c r="D21" t="s">
        <v>193</v>
      </c>
      <c r="E21" t="s">
        <v>218</v>
      </c>
      <c r="G21" t="s">
        <v>272</v>
      </c>
      <c r="H21" t="s">
        <v>205</v>
      </c>
      <c r="I21">
        <f t="shared" si="6"/>
        <v>507.90103579670404</v>
      </c>
      <c r="J21">
        <f t="shared" si="4"/>
        <v>2.3719513765899207</v>
      </c>
      <c r="K21">
        <f t="shared" si="7"/>
        <v>5.0773239831365724E-2</v>
      </c>
      <c r="L21" t="s">
        <v>223</v>
      </c>
      <c r="M21" t="s">
        <v>205</v>
      </c>
      <c r="R21">
        <v>21.162543158196002</v>
      </c>
      <c r="S21">
        <v>36.660763162131701</v>
      </c>
      <c r="T21">
        <f t="shared" si="5"/>
        <v>0.78474868363780104</v>
      </c>
      <c r="V21">
        <v>21.210003756775599</v>
      </c>
      <c r="W21">
        <v>35.8760144784939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8889-8121-45D9-88CA-35D806DE50D3}">
  <dimension ref="A1:T30"/>
  <sheetViews>
    <sheetView workbookViewId="0">
      <selection activeCell="B2" sqref="B2"/>
    </sheetView>
  </sheetViews>
  <sheetFormatPr defaultColWidth="10.5703125" defaultRowHeight="15" x14ac:dyDescent="0.25"/>
  <cols>
    <col min="1" max="1" width="26.5703125" bestFit="1" customWidth="1"/>
    <col min="3" max="3" width="21.28515625" bestFit="1" customWidth="1"/>
    <col min="4" max="4" width="14.7109375" bestFit="1" customWidth="1"/>
    <col min="5" max="5" width="13.85546875" bestFit="1" customWidth="1"/>
    <col min="6" max="6" width="12" bestFit="1" customWidth="1"/>
    <col min="7" max="7" width="18.7109375" bestFit="1" customWidth="1"/>
    <col min="8" max="8" width="15.7109375" bestFit="1" customWidth="1"/>
    <col min="9" max="9" width="12.5703125" bestFit="1" customWidth="1"/>
    <col min="10" max="10" width="21.28515625" style="12" bestFit="1" customWidth="1"/>
    <col min="11" max="11" width="14.7109375" style="12" bestFit="1" customWidth="1"/>
    <col min="12" max="12" width="21.5703125" style="12" bestFit="1" customWidth="1"/>
    <col min="13" max="13" width="15" style="12" bestFit="1" customWidth="1"/>
    <col min="14" max="14" width="17.140625" style="12" bestFit="1" customWidth="1"/>
    <col min="15" max="15" width="12" style="12" bestFit="1" customWidth="1"/>
    <col min="16" max="16" width="15" style="12" bestFit="1" customWidth="1"/>
    <col min="17" max="17" width="12.7109375" style="12" bestFit="1" customWidth="1"/>
    <col min="18" max="18" width="12" style="12" bestFit="1" customWidth="1"/>
    <col min="19" max="20" width="11.42578125" style="12"/>
  </cols>
  <sheetData>
    <row r="1" spans="1:20" x14ac:dyDescent="0.25">
      <c r="A1" t="s">
        <v>2</v>
      </c>
      <c r="B1" t="s">
        <v>0</v>
      </c>
      <c r="C1" t="s">
        <v>7</v>
      </c>
      <c r="D1" t="s">
        <v>10</v>
      </c>
      <c r="E1" s="1" t="s">
        <v>120</v>
      </c>
      <c r="F1" s="1" t="s">
        <v>121</v>
      </c>
      <c r="G1" s="1" t="s">
        <v>122</v>
      </c>
      <c r="H1" s="1" t="s">
        <v>123</v>
      </c>
      <c r="I1" s="1" t="s">
        <v>124</v>
      </c>
      <c r="J1" s="12" t="s">
        <v>7</v>
      </c>
      <c r="K1" s="12" t="s">
        <v>10</v>
      </c>
      <c r="L1" s="12" t="s">
        <v>1</v>
      </c>
      <c r="M1" s="12" t="s">
        <v>132</v>
      </c>
      <c r="N1" s="12" t="s">
        <v>31</v>
      </c>
      <c r="O1" s="12" t="s">
        <v>119</v>
      </c>
      <c r="P1" s="12" t="s">
        <v>125</v>
      </c>
      <c r="Q1" s="12" t="s">
        <v>126</v>
      </c>
      <c r="R1" s="12" t="s">
        <v>127</v>
      </c>
      <c r="S1" s="12" t="s">
        <v>128</v>
      </c>
      <c r="T1" s="12" t="s">
        <v>129</v>
      </c>
    </row>
    <row r="2" spans="1:20" x14ac:dyDescent="0.25">
      <c r="A2" t="s">
        <v>8</v>
      </c>
      <c r="B2">
        <v>240.43052209999999</v>
      </c>
      <c r="C2">
        <v>2.1170335223004599</v>
      </c>
      <c r="D2">
        <v>0.26849184775266011</v>
      </c>
      <c r="E2" s="1">
        <v>1.9302532952156499</v>
      </c>
      <c r="F2" s="1">
        <v>2.38552537005312</v>
      </c>
      <c r="G2" s="1">
        <f t="shared" ref="G2:G6" si="0">C2-E2</f>
        <v>0.18678022708481001</v>
      </c>
      <c r="H2" s="1">
        <f t="shared" ref="H2:H6" si="1">F2-C2</f>
        <v>0.26849184775266011</v>
      </c>
      <c r="I2" s="1">
        <f t="shared" ref="I2:I6" si="2">MAX(G2:H2)</f>
        <v>0.26849184775266011</v>
      </c>
    </row>
    <row r="3" spans="1:20" x14ac:dyDescent="0.25">
      <c r="A3" t="s">
        <v>8</v>
      </c>
      <c r="B3">
        <v>241</v>
      </c>
      <c r="C3">
        <v>1.2645954139893301</v>
      </c>
      <c r="D3">
        <v>0.12451294577959016</v>
      </c>
      <c r="E3" s="1">
        <v>1.1400824682097399</v>
      </c>
      <c r="F3" s="1">
        <v>1.3852173302133</v>
      </c>
      <c r="G3" s="1">
        <f t="shared" si="0"/>
        <v>0.12451294577959016</v>
      </c>
      <c r="H3" s="1">
        <f t="shared" si="1"/>
        <v>0.12062191622396989</v>
      </c>
      <c r="I3" s="1">
        <f t="shared" si="2"/>
        <v>0.12451294577959016</v>
      </c>
    </row>
    <row r="4" spans="1:20" x14ac:dyDescent="0.25">
      <c r="A4" t="s">
        <v>8</v>
      </c>
      <c r="B4">
        <v>242</v>
      </c>
      <c r="C4">
        <v>0.82434703660269804</v>
      </c>
      <c r="D4">
        <v>0.10117757686134399</v>
      </c>
      <c r="E4" s="1">
        <v>0.72316945974135405</v>
      </c>
      <c r="F4" s="1">
        <v>0.90216762771493797</v>
      </c>
      <c r="G4" s="1">
        <f t="shared" si="0"/>
        <v>0.10117757686134399</v>
      </c>
      <c r="H4" s="1">
        <f t="shared" si="1"/>
        <v>7.7820591112239934E-2</v>
      </c>
      <c r="I4" s="1">
        <f t="shared" si="2"/>
        <v>0.10117757686134399</v>
      </c>
    </row>
    <row r="5" spans="1:20" x14ac:dyDescent="0.25">
      <c r="A5" t="s">
        <v>8</v>
      </c>
      <c r="B5">
        <v>244</v>
      </c>
      <c r="C5">
        <v>0.46913927183705201</v>
      </c>
      <c r="D5">
        <v>0.14007706400203196</v>
      </c>
      <c r="E5" s="1">
        <v>0.33295323739063198</v>
      </c>
      <c r="F5" s="1">
        <v>0.60921633583908397</v>
      </c>
      <c r="G5" s="1">
        <f t="shared" si="0"/>
        <v>0.13618603444642002</v>
      </c>
      <c r="H5" s="1">
        <f t="shared" si="1"/>
        <v>0.14007706400203196</v>
      </c>
      <c r="I5" s="1">
        <f t="shared" si="2"/>
        <v>0.14007706400203196</v>
      </c>
    </row>
    <row r="6" spans="1:20" x14ac:dyDescent="0.25">
      <c r="A6" t="s">
        <v>8</v>
      </c>
      <c r="B6">
        <v>247</v>
      </c>
      <c r="C6">
        <v>0.32350668230284002</v>
      </c>
      <c r="D6">
        <v>8.5602650223464027E-2</v>
      </c>
      <c r="E6" s="1">
        <v>0.23790403207937599</v>
      </c>
      <c r="F6" s="1">
        <v>0.40910933252630399</v>
      </c>
      <c r="G6" s="1">
        <f t="shared" si="0"/>
        <v>8.5602650223464027E-2</v>
      </c>
      <c r="H6" s="1">
        <f t="shared" si="1"/>
        <v>8.5602650223463972E-2</v>
      </c>
      <c r="I6" s="1">
        <f t="shared" si="2"/>
        <v>8.5602650223464027E-2</v>
      </c>
    </row>
    <row r="7" spans="1:20" x14ac:dyDescent="0.25">
      <c r="A7" t="s">
        <v>9</v>
      </c>
      <c r="B7">
        <v>240</v>
      </c>
      <c r="C7">
        <v>75.409291650194277</v>
      </c>
      <c r="D7">
        <v>0</v>
      </c>
      <c r="E7" s="1"/>
      <c r="F7" s="1"/>
      <c r="G7" s="1"/>
      <c r="H7" s="1"/>
      <c r="I7" s="1"/>
      <c r="J7" s="12">
        <f>((L7 + 0.9137 )/50.31)^1.35</f>
        <v>75.409291650194277</v>
      </c>
      <c r="L7" s="12">
        <f>$L$18*N7/100</f>
        <v>1236</v>
      </c>
      <c r="N7" s="12">
        <v>100</v>
      </c>
    </row>
    <row r="8" spans="1:20" x14ac:dyDescent="0.25">
      <c r="A8" t="s">
        <v>9</v>
      </c>
      <c r="B8">
        <v>240.45</v>
      </c>
      <c r="C8">
        <v>78.043671050346873</v>
      </c>
      <c r="D8" s="12">
        <v>6.5031756839280863</v>
      </c>
      <c r="J8" s="12">
        <f>((L8 + 0.9137 )/50.31)^1.35</f>
        <v>78.043671050346873</v>
      </c>
      <c r="K8" s="12">
        <f>((M8 + 0.9137 )/50.31)^1.35</f>
        <v>6.5031756839280863</v>
      </c>
      <c r="L8" s="12">
        <f>$L$18*N8/100</f>
        <v>1267.8651757495968</v>
      </c>
      <c r="M8" s="12">
        <f>$L$18*O8/100</f>
        <v>200.44457991754388</v>
      </c>
      <c r="N8" s="12">
        <v>102.57808865288</v>
      </c>
      <c r="O8" s="12">
        <v>16.217199022455006</v>
      </c>
      <c r="P8" s="12">
        <v>96.786079069941493</v>
      </c>
      <c r="Q8" s="12">
        <v>118.795287675335</v>
      </c>
      <c r="R8" s="12">
        <f>N8-P8</f>
        <v>5.7920095829385048</v>
      </c>
      <c r="S8" s="12">
        <f>Q8-N8</f>
        <v>16.217199022455006</v>
      </c>
      <c r="T8" s="12">
        <f>MAX(R8:S8)</f>
        <v>16.217199022455006</v>
      </c>
    </row>
    <row r="9" spans="1:20" x14ac:dyDescent="0.25">
      <c r="A9" t="s">
        <v>9</v>
      </c>
      <c r="B9">
        <v>241</v>
      </c>
      <c r="C9">
        <v>58.895843817962003</v>
      </c>
      <c r="D9" s="12">
        <v>3.5040934088712263</v>
      </c>
      <c r="J9" s="12">
        <f>((L9 + 0.9137 )/50.31)^1.35</f>
        <v>58.895843817962003</v>
      </c>
      <c r="K9" s="12">
        <f t="shared" ref="K9:K10" si="3">((M9 + 0.9137 )/50.31)^1.35</f>
        <v>3.5040934088712263</v>
      </c>
      <c r="L9" s="12">
        <f t="shared" ref="L9:L12" si="4">$L$18*N9/100</f>
        <v>1029.0647329664864</v>
      </c>
      <c r="M9" s="12">
        <f t="shared" ref="M9:M12" si="5">$L$18*O9/100</f>
        <v>126.44942486323478</v>
      </c>
      <c r="N9" s="12">
        <v>83.257664479489193</v>
      </c>
      <c r="O9" s="12">
        <v>10.230535992171099</v>
      </c>
      <c r="P9" s="12">
        <v>73.027128487318095</v>
      </c>
      <c r="Q9" s="12">
        <v>83</v>
      </c>
      <c r="R9" s="12">
        <f t="shared" ref="R9:R12" si="6">N9-P9</f>
        <v>10.230535992171099</v>
      </c>
      <c r="S9" s="12">
        <f t="shared" ref="S9:S12" si="7">Q9-N9</f>
        <v>-0.25766447948919335</v>
      </c>
      <c r="T9" s="12">
        <f t="shared" ref="T9:T12" si="8">MAX(R9:S9)</f>
        <v>10.230535992171099</v>
      </c>
    </row>
    <row r="10" spans="1:20" x14ac:dyDescent="0.25">
      <c r="A10" t="s">
        <v>9</v>
      </c>
      <c r="B10">
        <v>242</v>
      </c>
      <c r="C10">
        <v>33.232474881429845</v>
      </c>
      <c r="D10" s="12">
        <v>2.3241698318952504</v>
      </c>
      <c r="J10" s="12">
        <f>((L10 + 0.9137 )/50.31)^1.35</f>
        <v>33.232474881429845</v>
      </c>
      <c r="K10" s="12">
        <f t="shared" si="3"/>
        <v>2.3241698318952504</v>
      </c>
      <c r="L10" s="12">
        <f t="shared" si="4"/>
        <v>673.20719362135526</v>
      </c>
      <c r="M10" s="12">
        <f t="shared" si="5"/>
        <v>93.050807758330592</v>
      </c>
      <c r="N10" s="12">
        <v>54.466601425675996</v>
      </c>
      <c r="O10" s="12">
        <v>7.5283825047193034</v>
      </c>
      <c r="P10" s="12">
        <v>57.747902395199901</v>
      </c>
      <c r="Q10" s="12">
        <v>61.9949839303953</v>
      </c>
      <c r="R10" s="12">
        <f t="shared" si="6"/>
        <v>-3.2813009695239046</v>
      </c>
      <c r="S10" s="12">
        <f t="shared" si="7"/>
        <v>7.5283825047193034</v>
      </c>
      <c r="T10" s="12">
        <f t="shared" si="8"/>
        <v>7.5283825047193034</v>
      </c>
    </row>
    <row r="11" spans="1:20" x14ac:dyDescent="0.25">
      <c r="A11" t="s">
        <v>9</v>
      </c>
      <c r="B11">
        <v>244</v>
      </c>
      <c r="C11">
        <v>40.522943919380602</v>
      </c>
      <c r="D11" s="12">
        <v>2.166684693012773</v>
      </c>
      <c r="J11" s="12">
        <f t="shared" ref="J11" si="9">((L11 + 0.9137 )/50.31)^1.35</f>
        <v>40.522943919380602</v>
      </c>
      <c r="K11" s="12">
        <f>((M11 + 0.9137 )/50.31)^1.35</f>
        <v>2.166684693012773</v>
      </c>
      <c r="L11" s="12">
        <f t="shared" si="4"/>
        <v>779.89373205204276</v>
      </c>
      <c r="M11" s="12">
        <f t="shared" si="5"/>
        <v>88.291851828084148</v>
      </c>
      <c r="N11" s="12">
        <v>63.098198386087603</v>
      </c>
      <c r="O11" s="12">
        <v>7.1433537077737981</v>
      </c>
      <c r="P11" s="12">
        <v>63</v>
      </c>
      <c r="Q11" s="12">
        <v>70.241552093861401</v>
      </c>
      <c r="R11" s="12">
        <f>N11-P11</f>
        <v>9.8198386087602785E-2</v>
      </c>
      <c r="S11" s="12">
        <f t="shared" si="7"/>
        <v>7.1433537077737981</v>
      </c>
      <c r="T11" s="12">
        <f>MAX(R11:S11)</f>
        <v>7.1433537077737981</v>
      </c>
    </row>
    <row r="12" spans="1:20" x14ac:dyDescent="0.25">
      <c r="A12" t="s">
        <v>9</v>
      </c>
      <c r="B12">
        <v>247</v>
      </c>
      <c r="C12">
        <v>78.255607055928181</v>
      </c>
      <c r="D12" s="12">
        <v>3.9548427867858966</v>
      </c>
      <c r="J12" s="12">
        <f>((L12 + 0.9137 )/50.31)^1.35</f>
        <v>78.255607055928181</v>
      </c>
      <c r="K12" s="12">
        <f>((M12 + 0.9137 )/50.31)^1.35</f>
        <v>3.9548427867858966</v>
      </c>
      <c r="L12" s="12">
        <f t="shared" si="4"/>
        <v>1270.4165049010874</v>
      </c>
      <c r="M12" s="12">
        <f t="shared" si="5"/>
        <v>138.39308231595396</v>
      </c>
      <c r="N12" s="12">
        <v>102.78450686902001</v>
      </c>
      <c r="O12" s="12">
        <v>11.196851320061</v>
      </c>
      <c r="P12" s="12">
        <v>91.973753870341497</v>
      </c>
      <c r="Q12" s="12">
        <v>113.98135818908101</v>
      </c>
      <c r="R12" s="12">
        <f t="shared" si="6"/>
        <v>10.81075299867851</v>
      </c>
      <c r="S12" s="12">
        <f t="shared" si="7"/>
        <v>11.196851320061</v>
      </c>
      <c r="T12" s="12">
        <f t="shared" si="8"/>
        <v>11.196851320061</v>
      </c>
    </row>
    <row r="13" spans="1:20" x14ac:dyDescent="0.25">
      <c r="A13" t="s">
        <v>173</v>
      </c>
      <c r="B13">
        <v>240</v>
      </c>
      <c r="C13">
        <v>0.114481658440276</v>
      </c>
    </row>
    <row r="14" spans="1:20" x14ac:dyDescent="0.25">
      <c r="A14" t="s">
        <v>173</v>
      </c>
      <c r="B14">
        <v>240.5</v>
      </c>
      <c r="C14">
        <v>0.37897066140177599</v>
      </c>
      <c r="D14">
        <v>4.0266929911154992E-2</v>
      </c>
    </row>
    <row r="15" spans="1:20" x14ac:dyDescent="0.25">
      <c r="A15" t="s">
        <v>173</v>
      </c>
      <c r="B15">
        <v>241</v>
      </c>
      <c r="C15">
        <v>0.44960600197433298</v>
      </c>
      <c r="D15">
        <v>2.1283948667325026E-2</v>
      </c>
    </row>
    <row r="16" spans="1:20" x14ac:dyDescent="0.25">
      <c r="A16" t="s">
        <v>173</v>
      </c>
      <c r="B16">
        <v>242</v>
      </c>
      <c r="C16">
        <v>0.42807470878578402</v>
      </c>
      <c r="D16">
        <v>3.9110760118459986E-2</v>
      </c>
    </row>
    <row r="17" spans="1:13" x14ac:dyDescent="0.25">
      <c r="A17" t="s">
        <v>173</v>
      </c>
      <c r="B17">
        <v>244</v>
      </c>
      <c r="C17">
        <v>0.27685812438301999</v>
      </c>
      <c r="D17">
        <v>4.7169832181638977E-2</v>
      </c>
    </row>
    <row r="18" spans="1:13" x14ac:dyDescent="0.25">
      <c r="A18" t="s">
        <v>173</v>
      </c>
      <c r="B18">
        <v>247</v>
      </c>
      <c r="C18">
        <v>0.209960434353405</v>
      </c>
      <c r="D18">
        <v>4.7756446199407998E-2</v>
      </c>
      <c r="K18" s="12" t="s">
        <v>131</v>
      </c>
      <c r="L18" s="12">
        <v>1236</v>
      </c>
      <c r="M18" s="12" t="s">
        <v>130</v>
      </c>
    </row>
    <row r="24" spans="1:13" x14ac:dyDescent="0.25">
      <c r="J24"/>
      <c r="K24"/>
      <c r="L24"/>
      <c r="M24"/>
    </row>
    <row r="25" spans="1:13" x14ac:dyDescent="0.25">
      <c r="J25"/>
      <c r="M25"/>
    </row>
    <row r="26" spans="1:13" x14ac:dyDescent="0.25">
      <c r="J26"/>
      <c r="M26"/>
    </row>
    <row r="27" spans="1:13" x14ac:dyDescent="0.25">
      <c r="J27"/>
      <c r="M27"/>
    </row>
    <row r="28" spans="1:13" x14ac:dyDescent="0.25">
      <c r="J28"/>
      <c r="M28"/>
    </row>
    <row r="29" spans="1:13" x14ac:dyDescent="0.25">
      <c r="J29"/>
      <c r="M29"/>
    </row>
    <row r="30" spans="1:13" x14ac:dyDescent="0.25">
      <c r="J30"/>
      <c r="M30"/>
    </row>
  </sheetData>
  <pageMargins left="0.7" right="0.7" top="0.78740157499999996" bottom="0.78740157499999996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61A9B-FA07-413D-B389-36AB3595C188}">
  <dimension ref="A1:D4"/>
  <sheetViews>
    <sheetView workbookViewId="0">
      <selection activeCell="B10" sqref="B10"/>
    </sheetView>
  </sheetViews>
  <sheetFormatPr defaultColWidth="10.5703125" defaultRowHeight="15" x14ac:dyDescent="0.25"/>
  <cols>
    <col min="3" max="3" width="21.28515625" bestFit="1" customWidth="1"/>
  </cols>
  <sheetData>
    <row r="1" spans="1:4" x14ac:dyDescent="0.25">
      <c r="A1" t="s">
        <v>2</v>
      </c>
      <c r="B1" t="s">
        <v>0</v>
      </c>
      <c r="C1" t="s">
        <v>7</v>
      </c>
      <c r="D1" t="s">
        <v>10</v>
      </c>
    </row>
    <row r="4" spans="1:4" x14ac:dyDescent="0.25">
      <c r="B4" t="s">
        <v>11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B8AA6-B330-470A-94AF-A2E7216BD76C}">
  <dimension ref="A1:E34"/>
  <sheetViews>
    <sheetView zoomScaleNormal="100" workbookViewId="0">
      <selection activeCell="H19" sqref="H19"/>
    </sheetView>
  </sheetViews>
  <sheetFormatPr defaultColWidth="10.5703125" defaultRowHeight="15" x14ac:dyDescent="0.25"/>
  <cols>
    <col min="1" max="1" width="45" bestFit="1" customWidth="1"/>
    <col min="2" max="2" width="12.7109375" bestFit="1" customWidth="1"/>
    <col min="3" max="3" width="21.28515625" bestFit="1" customWidth="1"/>
    <col min="4" max="4" width="25.140625" style="1" bestFit="1" customWidth="1"/>
    <col min="5" max="5" width="28.28515625" style="1" bestFit="1" customWidth="1"/>
  </cols>
  <sheetData>
    <row r="1" spans="1:5" x14ac:dyDescent="0.25">
      <c r="A1" t="s">
        <v>2</v>
      </c>
      <c r="B1" t="s">
        <v>16</v>
      </c>
      <c r="C1" t="s">
        <v>154</v>
      </c>
      <c r="D1" s="1" t="s">
        <v>30</v>
      </c>
      <c r="E1" s="1" t="s">
        <v>153</v>
      </c>
    </row>
    <row r="2" spans="1:5" x14ac:dyDescent="0.25">
      <c r="A2" t="s">
        <v>149</v>
      </c>
      <c r="B2">
        <v>0</v>
      </c>
      <c r="C2">
        <v>26.401212422202299</v>
      </c>
    </row>
    <row r="3" spans="1:5" x14ac:dyDescent="0.25">
      <c r="A3" t="s">
        <v>149</v>
      </c>
      <c r="B3">
        <v>0.11</v>
      </c>
      <c r="C3">
        <v>23.7316627532553</v>
      </c>
    </row>
    <row r="4" spans="1:5" x14ac:dyDescent="0.25">
      <c r="A4" t="s">
        <v>149</v>
      </c>
      <c r="B4">
        <v>0.42</v>
      </c>
      <c r="C4">
        <v>4.0050923782050303</v>
      </c>
    </row>
    <row r="5" spans="1:5" x14ac:dyDescent="0.25">
      <c r="A5" t="s">
        <v>149</v>
      </c>
      <c r="B5">
        <v>0.64</v>
      </c>
      <c r="C5">
        <v>1.75283402653164</v>
      </c>
    </row>
    <row r="6" spans="1:5" x14ac:dyDescent="0.25">
      <c r="A6" t="s">
        <v>149</v>
      </c>
      <c r="B6">
        <v>0.85</v>
      </c>
      <c r="C6">
        <v>1.02296564530081</v>
      </c>
    </row>
    <row r="7" spans="1:5" x14ac:dyDescent="0.25">
      <c r="A7" t="s">
        <v>149</v>
      </c>
      <c r="B7">
        <v>1.85</v>
      </c>
      <c r="C7">
        <v>0.13715835184341399</v>
      </c>
    </row>
    <row r="8" spans="1:5" x14ac:dyDescent="0.25">
      <c r="A8" t="s">
        <v>149</v>
      </c>
      <c r="B8">
        <v>3.95</v>
      </c>
      <c r="C8">
        <v>0.124522768394821</v>
      </c>
    </row>
    <row r="9" spans="1:5" x14ac:dyDescent="0.25">
      <c r="A9" t="s">
        <v>149</v>
      </c>
      <c r="B9">
        <v>4.97</v>
      </c>
      <c r="C9">
        <v>0.139483229847391</v>
      </c>
    </row>
    <row r="10" spans="1:5" x14ac:dyDescent="0.25">
      <c r="A10" t="s">
        <v>149</v>
      </c>
      <c r="B10">
        <v>6.95</v>
      </c>
      <c r="C10">
        <v>6.0529678585921003E-2</v>
      </c>
    </row>
    <row r="11" spans="1:5" x14ac:dyDescent="0.25">
      <c r="A11" t="s">
        <v>150</v>
      </c>
      <c r="B11">
        <v>7.3002049180331596E-2</v>
      </c>
      <c r="C11">
        <v>43.714448126110803</v>
      </c>
    </row>
    <row r="12" spans="1:5" x14ac:dyDescent="0.25">
      <c r="A12" t="s">
        <v>150</v>
      </c>
      <c r="B12">
        <v>0.64634562841529997</v>
      </c>
      <c r="C12">
        <v>1.9809567785503299</v>
      </c>
    </row>
    <row r="13" spans="1:5" x14ac:dyDescent="0.25">
      <c r="A13" t="s">
        <v>150</v>
      </c>
      <c r="B13">
        <v>0.92714737021857996</v>
      </c>
      <c r="C13">
        <v>0.71049741144267797</v>
      </c>
    </row>
    <row r="14" spans="1:5" x14ac:dyDescent="0.25">
      <c r="A14" t="s">
        <v>150</v>
      </c>
      <c r="B14">
        <v>1.4098787568305999</v>
      </c>
      <c r="C14">
        <v>0.15399265260594899</v>
      </c>
    </row>
    <row r="15" spans="1:5" x14ac:dyDescent="0.25">
      <c r="A15" t="s">
        <v>150</v>
      </c>
      <c r="B15">
        <v>1.9449069330601101</v>
      </c>
      <c r="C15">
        <v>0.22467900918126399</v>
      </c>
    </row>
    <row r="16" spans="1:5" x14ac:dyDescent="0.25">
      <c r="A16" t="s">
        <v>150</v>
      </c>
      <c r="B16">
        <v>2.92637892759562</v>
      </c>
      <c r="C16">
        <v>0.156787884382697</v>
      </c>
    </row>
    <row r="17" spans="1:5" x14ac:dyDescent="0.25">
      <c r="A17" t="s">
        <v>150</v>
      </c>
      <c r="B17">
        <v>6.9359417691256802</v>
      </c>
      <c r="C17">
        <v>4.9580682416846503E-2</v>
      </c>
    </row>
    <row r="18" spans="1:5" x14ac:dyDescent="0.25">
      <c r="A18" t="s">
        <v>151</v>
      </c>
      <c r="B18">
        <v>0</v>
      </c>
      <c r="C18" s="3">
        <f>B18/(1.25)</f>
        <v>0</v>
      </c>
      <c r="D18" s="1">
        <v>0.34828941938465502</v>
      </c>
      <c r="E18" s="1">
        <f>D18/(1.25)</f>
        <v>0.27863153550772402</v>
      </c>
    </row>
    <row r="19" spans="1:5" x14ac:dyDescent="0.25">
      <c r="A19" t="s">
        <v>151</v>
      </c>
      <c r="B19">
        <v>8.6090426367548295E-2</v>
      </c>
      <c r="C19" s="3">
        <f t="shared" ref="C19:E34" si="0">B19/(1.25)</f>
        <v>6.8872341094038642E-2</v>
      </c>
      <c r="D19" s="1">
        <v>0.490240978317597</v>
      </c>
      <c r="E19" s="1">
        <f t="shared" si="0"/>
        <v>0.39219278265407759</v>
      </c>
    </row>
    <row r="20" spans="1:5" x14ac:dyDescent="0.25">
      <c r="A20" t="s">
        <v>151</v>
      </c>
      <c r="B20">
        <v>0.44134435123218002</v>
      </c>
      <c r="C20" s="3">
        <f t="shared" si="0"/>
        <v>0.35307548098574404</v>
      </c>
      <c r="D20" s="1">
        <v>0.64086689594020396</v>
      </c>
      <c r="E20" s="1">
        <f t="shared" si="0"/>
        <v>0.51269351675216313</v>
      </c>
    </row>
    <row r="21" spans="1:5" x14ac:dyDescent="0.25">
      <c r="A21" t="s">
        <v>151</v>
      </c>
      <c r="B21">
        <v>0.73344435018485199</v>
      </c>
      <c r="C21" s="3">
        <f t="shared" si="0"/>
        <v>0.58675548014788159</v>
      </c>
      <c r="D21" s="1">
        <v>0.650740599602879</v>
      </c>
      <c r="E21" s="1">
        <f t="shared" si="0"/>
        <v>0.52059247968230316</v>
      </c>
    </row>
    <row r="22" spans="1:5" x14ac:dyDescent="0.25">
      <c r="A22" t="s">
        <v>151</v>
      </c>
      <c r="B22">
        <v>0.90059802473790496</v>
      </c>
      <c r="C22" s="3">
        <f t="shared" si="0"/>
        <v>0.72047841979032401</v>
      </c>
      <c r="D22" s="1">
        <v>0.32865598897561699</v>
      </c>
      <c r="E22" s="1">
        <f t="shared" si="0"/>
        <v>0.26292479118049361</v>
      </c>
    </row>
    <row r="23" spans="1:5" x14ac:dyDescent="0.25">
      <c r="A23" t="s">
        <v>151</v>
      </c>
      <c r="B23">
        <v>1.9433185659974199</v>
      </c>
      <c r="C23" s="3">
        <f t="shared" si="0"/>
        <v>1.554654852797936</v>
      </c>
      <c r="D23" s="1">
        <v>0.19282183391477301</v>
      </c>
      <c r="E23" s="1">
        <f t="shared" si="0"/>
        <v>0.1542574671318184</v>
      </c>
    </row>
    <row r="24" spans="1:5" x14ac:dyDescent="0.25">
      <c r="A24" t="s">
        <v>151</v>
      </c>
      <c r="B24">
        <v>3.9572270923010802</v>
      </c>
      <c r="C24" s="3">
        <f t="shared" si="0"/>
        <v>3.165781673840864</v>
      </c>
      <c r="D24" s="1">
        <v>0.169196349542971</v>
      </c>
      <c r="E24" s="1">
        <f t="shared" si="0"/>
        <v>0.13535707963437679</v>
      </c>
    </row>
    <row r="25" spans="1:5" x14ac:dyDescent="0.25">
      <c r="A25" t="s">
        <v>151</v>
      </c>
      <c r="B25">
        <v>4.9002419329500002</v>
      </c>
      <c r="C25" s="3">
        <f t="shared" si="0"/>
        <v>3.9201935463600002</v>
      </c>
      <c r="D25" s="1">
        <v>0.13761849523148101</v>
      </c>
      <c r="E25" s="1">
        <f t="shared" si="0"/>
        <v>0.11009479618518481</v>
      </c>
    </row>
    <row r="26" spans="1:5" x14ac:dyDescent="0.25">
      <c r="A26" t="s">
        <v>151</v>
      </c>
      <c r="B26">
        <v>6.9613849875891498</v>
      </c>
      <c r="C26" s="3">
        <f t="shared" si="0"/>
        <v>5.5691079900713198</v>
      </c>
      <c r="D26" s="1">
        <v>1.48684137890111E-2</v>
      </c>
      <c r="E26" s="1">
        <f t="shared" si="0"/>
        <v>1.189473103120888E-2</v>
      </c>
    </row>
    <row r="27" spans="1:5" x14ac:dyDescent="0.25">
      <c r="A27" t="s">
        <v>152</v>
      </c>
      <c r="B27">
        <v>6.5000000000000002E-2</v>
      </c>
      <c r="C27" s="3">
        <f t="shared" si="0"/>
        <v>5.2000000000000005E-2</v>
      </c>
      <c r="D27" s="1">
        <v>0.58780160722749097</v>
      </c>
      <c r="E27" s="1">
        <f t="shared" si="0"/>
        <v>0.47024128578199276</v>
      </c>
    </row>
    <row r="28" spans="1:5" x14ac:dyDescent="0.25">
      <c r="A28" t="s">
        <v>152</v>
      </c>
      <c r="B28">
        <v>0.54800000000000004</v>
      </c>
      <c r="C28" s="3">
        <f t="shared" si="0"/>
        <v>0.43840000000000001</v>
      </c>
      <c r="D28" s="1">
        <v>0.61441461614486303</v>
      </c>
      <c r="E28" s="1">
        <f t="shared" si="0"/>
        <v>0.49153169291589044</v>
      </c>
    </row>
    <row r="29" spans="1:5" x14ac:dyDescent="0.25">
      <c r="A29" t="s">
        <v>152</v>
      </c>
      <c r="B29">
        <v>1</v>
      </c>
      <c r="C29" s="3">
        <f t="shared" si="0"/>
        <v>0.8</v>
      </c>
      <c r="D29" s="1">
        <v>0.88862381627434095</v>
      </c>
      <c r="E29" s="1">
        <f t="shared" si="0"/>
        <v>0.71089905301947276</v>
      </c>
    </row>
    <row r="30" spans="1:5" x14ac:dyDescent="0.25">
      <c r="A30" t="s">
        <v>152</v>
      </c>
      <c r="B30">
        <v>1.419</v>
      </c>
      <c r="C30" s="3">
        <f t="shared" si="0"/>
        <v>1.1352</v>
      </c>
      <c r="D30" s="1">
        <v>0.35064834615261198</v>
      </c>
      <c r="E30" s="1">
        <f t="shared" si="0"/>
        <v>0.28051867692208959</v>
      </c>
    </row>
    <row r="31" spans="1:5" x14ac:dyDescent="0.25">
      <c r="A31" t="s">
        <v>152</v>
      </c>
      <c r="B31">
        <v>1.9350000000000001</v>
      </c>
      <c r="C31" s="3">
        <f t="shared" si="0"/>
        <v>1.548</v>
      </c>
      <c r="D31" s="1">
        <v>0.406419333197925</v>
      </c>
      <c r="E31" s="1">
        <f t="shared" si="0"/>
        <v>0.32513546655834002</v>
      </c>
    </row>
    <row r="32" spans="1:5" x14ac:dyDescent="0.25">
      <c r="A32" t="s">
        <v>152</v>
      </c>
      <c r="B32">
        <v>2.903</v>
      </c>
      <c r="C32" s="3">
        <f t="shared" si="0"/>
        <v>2.3224</v>
      </c>
      <c r="D32" s="1">
        <v>0.35064834615261198</v>
      </c>
      <c r="E32" s="1">
        <f t="shared" si="0"/>
        <v>0.28051867692208959</v>
      </c>
    </row>
    <row r="33" spans="1:5" x14ac:dyDescent="0.25">
      <c r="A33" t="s">
        <v>152</v>
      </c>
      <c r="B33">
        <v>4.9349999999999996</v>
      </c>
      <c r="C33" s="3">
        <f t="shared" si="0"/>
        <v>3.9479999999999995</v>
      </c>
      <c r="D33" s="1">
        <v>7.0170382867038306E-2</v>
      </c>
      <c r="E33" s="1">
        <f t="shared" si="0"/>
        <v>5.6136306293630645E-2</v>
      </c>
    </row>
    <row r="34" spans="1:5" x14ac:dyDescent="0.25">
      <c r="A34" t="s">
        <v>152</v>
      </c>
      <c r="B34">
        <v>6.9029999999999996</v>
      </c>
      <c r="C34" s="3">
        <f t="shared" si="0"/>
        <v>5.5223999999999993</v>
      </c>
      <c r="D34" s="1">
        <v>2.0011610959230899E-2</v>
      </c>
      <c r="E34" s="1">
        <f t="shared" si="0"/>
        <v>1.6009288767384718E-2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2C233-5EBC-4131-9CAE-E063F8CF4763}">
  <dimension ref="A1:O55"/>
  <sheetViews>
    <sheetView topLeftCell="A16" workbookViewId="0">
      <selection activeCell="M1" sqref="A1:M1"/>
    </sheetView>
  </sheetViews>
  <sheetFormatPr defaultColWidth="10.5703125" defaultRowHeight="15" x14ac:dyDescent="0.25"/>
  <cols>
    <col min="1" max="1" width="32.140625" bestFit="1" customWidth="1"/>
    <col min="2" max="2" width="12.42578125" bestFit="1" customWidth="1"/>
    <col min="3" max="3" width="21.28515625" bestFit="1" customWidth="1"/>
    <col min="4" max="4" width="14.28515625" bestFit="1" customWidth="1"/>
    <col min="5" max="5" width="21.28515625" style="1" bestFit="1" customWidth="1"/>
    <col min="6" max="6" width="18.140625" style="1" bestFit="1" customWidth="1"/>
    <col min="7" max="7" width="19.140625" style="1" bestFit="1" customWidth="1"/>
    <col min="8" max="8" width="20.5703125" style="1" bestFit="1" customWidth="1"/>
    <col min="9" max="9" width="17.5703125" style="1" bestFit="1" customWidth="1"/>
    <col min="10" max="10" width="18.5703125" style="1" bestFit="1" customWidth="1"/>
    <col min="11" max="11" width="20.5703125" style="1" bestFit="1" customWidth="1"/>
    <col min="12" max="12" width="17.5703125" style="1" bestFit="1" customWidth="1"/>
    <col min="13" max="13" width="18.5703125" style="1" bestFit="1" customWidth="1"/>
    <col min="14" max="15" width="11.5703125" style="1"/>
  </cols>
  <sheetData>
    <row r="1" spans="1:13" x14ac:dyDescent="0.25">
      <c r="A1" s="4" t="s">
        <v>2</v>
      </c>
      <c r="B1" s="5" t="s">
        <v>58</v>
      </c>
      <c r="C1" s="6" t="s">
        <v>59</v>
      </c>
      <c r="D1" s="6" t="s">
        <v>68</v>
      </c>
      <c r="E1" s="1" t="s">
        <v>71</v>
      </c>
      <c r="F1" s="1" t="s">
        <v>73</v>
      </c>
      <c r="G1" s="1" t="s">
        <v>66</v>
      </c>
      <c r="H1" s="1" t="s">
        <v>69</v>
      </c>
      <c r="I1" s="1" t="s">
        <v>74</v>
      </c>
      <c r="J1" s="1" t="s">
        <v>72</v>
      </c>
      <c r="K1" s="1" t="s">
        <v>70</v>
      </c>
      <c r="L1" s="1" t="s">
        <v>75</v>
      </c>
      <c r="M1" s="1" t="s">
        <v>67</v>
      </c>
    </row>
    <row r="2" spans="1:13" x14ac:dyDescent="0.25">
      <c r="A2" s="3" t="s">
        <v>60</v>
      </c>
      <c r="B2">
        <v>12</v>
      </c>
      <c r="C2">
        <v>6.6524520255863502</v>
      </c>
      <c r="D2">
        <v>0.42643923240937998</v>
      </c>
      <c r="F2" s="1">
        <v>7.0788912579957302</v>
      </c>
      <c r="G2" s="1">
        <f t="shared" ref="G2:G19" si="0">F2-C2</f>
        <v>0.42643923240937998</v>
      </c>
    </row>
    <row r="3" spans="1:13" x14ac:dyDescent="0.25">
      <c r="A3" s="3" t="s">
        <v>60</v>
      </c>
      <c r="B3">
        <v>24</v>
      </c>
      <c r="C3">
        <v>8.9552238805970106</v>
      </c>
      <c r="D3">
        <v>0.59701492537312895</v>
      </c>
      <c r="F3" s="1">
        <v>9.5522388059701395</v>
      </c>
      <c r="G3" s="1">
        <f t="shared" si="0"/>
        <v>0.59701492537312895</v>
      </c>
    </row>
    <row r="4" spans="1:13" x14ac:dyDescent="0.25">
      <c r="A4" s="3" t="s">
        <v>60</v>
      </c>
      <c r="B4">
        <v>48</v>
      </c>
      <c r="C4">
        <v>7.67590618336886</v>
      </c>
      <c r="D4">
        <v>0.68230277185501986</v>
      </c>
      <c r="F4" s="1">
        <v>8.3582089552238799</v>
      </c>
      <c r="G4" s="1">
        <f t="shared" si="0"/>
        <v>0.68230277185501986</v>
      </c>
    </row>
    <row r="5" spans="1:13" x14ac:dyDescent="0.25">
      <c r="A5" s="3" t="s">
        <v>60</v>
      </c>
      <c r="B5">
        <v>72</v>
      </c>
      <c r="C5">
        <v>8.3582089552238799</v>
      </c>
      <c r="D5">
        <v>0.76759061833688058</v>
      </c>
      <c r="F5" s="1">
        <v>9.1257995735607604</v>
      </c>
      <c r="G5" s="1">
        <f t="shared" si="0"/>
        <v>0.76759061833688058</v>
      </c>
    </row>
    <row r="6" spans="1:13" x14ac:dyDescent="0.25">
      <c r="A6" s="3" t="s">
        <v>60</v>
      </c>
      <c r="B6">
        <v>96</v>
      </c>
      <c r="C6">
        <v>8.8699360341151294</v>
      </c>
      <c r="D6">
        <v>0.34115138592751038</v>
      </c>
      <c r="F6" s="1">
        <v>9.2110874200426398</v>
      </c>
      <c r="G6" s="1">
        <f t="shared" si="0"/>
        <v>0.34115138592751038</v>
      </c>
    </row>
    <row r="7" spans="1:13" x14ac:dyDescent="0.25">
      <c r="A7" s="3" t="s">
        <v>60</v>
      </c>
      <c r="B7">
        <v>120</v>
      </c>
      <c r="C7">
        <v>11.855010660980801</v>
      </c>
      <c r="D7">
        <v>1.1940298507461993</v>
      </c>
      <c r="F7" s="1">
        <v>13.049040511727</v>
      </c>
      <c r="G7" s="1">
        <f t="shared" si="0"/>
        <v>1.1940298507461993</v>
      </c>
    </row>
    <row r="8" spans="1:13" x14ac:dyDescent="0.25">
      <c r="A8" s="3" t="s">
        <v>61</v>
      </c>
      <c r="B8">
        <v>12</v>
      </c>
      <c r="C8">
        <v>6.9936034115138597</v>
      </c>
      <c r="D8">
        <v>0.59701492537313072</v>
      </c>
      <c r="F8" s="1">
        <v>7.5906183368869904</v>
      </c>
      <c r="G8" s="1">
        <f t="shared" si="0"/>
        <v>0.59701492537313072</v>
      </c>
    </row>
    <row r="9" spans="1:13" x14ac:dyDescent="0.25">
      <c r="A9" s="3" t="s">
        <v>61</v>
      </c>
      <c r="B9">
        <v>24</v>
      </c>
      <c r="C9">
        <v>10.405117270788899</v>
      </c>
      <c r="D9">
        <v>1.194029850746201</v>
      </c>
      <c r="F9" s="1">
        <v>11.599147121535101</v>
      </c>
      <c r="G9" s="1">
        <f t="shared" si="0"/>
        <v>1.194029850746201</v>
      </c>
    </row>
    <row r="10" spans="1:13" x14ac:dyDescent="0.25">
      <c r="A10" s="3" t="s">
        <v>61</v>
      </c>
      <c r="B10">
        <v>48</v>
      </c>
      <c r="C10">
        <v>14.5842217484008</v>
      </c>
      <c r="D10">
        <v>1.3646055437099989</v>
      </c>
      <c r="F10" s="1">
        <v>15.948827292110799</v>
      </c>
      <c r="G10" s="1">
        <f t="shared" si="0"/>
        <v>1.3646055437099989</v>
      </c>
    </row>
    <row r="11" spans="1:13" x14ac:dyDescent="0.25">
      <c r="A11" s="3" t="s">
        <v>61</v>
      </c>
      <c r="B11">
        <v>72</v>
      </c>
      <c r="C11">
        <v>17.313432835820802</v>
      </c>
      <c r="D11">
        <v>2.0469083155650978</v>
      </c>
      <c r="F11" s="1">
        <v>19.360341151385899</v>
      </c>
      <c r="G11" s="1">
        <f t="shared" si="0"/>
        <v>2.0469083155650978</v>
      </c>
    </row>
    <row r="12" spans="1:13" x14ac:dyDescent="0.25">
      <c r="A12" s="3" t="s">
        <v>61</v>
      </c>
      <c r="B12">
        <v>96</v>
      </c>
      <c r="C12">
        <v>20.724946695095898</v>
      </c>
      <c r="D12">
        <v>1.1087420042644034</v>
      </c>
      <c r="F12" s="1">
        <v>21.833688699360302</v>
      </c>
      <c r="G12" s="1">
        <f t="shared" si="0"/>
        <v>1.1087420042644034</v>
      </c>
    </row>
    <row r="13" spans="1:13" x14ac:dyDescent="0.25">
      <c r="A13" s="3" t="s">
        <v>61</v>
      </c>
      <c r="B13">
        <v>120</v>
      </c>
      <c r="C13">
        <v>23.965884861407201</v>
      </c>
      <c r="D13">
        <v>2.8997867803837991</v>
      </c>
      <c r="F13" s="1">
        <v>26.865671641791</v>
      </c>
      <c r="G13" s="1">
        <f t="shared" si="0"/>
        <v>2.8997867803837991</v>
      </c>
    </row>
    <row r="14" spans="1:13" x14ac:dyDescent="0.25">
      <c r="A14" s="3" t="s">
        <v>62</v>
      </c>
      <c r="B14">
        <v>12</v>
      </c>
      <c r="C14">
        <v>10.746268656716399</v>
      </c>
      <c r="D14">
        <v>1.194029850746201</v>
      </c>
      <c r="F14" s="1">
        <v>11.9402985074626</v>
      </c>
      <c r="G14" s="1">
        <f t="shared" si="0"/>
        <v>1.194029850746201</v>
      </c>
    </row>
    <row r="15" spans="1:13" x14ac:dyDescent="0.25">
      <c r="A15" s="3" t="s">
        <v>62</v>
      </c>
      <c r="B15">
        <v>24</v>
      </c>
      <c r="C15">
        <v>14.669509594882699</v>
      </c>
      <c r="D15">
        <v>1.2793176972281</v>
      </c>
      <c r="F15" s="1">
        <v>15.948827292110799</v>
      </c>
      <c r="G15" s="1">
        <f t="shared" si="0"/>
        <v>1.2793176972281</v>
      </c>
    </row>
    <row r="16" spans="1:13" x14ac:dyDescent="0.25">
      <c r="A16" s="3" t="s">
        <v>62</v>
      </c>
      <c r="B16">
        <v>48</v>
      </c>
      <c r="C16">
        <v>18.6780383795309</v>
      </c>
      <c r="D16">
        <v>1.4498933901918996</v>
      </c>
      <c r="F16" s="1">
        <v>20.1279317697228</v>
      </c>
      <c r="G16" s="1">
        <f t="shared" si="0"/>
        <v>1.4498933901918996</v>
      </c>
    </row>
    <row r="17" spans="1:10" x14ac:dyDescent="0.25">
      <c r="A17" s="3" t="s">
        <v>62</v>
      </c>
      <c r="B17">
        <v>72</v>
      </c>
      <c r="C17">
        <v>18.763326226012701</v>
      </c>
      <c r="D17">
        <v>1.3646055437100983</v>
      </c>
      <c r="F17" s="1">
        <v>20.1279317697228</v>
      </c>
      <c r="G17" s="1">
        <f t="shared" si="0"/>
        <v>1.3646055437100983</v>
      </c>
    </row>
    <row r="18" spans="1:10" x14ac:dyDescent="0.25">
      <c r="A18" s="3" t="s">
        <v>62</v>
      </c>
      <c r="B18">
        <v>96</v>
      </c>
      <c r="C18">
        <v>23.027718550106599</v>
      </c>
      <c r="D18">
        <v>0.76759061833680065</v>
      </c>
      <c r="F18" s="1">
        <v>23.795309168443399</v>
      </c>
      <c r="G18" s="1">
        <f t="shared" si="0"/>
        <v>0.76759061833680065</v>
      </c>
    </row>
    <row r="19" spans="1:10" x14ac:dyDescent="0.25">
      <c r="A19" s="3" t="s">
        <v>62</v>
      </c>
      <c r="B19">
        <v>120</v>
      </c>
      <c r="C19">
        <v>28.144989339019101</v>
      </c>
      <c r="D19">
        <v>1.7057569296375981</v>
      </c>
      <c r="F19" s="1">
        <v>29.8507462686567</v>
      </c>
      <c r="G19" s="1">
        <f t="shared" si="0"/>
        <v>1.7057569296375981</v>
      </c>
    </row>
    <row r="20" spans="1:10" x14ac:dyDescent="0.25">
      <c r="A20" s="3" t="s">
        <v>63</v>
      </c>
      <c r="B20">
        <v>12</v>
      </c>
      <c r="C20">
        <v>0.70676274944567596</v>
      </c>
      <c r="D20">
        <v>2.7716186252770995E-2</v>
      </c>
      <c r="E20" s="1">
        <f>H20/100</f>
        <v>0.70676274944567596</v>
      </c>
      <c r="G20" s="1">
        <f>J20/100</f>
        <v>2.7716186252770995E-2</v>
      </c>
      <c r="H20" s="1">
        <v>70.676274944567595</v>
      </c>
      <c r="I20" s="1">
        <v>73.447893569844695</v>
      </c>
      <c r="J20" s="1">
        <f>I20-H20</f>
        <v>2.7716186252770996</v>
      </c>
    </row>
    <row r="21" spans="1:10" x14ac:dyDescent="0.25">
      <c r="A21" s="3" t="s">
        <v>63</v>
      </c>
      <c r="B21">
        <v>24</v>
      </c>
      <c r="C21">
        <v>0.83425720620842503</v>
      </c>
      <c r="D21">
        <v>2.7716186252771991E-2</v>
      </c>
      <c r="E21" s="1">
        <f t="shared" ref="E21:E37" si="1">H21/100</f>
        <v>0.83425720620842503</v>
      </c>
      <c r="G21" s="1">
        <f t="shared" ref="G21:G37" si="2">J21/100</f>
        <v>2.7716186252771991E-2</v>
      </c>
      <c r="H21" s="1">
        <v>83.425720620842498</v>
      </c>
      <c r="I21" s="1">
        <v>86.197339246119697</v>
      </c>
      <c r="J21" s="1">
        <f t="shared" ref="J21:J37" si="3">I21-H21</f>
        <v>2.771618625277199</v>
      </c>
    </row>
    <row r="22" spans="1:10" x14ac:dyDescent="0.25">
      <c r="A22" s="3" t="s">
        <v>63</v>
      </c>
      <c r="B22">
        <v>48</v>
      </c>
      <c r="C22">
        <v>0.82871396895787097</v>
      </c>
      <c r="D22">
        <v>4.7117516629711954E-2</v>
      </c>
      <c r="E22" s="1">
        <f t="shared" si="1"/>
        <v>0.82871396895787097</v>
      </c>
      <c r="G22" s="1">
        <f t="shared" si="2"/>
        <v>4.7117516629711954E-2</v>
      </c>
      <c r="H22" s="1">
        <v>82.8713968957871</v>
      </c>
      <c r="I22" s="1">
        <v>87.583148558758296</v>
      </c>
      <c r="J22" s="1">
        <f t="shared" si="3"/>
        <v>4.7117516629711957</v>
      </c>
    </row>
    <row r="23" spans="1:10" x14ac:dyDescent="0.25">
      <c r="A23" s="3" t="s">
        <v>63</v>
      </c>
      <c r="B23">
        <v>72</v>
      </c>
      <c r="C23">
        <v>0.87860310421286003</v>
      </c>
      <c r="D23">
        <v>3.8802660753879933E-2</v>
      </c>
      <c r="E23" s="1">
        <f t="shared" si="1"/>
        <v>0.87860310421286003</v>
      </c>
      <c r="G23" s="1">
        <f t="shared" si="2"/>
        <v>3.8802660753879933E-2</v>
      </c>
      <c r="H23" s="1">
        <v>87.860310421286002</v>
      </c>
      <c r="I23" s="1">
        <v>91.740576496673995</v>
      </c>
      <c r="J23" s="1">
        <f t="shared" si="3"/>
        <v>3.8802660753879934</v>
      </c>
    </row>
    <row r="24" spans="1:10" x14ac:dyDescent="0.25">
      <c r="A24" s="3" t="s">
        <v>63</v>
      </c>
      <c r="B24">
        <v>96</v>
      </c>
      <c r="C24">
        <v>0.80376940133037611</v>
      </c>
      <c r="D24">
        <v>2.4944567627494932E-2</v>
      </c>
      <c r="E24" s="1">
        <f t="shared" si="1"/>
        <v>0.80376940133037611</v>
      </c>
      <c r="G24" s="1">
        <f t="shared" si="2"/>
        <v>2.4944567627494932E-2</v>
      </c>
      <c r="H24" s="1">
        <v>80.376940133037607</v>
      </c>
      <c r="I24" s="1">
        <v>82.8713968957871</v>
      </c>
      <c r="J24" s="1">
        <f t="shared" si="3"/>
        <v>2.4944567627494934</v>
      </c>
    </row>
    <row r="25" spans="1:10" x14ac:dyDescent="0.25">
      <c r="A25" s="3" t="s">
        <v>63</v>
      </c>
      <c r="B25">
        <v>120</v>
      </c>
      <c r="C25">
        <v>0.85920177383592</v>
      </c>
      <c r="D25">
        <v>5.2660753880265927E-2</v>
      </c>
      <c r="E25" s="1">
        <f t="shared" si="1"/>
        <v>0.85920177383592</v>
      </c>
      <c r="G25" s="1">
        <f t="shared" si="2"/>
        <v>5.2660753880265927E-2</v>
      </c>
      <c r="H25" s="1">
        <v>85.920177383592005</v>
      </c>
      <c r="I25" s="1">
        <v>91.186252771618598</v>
      </c>
      <c r="J25" s="1">
        <f t="shared" si="3"/>
        <v>5.2660753880265929</v>
      </c>
    </row>
    <row r="26" spans="1:10" x14ac:dyDescent="0.25">
      <c r="A26" s="3" t="s">
        <v>64</v>
      </c>
      <c r="B26">
        <v>12</v>
      </c>
      <c r="C26">
        <v>0.63192904656319204</v>
      </c>
      <c r="D26">
        <v>2.2172949002218018E-2</v>
      </c>
      <c r="E26" s="1">
        <f t="shared" si="1"/>
        <v>0.63192904656319204</v>
      </c>
      <c r="G26" s="1">
        <f t="shared" si="2"/>
        <v>2.2172949002218018E-2</v>
      </c>
      <c r="H26" s="1">
        <v>63.1929046563192</v>
      </c>
      <c r="I26" s="1">
        <v>65.410199556541002</v>
      </c>
      <c r="J26" s="1">
        <f t="shared" si="3"/>
        <v>2.2172949002218019</v>
      </c>
    </row>
    <row r="27" spans="1:10" x14ac:dyDescent="0.25">
      <c r="A27" s="3" t="s">
        <v>64</v>
      </c>
      <c r="B27">
        <v>24</v>
      </c>
      <c r="C27">
        <v>0.61252771618625201</v>
      </c>
      <c r="D27">
        <v>2.2172949002218018E-2</v>
      </c>
      <c r="E27" s="1">
        <f t="shared" si="1"/>
        <v>0.61252771618625201</v>
      </c>
      <c r="G27" s="1">
        <f t="shared" si="2"/>
        <v>2.2172949002218018E-2</v>
      </c>
      <c r="H27" s="1">
        <v>61.252771618625196</v>
      </c>
      <c r="I27" s="1">
        <v>63.470066518846998</v>
      </c>
      <c r="J27" s="1">
        <f t="shared" si="3"/>
        <v>2.2172949002218019</v>
      </c>
    </row>
    <row r="28" spans="1:10" x14ac:dyDescent="0.25">
      <c r="A28" s="3" t="s">
        <v>64</v>
      </c>
      <c r="B28">
        <v>48</v>
      </c>
      <c r="C28">
        <v>0.52383592017738301</v>
      </c>
      <c r="D28">
        <v>2.7716186252771991E-2</v>
      </c>
      <c r="E28" s="1">
        <f t="shared" si="1"/>
        <v>0.52383592017738301</v>
      </c>
      <c r="G28" s="1">
        <f t="shared" si="2"/>
        <v>2.7716186252771991E-2</v>
      </c>
      <c r="H28" s="1">
        <v>52.383592017738302</v>
      </c>
      <c r="I28" s="1">
        <v>55.155210643015501</v>
      </c>
      <c r="J28" s="1">
        <f t="shared" si="3"/>
        <v>2.771618625277199</v>
      </c>
    </row>
    <row r="29" spans="1:10" x14ac:dyDescent="0.25">
      <c r="A29" s="3" t="s">
        <v>64</v>
      </c>
      <c r="B29">
        <v>72</v>
      </c>
      <c r="C29">
        <v>0.50997782705099703</v>
      </c>
      <c r="D29">
        <v>1.9401330376939967E-2</v>
      </c>
      <c r="E29" s="1">
        <f t="shared" si="1"/>
        <v>0.50997782705099703</v>
      </c>
      <c r="G29" s="1">
        <f t="shared" si="2"/>
        <v>1.9401330376939967E-2</v>
      </c>
      <c r="H29" s="1">
        <v>50.997782705099702</v>
      </c>
      <c r="I29" s="1">
        <v>52.937915742793699</v>
      </c>
      <c r="J29" s="1">
        <f t="shared" si="3"/>
        <v>1.9401330376939967</v>
      </c>
    </row>
    <row r="30" spans="1:10" x14ac:dyDescent="0.25">
      <c r="A30" s="3" t="s">
        <v>64</v>
      </c>
      <c r="B30">
        <v>96</v>
      </c>
      <c r="C30">
        <v>0.44345898004434503</v>
      </c>
      <c r="D30">
        <v>3.0487804878048978E-2</v>
      </c>
      <c r="E30" s="1">
        <f t="shared" si="1"/>
        <v>0.44345898004434503</v>
      </c>
      <c r="G30" s="1">
        <f t="shared" si="2"/>
        <v>3.0487804878048978E-2</v>
      </c>
      <c r="H30" s="1">
        <v>44.345898004434503</v>
      </c>
      <c r="I30" s="1">
        <v>47.3946784922394</v>
      </c>
      <c r="J30" s="1">
        <f t="shared" si="3"/>
        <v>3.0487804878048976</v>
      </c>
    </row>
    <row r="31" spans="1:10" x14ac:dyDescent="0.25">
      <c r="A31" s="3" t="s">
        <v>64</v>
      </c>
      <c r="B31">
        <v>120</v>
      </c>
      <c r="C31">
        <v>0.418514412416851</v>
      </c>
      <c r="D31">
        <v>3.3259423503325961E-2</v>
      </c>
      <c r="E31" s="1">
        <f t="shared" si="1"/>
        <v>0.418514412416851</v>
      </c>
      <c r="G31" s="1">
        <f t="shared" si="2"/>
        <v>3.3259423503325961E-2</v>
      </c>
      <c r="H31" s="1">
        <v>41.851441241685102</v>
      </c>
      <c r="I31" s="1">
        <v>45.177383592017698</v>
      </c>
      <c r="J31" s="1">
        <f t="shared" si="3"/>
        <v>3.3259423503325962</v>
      </c>
    </row>
    <row r="32" spans="1:10" x14ac:dyDescent="0.25">
      <c r="A32" s="3" t="s">
        <v>65</v>
      </c>
      <c r="B32">
        <v>12</v>
      </c>
      <c r="C32">
        <v>0.74556541019955602</v>
      </c>
      <c r="D32">
        <v>2.7716186252771991E-2</v>
      </c>
      <c r="E32" s="1">
        <f t="shared" si="1"/>
        <v>0.74556541019955602</v>
      </c>
      <c r="G32" s="1">
        <f t="shared" si="2"/>
        <v>2.7716186252771991E-2</v>
      </c>
      <c r="H32" s="1">
        <v>74.556541019955603</v>
      </c>
      <c r="I32" s="1">
        <v>77.328159645232802</v>
      </c>
      <c r="J32" s="1">
        <f t="shared" si="3"/>
        <v>2.771618625277199</v>
      </c>
    </row>
    <row r="33" spans="1:13" x14ac:dyDescent="0.25">
      <c r="A33" s="3" t="s">
        <v>65</v>
      </c>
      <c r="B33">
        <v>24</v>
      </c>
      <c r="C33">
        <v>0.72893569844789297</v>
      </c>
      <c r="D33">
        <v>3.8802660753880079E-2</v>
      </c>
      <c r="E33" s="1">
        <f t="shared" si="1"/>
        <v>0.72893569844789297</v>
      </c>
      <c r="G33" s="1">
        <f t="shared" si="2"/>
        <v>3.8802660753880079E-2</v>
      </c>
      <c r="H33" s="1">
        <v>72.893569844789297</v>
      </c>
      <c r="I33" s="1">
        <v>76.773835920177305</v>
      </c>
      <c r="J33" s="1">
        <f t="shared" si="3"/>
        <v>3.8802660753880076</v>
      </c>
    </row>
    <row r="34" spans="1:13" x14ac:dyDescent="0.25">
      <c r="A34" s="3" t="s">
        <v>65</v>
      </c>
      <c r="B34">
        <v>48</v>
      </c>
      <c r="C34">
        <v>0.49611973392461201</v>
      </c>
      <c r="D34">
        <v>2.2172949002216953E-2</v>
      </c>
      <c r="E34" s="1">
        <f t="shared" si="1"/>
        <v>0.49611973392461201</v>
      </c>
      <c r="G34" s="1">
        <f t="shared" si="2"/>
        <v>2.2172949002216953E-2</v>
      </c>
      <c r="H34" s="1">
        <v>49.611973392461202</v>
      </c>
      <c r="I34" s="1">
        <v>51.829268292682897</v>
      </c>
      <c r="J34" s="1">
        <f t="shared" si="3"/>
        <v>2.2172949002216953</v>
      </c>
    </row>
    <row r="35" spans="1:13" x14ac:dyDescent="0.25">
      <c r="A35" s="3" t="s">
        <v>65</v>
      </c>
      <c r="B35">
        <v>72</v>
      </c>
      <c r="C35">
        <v>0.385254988913525</v>
      </c>
      <c r="D35">
        <v>3.6031042128603016E-2</v>
      </c>
      <c r="E35" s="1">
        <f t="shared" si="1"/>
        <v>0.385254988913525</v>
      </c>
      <c r="G35" s="1">
        <f t="shared" si="2"/>
        <v>3.6031042128603016E-2</v>
      </c>
      <c r="H35" s="1">
        <v>38.525498891352498</v>
      </c>
      <c r="I35" s="1">
        <v>42.1286031042128</v>
      </c>
      <c r="J35" s="1">
        <f t="shared" si="3"/>
        <v>3.6031042128603019</v>
      </c>
    </row>
    <row r="36" spans="1:13" x14ac:dyDescent="0.25">
      <c r="A36" s="3" t="s">
        <v>65</v>
      </c>
      <c r="B36">
        <v>96</v>
      </c>
      <c r="C36">
        <v>0.24113082039911302</v>
      </c>
      <c r="D36">
        <v>2.4944567627493974E-2</v>
      </c>
      <c r="E36" s="1">
        <f t="shared" si="1"/>
        <v>0.24113082039911302</v>
      </c>
      <c r="G36" s="1">
        <f t="shared" si="2"/>
        <v>2.4944567627493974E-2</v>
      </c>
      <c r="H36" s="1">
        <v>24.113082039911301</v>
      </c>
      <c r="I36" s="1">
        <v>26.607538802660699</v>
      </c>
      <c r="J36" s="1">
        <f t="shared" si="3"/>
        <v>2.4944567627493974</v>
      </c>
    </row>
    <row r="37" spans="1:13" x14ac:dyDescent="0.25">
      <c r="A37" s="3" t="s">
        <v>65</v>
      </c>
      <c r="B37">
        <v>120</v>
      </c>
      <c r="C37">
        <v>0.25776053215077599</v>
      </c>
      <c r="D37">
        <v>2.4944567627494009E-2</v>
      </c>
      <c r="E37" s="1">
        <f t="shared" si="1"/>
        <v>0.25776053215077599</v>
      </c>
      <c r="G37" s="1">
        <f t="shared" si="2"/>
        <v>2.4944567627494009E-2</v>
      </c>
      <c r="H37" s="1">
        <v>25.776053215077599</v>
      </c>
      <c r="I37" s="1">
        <v>28.270509977827</v>
      </c>
      <c r="J37" s="1">
        <f t="shared" si="3"/>
        <v>2.494456762749401</v>
      </c>
    </row>
    <row r="38" spans="1:13" x14ac:dyDescent="0.25">
      <c r="A38" s="3" t="s">
        <v>57</v>
      </c>
      <c r="B38">
        <v>12</v>
      </c>
      <c r="C38">
        <v>50.490405117270704</v>
      </c>
      <c r="D38">
        <v>2.8997867803837973</v>
      </c>
      <c r="E38" s="1">
        <f>10*K38</f>
        <v>50.490405117270704</v>
      </c>
      <c r="G38" s="1">
        <f>10*M38</f>
        <v>2.8997867803837973</v>
      </c>
      <c r="K38" s="1">
        <v>5.0490405117270702</v>
      </c>
      <c r="L38" s="1">
        <v>5.33901918976545</v>
      </c>
      <c r="M38" s="1">
        <f>L38-K38</f>
        <v>0.28997867803837973</v>
      </c>
    </row>
    <row r="39" spans="1:13" x14ac:dyDescent="0.25">
      <c r="A39" s="3" t="s">
        <v>57</v>
      </c>
      <c r="B39">
        <v>24</v>
      </c>
      <c r="C39">
        <v>50.149253731343194</v>
      </c>
      <c r="D39">
        <v>2.217484008528805</v>
      </c>
      <c r="E39" s="1">
        <f t="shared" ref="E39:E49" si="4">10*K39</f>
        <v>50.149253731343194</v>
      </c>
      <c r="G39" s="1">
        <f t="shared" ref="G39:G49" si="5">10*M39</f>
        <v>2.217484008528805</v>
      </c>
      <c r="K39" s="1">
        <v>5.0149253731343197</v>
      </c>
      <c r="L39" s="1">
        <v>5.2366737739872002</v>
      </c>
      <c r="M39" s="1">
        <f t="shared" ref="M39:M55" si="6">L39-K39</f>
        <v>0.2217484008528805</v>
      </c>
    </row>
    <row r="40" spans="1:13" x14ac:dyDescent="0.25">
      <c r="A40" s="3" t="s">
        <v>57</v>
      </c>
      <c r="B40">
        <v>48</v>
      </c>
      <c r="C40">
        <v>54.413646055436999</v>
      </c>
      <c r="D40">
        <v>1.5351812366738038</v>
      </c>
      <c r="E40" s="1">
        <f t="shared" si="4"/>
        <v>54.413646055436999</v>
      </c>
      <c r="G40" s="1">
        <f t="shared" si="5"/>
        <v>1.5351812366738038</v>
      </c>
      <c r="K40" s="1">
        <v>5.4413646055436997</v>
      </c>
      <c r="L40" s="1">
        <v>5.5948827292110801</v>
      </c>
      <c r="M40" s="1">
        <f t="shared" si="6"/>
        <v>0.15351812366738038</v>
      </c>
    </row>
    <row r="41" spans="1:13" x14ac:dyDescent="0.25">
      <c r="A41" s="3" t="s">
        <v>57</v>
      </c>
      <c r="B41">
        <v>72</v>
      </c>
      <c r="C41">
        <v>44.008528784648099</v>
      </c>
      <c r="D41">
        <v>1.7057569296376052</v>
      </c>
      <c r="E41" s="1">
        <f t="shared" si="4"/>
        <v>44.008528784648099</v>
      </c>
      <c r="G41" s="1">
        <f t="shared" si="5"/>
        <v>1.7057569296376052</v>
      </c>
      <c r="K41" s="1">
        <v>4.4008528784648098</v>
      </c>
      <c r="L41" s="1">
        <v>4.5714285714285703</v>
      </c>
      <c r="M41" s="1">
        <f t="shared" si="6"/>
        <v>0.17057569296376052</v>
      </c>
    </row>
    <row r="42" spans="1:13" x14ac:dyDescent="0.25">
      <c r="A42" s="3" t="s">
        <v>57</v>
      </c>
      <c r="B42">
        <v>96</v>
      </c>
      <c r="C42">
        <v>35.479744136460496</v>
      </c>
      <c r="D42">
        <v>1.1940298507463032</v>
      </c>
      <c r="E42" s="1">
        <f t="shared" si="4"/>
        <v>35.479744136460496</v>
      </c>
      <c r="G42" s="1">
        <f t="shared" si="5"/>
        <v>1.1940298507463032</v>
      </c>
      <c r="K42" s="1">
        <v>3.5479744136460498</v>
      </c>
      <c r="L42" s="1">
        <v>3.6673773987206801</v>
      </c>
      <c r="M42" s="1">
        <f t="shared" si="6"/>
        <v>0.11940298507463032</v>
      </c>
    </row>
    <row r="43" spans="1:13" x14ac:dyDescent="0.25">
      <c r="A43" s="3" t="s">
        <v>57</v>
      </c>
      <c r="B43">
        <v>120</v>
      </c>
      <c r="C43">
        <v>29.5095948827292</v>
      </c>
      <c r="D43">
        <v>2.0469083155649992</v>
      </c>
      <c r="E43" s="1">
        <f t="shared" si="4"/>
        <v>29.5095948827292</v>
      </c>
      <c r="G43" s="1">
        <f t="shared" si="5"/>
        <v>2.0469083155649992</v>
      </c>
      <c r="K43" s="1">
        <v>2.95095948827292</v>
      </c>
      <c r="L43" s="1">
        <v>3.1556503198294199</v>
      </c>
      <c r="M43" s="1">
        <f t="shared" si="6"/>
        <v>0.20469083155649992</v>
      </c>
    </row>
    <row r="44" spans="1:13" x14ac:dyDescent="0.25">
      <c r="A44" s="3" t="s">
        <v>56</v>
      </c>
      <c r="B44">
        <v>12</v>
      </c>
      <c r="C44">
        <v>56.972281449893302</v>
      </c>
      <c r="D44">
        <v>2.3880597014925975</v>
      </c>
      <c r="E44" s="1">
        <f t="shared" si="4"/>
        <v>56.972281449893302</v>
      </c>
      <c r="G44" s="1">
        <f t="shared" si="5"/>
        <v>2.3880597014925975</v>
      </c>
      <c r="K44" s="1">
        <v>5.6972281449893298</v>
      </c>
      <c r="L44" s="1">
        <v>5.9360341151385896</v>
      </c>
      <c r="M44" s="1">
        <f t="shared" si="6"/>
        <v>0.23880597014925975</v>
      </c>
    </row>
    <row r="45" spans="1:13" x14ac:dyDescent="0.25">
      <c r="A45" s="3" t="s">
        <v>56</v>
      </c>
      <c r="B45">
        <v>24</v>
      </c>
      <c r="C45">
        <v>52.196162046908299</v>
      </c>
      <c r="D45">
        <v>2.8997867803837973</v>
      </c>
      <c r="E45" s="1">
        <f t="shared" si="4"/>
        <v>52.196162046908299</v>
      </c>
      <c r="G45" s="1">
        <f t="shared" si="5"/>
        <v>2.8997867803837973</v>
      </c>
      <c r="K45" s="1">
        <v>5.2196162046908299</v>
      </c>
      <c r="L45" s="1">
        <v>5.5095948827292096</v>
      </c>
      <c r="M45" s="1">
        <f t="shared" si="6"/>
        <v>0.28997867803837973</v>
      </c>
    </row>
    <row r="46" spans="1:13" x14ac:dyDescent="0.25">
      <c r="A46" s="3" t="s">
        <v>56</v>
      </c>
      <c r="B46">
        <v>48</v>
      </c>
      <c r="C46">
        <v>47.931769722814401</v>
      </c>
      <c r="D46">
        <v>3.4115138592750949</v>
      </c>
      <c r="E46" s="1">
        <f t="shared" si="4"/>
        <v>47.931769722814401</v>
      </c>
      <c r="G46" s="1">
        <f t="shared" si="5"/>
        <v>3.4115138592750949</v>
      </c>
      <c r="K46" s="1">
        <v>4.7931769722814401</v>
      </c>
      <c r="L46" s="1">
        <v>5.1343283582089496</v>
      </c>
      <c r="M46" s="1">
        <f t="shared" si="6"/>
        <v>0.34115138592750949</v>
      </c>
    </row>
    <row r="47" spans="1:13" x14ac:dyDescent="0.25">
      <c r="A47" s="3" t="s">
        <v>56</v>
      </c>
      <c r="B47">
        <v>72</v>
      </c>
      <c r="C47">
        <v>32.750533049040499</v>
      </c>
      <c r="D47">
        <v>3.2409381663112979</v>
      </c>
      <c r="E47" s="1">
        <f t="shared" si="4"/>
        <v>32.750533049040499</v>
      </c>
      <c r="G47" s="1">
        <f t="shared" si="5"/>
        <v>3.2409381663112979</v>
      </c>
      <c r="K47" s="1">
        <v>3.2750533049040502</v>
      </c>
      <c r="L47" s="1">
        <v>3.59914712153518</v>
      </c>
      <c r="M47" s="1">
        <f t="shared" si="6"/>
        <v>0.32409381663112979</v>
      </c>
    </row>
    <row r="48" spans="1:13" x14ac:dyDescent="0.25">
      <c r="A48" s="3" t="s">
        <v>56</v>
      </c>
      <c r="B48">
        <v>96</v>
      </c>
      <c r="C48">
        <v>18.2515991471215</v>
      </c>
      <c r="D48">
        <v>3.7526652452025</v>
      </c>
      <c r="E48" s="1">
        <f t="shared" si="4"/>
        <v>18.2515991471215</v>
      </c>
      <c r="G48" s="1">
        <f t="shared" si="5"/>
        <v>3.7526652452025</v>
      </c>
      <c r="K48" s="1">
        <v>1.82515991471215</v>
      </c>
      <c r="L48" s="1">
        <v>2.2004264392324</v>
      </c>
      <c r="M48" s="1">
        <f t="shared" si="6"/>
        <v>0.37526652452025</v>
      </c>
    </row>
    <row r="49" spans="1:13" x14ac:dyDescent="0.25">
      <c r="A49" s="3" t="s">
        <v>56</v>
      </c>
      <c r="B49">
        <v>120</v>
      </c>
      <c r="C49">
        <v>9.3816631130064003</v>
      </c>
      <c r="D49">
        <v>4.0938166311300002</v>
      </c>
      <c r="E49" s="1">
        <f t="shared" si="4"/>
        <v>9.3816631130064003</v>
      </c>
      <c r="G49" s="1">
        <f t="shared" si="5"/>
        <v>4.0938166311300002</v>
      </c>
      <c r="K49" s="1">
        <v>0.93816631130063999</v>
      </c>
      <c r="L49" s="1">
        <v>1.34754797441364</v>
      </c>
      <c r="M49" s="1">
        <f t="shared" si="6"/>
        <v>0.40938166311300006</v>
      </c>
    </row>
    <row r="50" spans="1:13" x14ac:dyDescent="0.25">
      <c r="A50" s="3" t="s">
        <v>55</v>
      </c>
      <c r="B50">
        <v>12</v>
      </c>
      <c r="C50">
        <v>21.6631130063965</v>
      </c>
      <c r="D50">
        <v>2.0469083155651013</v>
      </c>
      <c r="E50" s="1">
        <f>10*K50</f>
        <v>21.6631130063965</v>
      </c>
      <c r="G50" s="1">
        <f>10*M50</f>
        <v>2.0469083155651013</v>
      </c>
      <c r="K50" s="1">
        <v>2.1663113006396499</v>
      </c>
      <c r="L50" s="1">
        <v>2.3710021321961601</v>
      </c>
      <c r="M50" s="1">
        <f t="shared" si="6"/>
        <v>0.20469083155651013</v>
      </c>
    </row>
    <row r="51" spans="1:13" x14ac:dyDescent="0.25">
      <c r="A51" s="3" t="s">
        <v>55</v>
      </c>
      <c r="B51">
        <v>24</v>
      </c>
      <c r="C51">
        <v>11.599147121535101</v>
      </c>
      <c r="D51">
        <v>1.3646055437100002</v>
      </c>
      <c r="E51" s="1">
        <f t="shared" ref="E51:E52" si="7">10*K51</f>
        <v>11.599147121535101</v>
      </c>
      <c r="G51" s="1">
        <f t="shared" ref="G51:G52" si="8">10*M51</f>
        <v>1.3646055437100002</v>
      </c>
      <c r="K51" s="1">
        <v>1.1599147121535101</v>
      </c>
      <c r="L51" s="1">
        <v>1.2963752665245101</v>
      </c>
      <c r="M51" s="1">
        <f t="shared" si="6"/>
        <v>0.13646055437100002</v>
      </c>
    </row>
    <row r="52" spans="1:13" x14ac:dyDescent="0.25">
      <c r="A52" s="3" t="s">
        <v>55</v>
      </c>
      <c r="B52">
        <v>48</v>
      </c>
      <c r="C52">
        <v>3.9232409381663</v>
      </c>
      <c r="D52">
        <v>0.85287846481876983</v>
      </c>
      <c r="E52" s="1">
        <f t="shared" si="7"/>
        <v>3.9232409381663</v>
      </c>
      <c r="G52" s="1">
        <f t="shared" si="8"/>
        <v>0.85287846481876983</v>
      </c>
      <c r="K52" s="1">
        <v>0.39232409381663003</v>
      </c>
      <c r="L52" s="1">
        <v>0.47761194029850701</v>
      </c>
      <c r="M52" s="1">
        <f t="shared" si="6"/>
        <v>8.5287846481876983E-2</v>
      </c>
    </row>
    <row r="53" spans="1:13" x14ac:dyDescent="0.25">
      <c r="A53" s="3" t="s">
        <v>55</v>
      </c>
      <c r="B53">
        <v>72</v>
      </c>
      <c r="C53">
        <v>0</v>
      </c>
      <c r="D53">
        <v>0</v>
      </c>
      <c r="E53" s="1">
        <f>10*K53</f>
        <v>0</v>
      </c>
      <c r="G53" s="1">
        <f>10*M53</f>
        <v>0</v>
      </c>
      <c r="K53" s="1">
        <v>0</v>
      </c>
      <c r="L53" s="1">
        <v>0</v>
      </c>
      <c r="M53" s="1">
        <f t="shared" si="6"/>
        <v>0</v>
      </c>
    </row>
    <row r="54" spans="1:13" x14ac:dyDescent="0.25">
      <c r="A54" s="3" t="s">
        <v>55</v>
      </c>
      <c r="B54">
        <v>96</v>
      </c>
      <c r="C54">
        <v>0</v>
      </c>
      <c r="D54">
        <v>0</v>
      </c>
      <c r="E54" s="1">
        <f t="shared" ref="E54:E55" si="9">10*K54</f>
        <v>0</v>
      </c>
      <c r="G54" s="1">
        <f t="shared" ref="G54:G55" si="10">10*M54</f>
        <v>0</v>
      </c>
      <c r="K54" s="1">
        <v>0</v>
      </c>
      <c r="L54" s="1">
        <v>0</v>
      </c>
      <c r="M54" s="1">
        <f t="shared" si="6"/>
        <v>0</v>
      </c>
    </row>
    <row r="55" spans="1:13" x14ac:dyDescent="0.25">
      <c r="A55" s="3" t="s">
        <v>55</v>
      </c>
      <c r="B55">
        <v>120</v>
      </c>
      <c r="C55">
        <v>0</v>
      </c>
      <c r="D55">
        <v>0</v>
      </c>
      <c r="E55" s="1">
        <f t="shared" si="9"/>
        <v>0</v>
      </c>
      <c r="G55" s="1">
        <f t="shared" si="10"/>
        <v>0</v>
      </c>
      <c r="K55" s="1">
        <v>0</v>
      </c>
      <c r="L55" s="1">
        <v>0</v>
      </c>
      <c r="M55" s="1">
        <f t="shared" si="6"/>
        <v>0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71FC8-3AA5-4522-8AA5-33EA10C4536D}">
  <dimension ref="A1:U19"/>
  <sheetViews>
    <sheetView workbookViewId="0">
      <selection activeCell="I2" sqref="I2:I7"/>
    </sheetView>
  </sheetViews>
  <sheetFormatPr defaultRowHeight="15" x14ac:dyDescent="0.25"/>
  <cols>
    <col min="7" max="7" width="16" bestFit="1" customWidth="1"/>
    <col min="10" max="10" width="27.5703125" bestFit="1" customWidth="1"/>
    <col min="11" max="11" width="12.42578125" bestFit="1" customWidth="1"/>
  </cols>
  <sheetData>
    <row r="1" spans="1:21" x14ac:dyDescent="0.25">
      <c r="A1" s="22" t="s">
        <v>174</v>
      </c>
      <c r="B1" s="22" t="s">
        <v>175</v>
      </c>
      <c r="C1" s="22" t="s">
        <v>176</v>
      </c>
      <c r="D1" s="22" t="s">
        <v>177</v>
      </c>
      <c r="E1" s="22" t="s">
        <v>178</v>
      </c>
      <c r="F1" s="22" t="s">
        <v>179</v>
      </c>
      <c r="G1" s="22" t="s">
        <v>180</v>
      </c>
      <c r="H1" s="22" t="s">
        <v>181</v>
      </c>
      <c r="I1" s="22" t="s">
        <v>0</v>
      </c>
      <c r="J1" s="23" t="s">
        <v>199</v>
      </c>
      <c r="K1" s="22" t="s">
        <v>200</v>
      </c>
      <c r="L1" s="22" t="s">
        <v>182</v>
      </c>
      <c r="M1" s="22" t="s">
        <v>183</v>
      </c>
      <c r="T1" t="s">
        <v>197</v>
      </c>
    </row>
    <row r="2" spans="1:21" x14ac:dyDescent="0.25">
      <c r="C2" t="s">
        <v>192</v>
      </c>
      <c r="D2" t="s">
        <v>193</v>
      </c>
      <c r="E2" t="s">
        <v>194</v>
      </c>
      <c r="G2" t="s">
        <v>203</v>
      </c>
      <c r="H2" t="s">
        <v>196</v>
      </c>
      <c r="I2">
        <v>242</v>
      </c>
      <c r="J2">
        <f t="shared" ref="J2:K7" si="0">(( T2 + 0.9137 )/50.31)^1.35</f>
        <v>35.233998997392128</v>
      </c>
      <c r="K2">
        <f t="shared" si="0"/>
        <v>5.1847352478242827</v>
      </c>
      <c r="L2" t="s">
        <v>195</v>
      </c>
      <c r="M2" t="s">
        <v>208</v>
      </c>
      <c r="O2">
        <v>58.587740933589103</v>
      </c>
      <c r="P2">
        <f>R2-O2</f>
        <v>14.111172010596491</v>
      </c>
      <c r="Q2">
        <v>2.0914101275844201</v>
      </c>
      <c r="R2">
        <v>72.698912944185594</v>
      </c>
      <c r="T2">
        <f>1200*O2/100</f>
        <v>703.05289120306929</v>
      </c>
      <c r="U2">
        <f>1200*P2/100</f>
        <v>169.33406412715786</v>
      </c>
    </row>
    <row r="3" spans="1:21" x14ac:dyDescent="0.25">
      <c r="C3" t="s">
        <v>192</v>
      </c>
      <c r="D3" t="s">
        <v>193</v>
      </c>
      <c r="E3" t="s">
        <v>194</v>
      </c>
      <c r="G3" t="s">
        <v>203</v>
      </c>
      <c r="H3" t="s">
        <v>196</v>
      </c>
      <c r="I3">
        <v>244</v>
      </c>
      <c r="J3">
        <f t="shared" si="0"/>
        <v>31.643157269406927</v>
      </c>
      <c r="K3">
        <f t="shared" si="0"/>
        <v>3.6626337114232164</v>
      </c>
      <c r="L3" t="s">
        <v>195</v>
      </c>
      <c r="M3" t="s">
        <v>208</v>
      </c>
      <c r="O3">
        <v>54.097926372522103</v>
      </c>
      <c r="P3">
        <f t="shared" ref="P3:P7" si="1">R3-O3</f>
        <v>10.891111720106004</v>
      </c>
      <c r="Q3">
        <v>4.0157120672330304</v>
      </c>
      <c r="R3">
        <v>64.989038092628107</v>
      </c>
      <c r="T3">
        <f t="shared" ref="T3:U7" si="2">1200*O3/100</f>
        <v>649.17511647026515</v>
      </c>
      <c r="U3">
        <f t="shared" si="2"/>
        <v>130.69334064127204</v>
      </c>
    </row>
    <row r="4" spans="1:21" x14ac:dyDescent="0.25">
      <c r="C4" t="s">
        <v>192</v>
      </c>
      <c r="D4" t="s">
        <v>193</v>
      </c>
      <c r="E4" t="s">
        <v>194</v>
      </c>
      <c r="G4" t="s">
        <v>203</v>
      </c>
      <c r="H4" t="s">
        <v>196</v>
      </c>
      <c r="I4">
        <v>247</v>
      </c>
      <c r="J4">
        <f t="shared" si="0"/>
        <v>39.664894368210568</v>
      </c>
      <c r="K4">
        <f t="shared" si="0"/>
        <v>3.6626337114232164</v>
      </c>
      <c r="L4" t="s">
        <v>195</v>
      </c>
      <c r="M4" t="s">
        <v>208</v>
      </c>
      <c r="O4">
        <v>63.967753722481</v>
      </c>
      <c r="P4">
        <f t="shared" si="1"/>
        <v>10.891111720106004</v>
      </c>
      <c r="Q4">
        <v>6.9814561066958998</v>
      </c>
      <c r="R4">
        <v>74.858865442587003</v>
      </c>
      <c r="T4">
        <f t="shared" si="2"/>
        <v>767.61304466977208</v>
      </c>
      <c r="U4">
        <f t="shared" si="2"/>
        <v>130.69334064127204</v>
      </c>
    </row>
    <row r="5" spans="1:21" x14ac:dyDescent="0.25">
      <c r="C5" t="s">
        <v>192</v>
      </c>
      <c r="D5" t="s">
        <v>193</v>
      </c>
      <c r="E5" t="s">
        <v>194</v>
      </c>
      <c r="G5" t="s">
        <v>202</v>
      </c>
      <c r="H5" t="s">
        <v>196</v>
      </c>
      <c r="I5">
        <v>242</v>
      </c>
      <c r="J5">
        <f t="shared" si="0"/>
        <v>24.827441558037425</v>
      </c>
      <c r="K5">
        <f t="shared" si="0"/>
        <v>2.6577949393134803</v>
      </c>
      <c r="L5" t="s">
        <v>195</v>
      </c>
      <c r="M5" t="s">
        <v>209</v>
      </c>
      <c r="O5">
        <v>45.188179409884</v>
      </c>
      <c r="P5">
        <f t="shared" si="1"/>
        <v>8.5722115648121999</v>
      </c>
      <c r="Q5">
        <v>1.9613897262568101</v>
      </c>
      <c r="R5">
        <v>53.7603909746962</v>
      </c>
      <c r="T5">
        <f t="shared" si="2"/>
        <v>542.25815291860806</v>
      </c>
      <c r="U5">
        <f t="shared" si="2"/>
        <v>102.86653877774638</v>
      </c>
    </row>
    <row r="6" spans="1:21" x14ac:dyDescent="0.25">
      <c r="C6" t="s">
        <v>192</v>
      </c>
      <c r="D6" t="s">
        <v>193</v>
      </c>
      <c r="E6" t="s">
        <v>194</v>
      </c>
      <c r="G6" t="s">
        <v>202</v>
      </c>
      <c r="H6" t="s">
        <v>196</v>
      </c>
      <c r="I6">
        <v>244</v>
      </c>
      <c r="J6">
        <f t="shared" si="0"/>
        <v>23.234568611142546</v>
      </c>
      <c r="K6">
        <f t="shared" si="0"/>
        <v>2.1532438642433545</v>
      </c>
      <c r="L6" t="s">
        <v>195</v>
      </c>
      <c r="M6" t="s">
        <v>209</v>
      </c>
      <c r="O6">
        <v>43.018635242532199</v>
      </c>
      <c r="P6">
        <f t="shared" si="1"/>
        <v>7.3234676166986006</v>
      </c>
      <c r="Q6">
        <v>3.9624250175086</v>
      </c>
      <c r="R6">
        <v>50.342102859230799</v>
      </c>
      <c r="T6">
        <f t="shared" si="2"/>
        <v>516.22362291038644</v>
      </c>
      <c r="U6">
        <f t="shared" si="2"/>
        <v>87.881611400383207</v>
      </c>
    </row>
    <row r="7" spans="1:21" x14ac:dyDescent="0.25">
      <c r="C7" t="s">
        <v>192</v>
      </c>
      <c r="D7" t="s">
        <v>193</v>
      </c>
      <c r="E7" t="s">
        <v>194</v>
      </c>
      <c r="G7" t="s">
        <v>202</v>
      </c>
      <c r="H7" t="s">
        <v>196</v>
      </c>
      <c r="I7">
        <v>247</v>
      </c>
      <c r="J7">
        <f t="shared" si="0"/>
        <v>61.219857448015574</v>
      </c>
      <c r="K7">
        <f t="shared" si="0"/>
        <v>2.8064646700742295</v>
      </c>
      <c r="L7" t="s">
        <v>195</v>
      </c>
      <c r="M7" t="s">
        <v>209</v>
      </c>
      <c r="O7">
        <v>88.251575774184701</v>
      </c>
      <c r="P7">
        <f t="shared" si="1"/>
        <v>8.9280168082579934</v>
      </c>
      <c r="Q7">
        <v>6.9722907341432903</v>
      </c>
      <c r="R7">
        <v>97.179592582442694</v>
      </c>
      <c r="T7">
        <f t="shared" si="2"/>
        <v>1059.0189092902165</v>
      </c>
      <c r="U7">
        <f t="shared" si="2"/>
        <v>107.13620169909592</v>
      </c>
    </row>
    <row r="8" spans="1:21" x14ac:dyDescent="0.25">
      <c r="C8" t="s">
        <v>192</v>
      </c>
      <c r="D8" t="s">
        <v>193</v>
      </c>
      <c r="E8" t="s">
        <v>194</v>
      </c>
      <c r="G8" t="s">
        <v>203</v>
      </c>
      <c r="H8" t="s">
        <v>205</v>
      </c>
      <c r="I8">
        <v>240</v>
      </c>
      <c r="J8">
        <f t="shared" ref="J8:J15" si="3">O8/100</f>
        <v>0.14616051361903501</v>
      </c>
      <c r="K8">
        <v>0</v>
      </c>
      <c r="L8" t="s">
        <v>195</v>
      </c>
      <c r="M8" t="s">
        <v>210</v>
      </c>
      <c r="N8">
        <v>-3.3988141352621903E-2</v>
      </c>
      <c r="O8">
        <v>14.6160513619035</v>
      </c>
    </row>
    <row r="9" spans="1:21" x14ac:dyDescent="0.25">
      <c r="C9" t="s">
        <v>192</v>
      </c>
      <c r="D9" t="s">
        <v>193</v>
      </c>
      <c r="E9" t="s">
        <v>194</v>
      </c>
      <c r="G9" t="s">
        <v>203</v>
      </c>
      <c r="H9" t="s">
        <v>205</v>
      </c>
      <c r="I9">
        <v>242</v>
      </c>
      <c r="J9">
        <f t="shared" si="3"/>
        <v>0.47012710076781999</v>
      </c>
      <c r="K9">
        <f t="shared" ref="K9:K15" si="4">P9/100</f>
        <v>9.6418627127615009E-2</v>
      </c>
      <c r="L9" t="s">
        <v>195</v>
      </c>
      <c r="M9" t="s">
        <v>210</v>
      </c>
      <c r="N9">
        <v>1.9915010470280501</v>
      </c>
      <c r="O9">
        <v>47.012710076782</v>
      </c>
      <c r="P9">
        <f>ABS(R9-O9)</f>
        <v>9.6418627127615011</v>
      </c>
      <c r="Q9">
        <v>2.0109918769032502</v>
      </c>
      <c r="R9">
        <v>56.654572789543501</v>
      </c>
    </row>
    <row r="10" spans="1:21" x14ac:dyDescent="0.25">
      <c r="C10" t="s">
        <v>192</v>
      </c>
      <c r="D10" t="s">
        <v>193</v>
      </c>
      <c r="E10" t="s">
        <v>194</v>
      </c>
      <c r="G10" t="s">
        <v>203</v>
      </c>
      <c r="H10" t="s">
        <v>205</v>
      </c>
      <c r="I10">
        <v>244</v>
      </c>
      <c r="J10">
        <f t="shared" si="3"/>
        <v>0.32979312566637803</v>
      </c>
      <c r="K10">
        <f t="shared" si="4"/>
        <v>6.0704615361015006E-2</v>
      </c>
      <c r="L10" t="s">
        <v>195</v>
      </c>
      <c r="M10" t="s">
        <v>210</v>
      </c>
      <c r="N10">
        <v>4.0460922458559896</v>
      </c>
      <c r="O10">
        <v>32.979312566637802</v>
      </c>
      <c r="P10">
        <f>ABS(R10-O10)</f>
        <v>6.0704615361015009</v>
      </c>
      <c r="Q10">
        <v>4.0271383534429201</v>
      </c>
      <c r="R10">
        <v>26.908851030536301</v>
      </c>
    </row>
    <row r="11" spans="1:21" x14ac:dyDescent="0.25">
      <c r="C11" t="s">
        <v>192</v>
      </c>
      <c r="D11" t="s">
        <v>193</v>
      </c>
      <c r="E11" t="s">
        <v>194</v>
      </c>
      <c r="G11" t="s">
        <v>203</v>
      </c>
      <c r="H11" t="s">
        <v>205</v>
      </c>
      <c r="I11">
        <v>247</v>
      </c>
      <c r="J11">
        <f t="shared" si="3"/>
        <v>0.21392508955349801</v>
      </c>
      <c r="K11">
        <f t="shared" si="4"/>
        <v>0</v>
      </c>
      <c r="L11" t="s">
        <v>195</v>
      </c>
      <c r="M11" t="s">
        <v>210</v>
      </c>
      <c r="N11">
        <v>7.1474430270999996</v>
      </c>
      <c r="O11">
        <v>21.3925089553498</v>
      </c>
    </row>
    <row r="12" spans="1:21" x14ac:dyDescent="0.25">
      <c r="C12" t="s">
        <v>192</v>
      </c>
      <c r="D12" t="s">
        <v>193</v>
      </c>
      <c r="E12" t="s">
        <v>194</v>
      </c>
      <c r="G12" t="s">
        <v>202</v>
      </c>
      <c r="H12" t="s">
        <v>205</v>
      </c>
      <c r="I12">
        <v>240</v>
      </c>
      <c r="J12">
        <f t="shared" si="3"/>
        <v>0.25688315473770601</v>
      </c>
      <c r="K12">
        <f t="shared" si="4"/>
        <v>4.6437419938788978E-2</v>
      </c>
      <c r="L12" t="s">
        <v>195</v>
      </c>
      <c r="M12" t="s">
        <v>211</v>
      </c>
      <c r="N12">
        <v>-5.0364733947487701E-2</v>
      </c>
      <c r="O12">
        <v>25.688315473770601</v>
      </c>
      <c r="P12">
        <f>ABS(R12-O12)</f>
        <v>4.6437419938788977</v>
      </c>
      <c r="Q12">
        <v>-6.7707813974180894E-2</v>
      </c>
      <c r="R12">
        <v>30.332057467649499</v>
      </c>
    </row>
    <row r="13" spans="1:21" x14ac:dyDescent="0.25">
      <c r="C13" t="s">
        <v>192</v>
      </c>
      <c r="D13" t="s">
        <v>193</v>
      </c>
      <c r="E13" t="s">
        <v>194</v>
      </c>
      <c r="G13" t="s">
        <v>202</v>
      </c>
      <c r="H13" t="s">
        <v>205</v>
      </c>
      <c r="I13">
        <v>242</v>
      </c>
      <c r="J13">
        <f t="shared" si="3"/>
        <v>1.3415673971572999</v>
      </c>
      <c r="K13">
        <f t="shared" si="4"/>
        <v>0.16072225759191994</v>
      </c>
      <c r="L13" t="s">
        <v>195</v>
      </c>
      <c r="M13" t="s">
        <v>211</v>
      </c>
      <c r="N13">
        <v>1.96852012364902</v>
      </c>
      <c r="O13">
        <v>134.15673971573</v>
      </c>
      <c r="P13">
        <f t="shared" ref="P13:P19" si="5">ABS(R13-O13)</f>
        <v>16.072225759191994</v>
      </c>
      <c r="Q13">
        <v>1.9841450037969099</v>
      </c>
      <c r="R13">
        <v>118.084513956538</v>
      </c>
    </row>
    <row r="14" spans="1:21" x14ac:dyDescent="0.25">
      <c r="C14" t="s">
        <v>192</v>
      </c>
      <c r="D14" t="s">
        <v>193</v>
      </c>
      <c r="E14" t="s">
        <v>194</v>
      </c>
      <c r="G14" t="s">
        <v>202</v>
      </c>
      <c r="H14" t="s">
        <v>205</v>
      </c>
      <c r="I14">
        <v>244</v>
      </c>
      <c r="J14">
        <f t="shared" si="3"/>
        <v>0.49410519371936601</v>
      </c>
      <c r="K14">
        <f t="shared" si="4"/>
        <v>8.2105408494349982E-2</v>
      </c>
      <c r="L14" t="s">
        <v>195</v>
      </c>
      <c r="M14" t="s">
        <v>211</v>
      </c>
      <c r="N14">
        <v>3.9944388619994</v>
      </c>
      <c r="O14">
        <v>49.410519371936601</v>
      </c>
      <c r="P14">
        <f t="shared" si="5"/>
        <v>8.2105408494349987</v>
      </c>
      <c r="Q14">
        <v>4.06783821307212</v>
      </c>
      <c r="R14">
        <v>57.6210602213716</v>
      </c>
    </row>
    <row r="15" spans="1:21" x14ac:dyDescent="0.25">
      <c r="C15" t="s">
        <v>192</v>
      </c>
      <c r="D15" t="s">
        <v>193</v>
      </c>
      <c r="E15" t="s">
        <v>194</v>
      </c>
      <c r="G15" t="s">
        <v>202</v>
      </c>
      <c r="H15" t="s">
        <v>205</v>
      </c>
      <c r="I15">
        <v>247</v>
      </c>
      <c r="J15">
        <f t="shared" si="3"/>
        <v>0.15326649740352399</v>
      </c>
      <c r="K15">
        <f t="shared" si="4"/>
        <v>0</v>
      </c>
      <c r="L15" t="s">
        <v>195</v>
      </c>
      <c r="M15" t="s">
        <v>211</v>
      </c>
      <c r="N15">
        <v>7.0382836410496301</v>
      </c>
      <c r="O15">
        <v>15.3266497403524</v>
      </c>
    </row>
    <row r="16" spans="1:21" x14ac:dyDescent="0.25">
      <c r="C16" t="s">
        <v>192</v>
      </c>
      <c r="D16" t="s">
        <v>193</v>
      </c>
      <c r="E16" t="s">
        <v>194</v>
      </c>
      <c r="G16" t="s">
        <v>203</v>
      </c>
      <c r="H16" t="s">
        <v>206</v>
      </c>
      <c r="I16">
        <v>240</v>
      </c>
      <c r="J16">
        <f>O16/ 100 *1000</f>
        <v>6.39652189887176</v>
      </c>
      <c r="K16">
        <f>P16/ 100 *0.001/776.8*1000000</f>
        <v>0</v>
      </c>
      <c r="L16" t="s">
        <v>195</v>
      </c>
      <c r="M16" t="s">
        <v>212</v>
      </c>
      <c r="N16">
        <v>-3.8041731090121503E-2</v>
      </c>
      <c r="O16">
        <v>0.63965218988717598</v>
      </c>
    </row>
    <row r="17" spans="3:18" x14ac:dyDescent="0.25">
      <c r="C17" t="s">
        <v>192</v>
      </c>
      <c r="D17" t="s">
        <v>193</v>
      </c>
      <c r="E17" t="s">
        <v>194</v>
      </c>
      <c r="G17" t="s">
        <v>203</v>
      </c>
      <c r="H17" t="s">
        <v>206</v>
      </c>
      <c r="I17">
        <v>242</v>
      </c>
      <c r="J17">
        <f t="shared" ref="J17:J19" si="6">O17/ 100 *1000</f>
        <v>114.014971755736</v>
      </c>
      <c r="K17">
        <f t="shared" ref="K17:K19" si="7">P17/ 100 *0.001/776.8*1000000</f>
        <v>2.6741865933007456E-2</v>
      </c>
      <c r="L17" t="s">
        <v>195</v>
      </c>
      <c r="M17" t="s">
        <v>212</v>
      </c>
      <c r="N17">
        <v>1.9400211257902999</v>
      </c>
      <c r="O17">
        <v>11.401497175573599</v>
      </c>
      <c r="P17">
        <f t="shared" si="5"/>
        <v>2.0773081456760192</v>
      </c>
      <c r="Q17">
        <v>1.91033785955941</v>
      </c>
      <c r="R17">
        <v>9.32418902989758</v>
      </c>
    </row>
    <row r="18" spans="3:18" x14ac:dyDescent="0.25">
      <c r="C18" t="s">
        <v>192</v>
      </c>
      <c r="D18" t="s">
        <v>193</v>
      </c>
      <c r="E18" t="s">
        <v>194</v>
      </c>
      <c r="G18" t="s">
        <v>203</v>
      </c>
      <c r="H18" t="s">
        <v>206</v>
      </c>
      <c r="I18">
        <v>244</v>
      </c>
      <c r="J18">
        <f t="shared" si="6"/>
        <v>91.597752705784998</v>
      </c>
      <c r="K18">
        <f t="shared" si="7"/>
        <v>1.9351670404121651E-2</v>
      </c>
      <c r="L18" t="s">
        <v>195</v>
      </c>
      <c r="M18" t="s">
        <v>212</v>
      </c>
      <c r="N18">
        <v>3.9749322596941301</v>
      </c>
      <c r="O18">
        <v>9.1597752705784998</v>
      </c>
      <c r="P18">
        <f t="shared" si="5"/>
        <v>1.5032377569921698</v>
      </c>
      <c r="Q18">
        <v>3.8537880991381201</v>
      </c>
      <c r="R18">
        <v>7.6565375135863301</v>
      </c>
    </row>
    <row r="19" spans="3:18" x14ac:dyDescent="0.25">
      <c r="C19" t="s">
        <v>192</v>
      </c>
      <c r="D19" t="s">
        <v>193</v>
      </c>
      <c r="E19" t="s">
        <v>194</v>
      </c>
      <c r="G19" t="s">
        <v>203</v>
      </c>
      <c r="H19" t="s">
        <v>206</v>
      </c>
      <c r="I19">
        <v>247</v>
      </c>
      <c r="J19">
        <f t="shared" si="6"/>
        <v>70.512376957580003</v>
      </c>
      <c r="K19">
        <f t="shared" si="7"/>
        <v>1.1982758638358132E-2</v>
      </c>
      <c r="L19" t="s">
        <v>195</v>
      </c>
      <c r="M19" t="s">
        <v>212</v>
      </c>
      <c r="N19">
        <v>6.9966244661145298</v>
      </c>
      <c r="O19">
        <v>7.0512376957580001</v>
      </c>
      <c r="P19">
        <f t="shared" si="5"/>
        <v>0.93082069102765974</v>
      </c>
      <c r="Q19">
        <v>6.9455628186090603</v>
      </c>
      <c r="R19">
        <v>6.1204170047303403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9376D-A860-4A4D-BF5A-D8E7A15DD1E3}">
  <dimension ref="A1:M33"/>
  <sheetViews>
    <sheetView workbookViewId="0">
      <selection activeCell="J1" sqref="J1"/>
    </sheetView>
  </sheetViews>
  <sheetFormatPr defaultRowHeight="15" x14ac:dyDescent="0.25"/>
  <cols>
    <col min="7" max="7" width="12.42578125" bestFit="1" customWidth="1"/>
    <col min="10" max="10" width="27.5703125" bestFit="1" customWidth="1"/>
  </cols>
  <sheetData>
    <row r="1" spans="1:13" x14ac:dyDescent="0.25">
      <c r="A1" s="22" t="s">
        <v>174</v>
      </c>
      <c r="B1" s="22" t="s">
        <v>175</v>
      </c>
      <c r="C1" s="22" t="s">
        <v>176</v>
      </c>
      <c r="D1" s="22" t="s">
        <v>177</v>
      </c>
      <c r="E1" s="22" t="s">
        <v>178</v>
      </c>
      <c r="F1" s="22" t="s">
        <v>179</v>
      </c>
      <c r="G1" s="22" t="s">
        <v>180</v>
      </c>
      <c r="H1" s="22" t="s">
        <v>181</v>
      </c>
      <c r="I1" s="22" t="s">
        <v>14</v>
      </c>
      <c r="J1" s="23" t="s">
        <v>222</v>
      </c>
      <c r="K1" s="22" t="s">
        <v>221</v>
      </c>
      <c r="L1" s="22" t="s">
        <v>182</v>
      </c>
      <c r="M1" t="s">
        <v>183</v>
      </c>
    </row>
    <row r="2" spans="1:13" x14ac:dyDescent="0.25">
      <c r="C2" t="s">
        <v>217</v>
      </c>
      <c r="D2" t="s">
        <v>193</v>
      </c>
      <c r="E2" t="s">
        <v>218</v>
      </c>
      <c r="G2" t="s">
        <v>220</v>
      </c>
      <c r="H2" t="s">
        <v>219</v>
      </c>
      <c r="I2">
        <v>0.500291055964044</v>
      </c>
      <c r="J2">
        <v>29.232051277882</v>
      </c>
      <c r="L2" t="s">
        <v>195</v>
      </c>
      <c r="M2" t="s">
        <v>195</v>
      </c>
    </row>
    <row r="3" spans="1:13" x14ac:dyDescent="0.25">
      <c r="C3" t="s">
        <v>217</v>
      </c>
      <c r="D3" t="s">
        <v>193</v>
      </c>
      <c r="E3" t="s">
        <v>218</v>
      </c>
      <c r="G3" t="s">
        <v>220</v>
      </c>
      <c r="H3" t="s">
        <v>219</v>
      </c>
      <c r="I3">
        <v>4.9592033847044403</v>
      </c>
      <c r="J3">
        <v>25.008943060347701</v>
      </c>
      <c r="L3" t="s">
        <v>195</v>
      </c>
      <c r="M3" t="s">
        <v>195</v>
      </c>
    </row>
    <row r="4" spans="1:13" x14ac:dyDescent="0.25">
      <c r="C4" t="s">
        <v>217</v>
      </c>
      <c r="D4" t="s">
        <v>193</v>
      </c>
      <c r="E4" t="s">
        <v>218</v>
      </c>
      <c r="G4" t="s">
        <v>220</v>
      </c>
      <c r="H4" t="s">
        <v>219</v>
      </c>
      <c r="I4">
        <v>9.3915792143765398</v>
      </c>
      <c r="J4">
        <v>22.4178295355137</v>
      </c>
      <c r="L4" t="s">
        <v>195</v>
      </c>
      <c r="M4" t="s">
        <v>195</v>
      </c>
    </row>
    <row r="5" spans="1:13" x14ac:dyDescent="0.25">
      <c r="C5" t="s">
        <v>217</v>
      </c>
      <c r="D5" t="s">
        <v>193</v>
      </c>
      <c r="E5" t="s">
        <v>218</v>
      </c>
      <c r="G5" t="s">
        <v>220</v>
      </c>
      <c r="H5" t="s">
        <v>219</v>
      </c>
      <c r="I5">
        <v>15.7720462697682</v>
      </c>
      <c r="J5">
        <v>20.019105628924699</v>
      </c>
      <c r="L5" t="s">
        <v>195</v>
      </c>
      <c r="M5" t="s">
        <v>195</v>
      </c>
    </row>
    <row r="6" spans="1:13" x14ac:dyDescent="0.25">
      <c r="C6" t="s">
        <v>217</v>
      </c>
      <c r="D6" t="s">
        <v>193</v>
      </c>
      <c r="E6" t="s">
        <v>218</v>
      </c>
      <c r="G6" t="s">
        <v>220</v>
      </c>
      <c r="H6" t="s">
        <v>219</v>
      </c>
      <c r="I6">
        <v>20.674274230002499</v>
      </c>
      <c r="J6">
        <v>18.532086074516801</v>
      </c>
      <c r="L6" t="s">
        <v>195</v>
      </c>
      <c r="M6" t="s">
        <v>195</v>
      </c>
    </row>
    <row r="7" spans="1:13" x14ac:dyDescent="0.25">
      <c r="C7" t="s">
        <v>217</v>
      </c>
      <c r="D7" t="s">
        <v>193</v>
      </c>
      <c r="E7" t="s">
        <v>218</v>
      </c>
      <c r="G7" t="s">
        <v>220</v>
      </c>
      <c r="H7" t="s">
        <v>219</v>
      </c>
      <c r="I7">
        <v>29.4882943470102</v>
      </c>
      <c r="J7">
        <v>16.469848878540201</v>
      </c>
      <c r="L7" t="s">
        <v>195</v>
      </c>
      <c r="M7" t="s">
        <v>195</v>
      </c>
    </row>
    <row r="8" spans="1:13" x14ac:dyDescent="0.25">
      <c r="C8" t="s">
        <v>217</v>
      </c>
      <c r="D8" t="s">
        <v>193</v>
      </c>
      <c r="E8" t="s">
        <v>218</v>
      </c>
      <c r="G8" t="s">
        <v>220</v>
      </c>
      <c r="H8" t="s">
        <v>219</v>
      </c>
      <c r="I8">
        <v>44.8978052103895</v>
      </c>
      <c r="J8">
        <v>13.7849307807129</v>
      </c>
      <c r="L8" t="s">
        <v>195</v>
      </c>
      <c r="M8" t="s">
        <v>195</v>
      </c>
    </row>
    <row r="9" spans="1:13" x14ac:dyDescent="0.25">
      <c r="C9" t="s">
        <v>217</v>
      </c>
      <c r="D9" t="s">
        <v>193</v>
      </c>
      <c r="E9" t="s">
        <v>218</v>
      </c>
      <c r="G9" t="s">
        <v>220</v>
      </c>
      <c r="H9" t="s">
        <v>219</v>
      </c>
      <c r="I9">
        <v>75.682485585412707</v>
      </c>
      <c r="J9">
        <v>10.5270877167879</v>
      </c>
      <c r="L9" t="s">
        <v>195</v>
      </c>
      <c r="M9" t="s">
        <v>195</v>
      </c>
    </row>
    <row r="10" spans="1:13" x14ac:dyDescent="0.25">
      <c r="C10" t="s">
        <v>217</v>
      </c>
      <c r="D10" t="s">
        <v>193</v>
      </c>
      <c r="E10" t="s">
        <v>218</v>
      </c>
      <c r="G10" t="s">
        <v>220</v>
      </c>
      <c r="H10" t="s">
        <v>219</v>
      </c>
      <c r="I10">
        <v>89.120490665071003</v>
      </c>
      <c r="J10">
        <v>9.0897753178038307</v>
      </c>
      <c r="L10" t="s">
        <v>195</v>
      </c>
      <c r="M10" t="s">
        <v>195</v>
      </c>
    </row>
    <row r="11" spans="1:13" x14ac:dyDescent="0.25">
      <c r="C11" t="s">
        <v>217</v>
      </c>
      <c r="D11" t="s">
        <v>193</v>
      </c>
      <c r="E11" t="s">
        <v>218</v>
      </c>
      <c r="G11" t="s">
        <v>220</v>
      </c>
      <c r="H11" t="s">
        <v>219</v>
      </c>
      <c r="I11">
        <v>104.2626853246</v>
      </c>
      <c r="J11">
        <v>7.8448037567357396</v>
      </c>
      <c r="L11" t="s">
        <v>195</v>
      </c>
      <c r="M11" t="s">
        <v>195</v>
      </c>
    </row>
    <row r="12" spans="1:13" x14ac:dyDescent="0.25">
      <c r="C12" t="s">
        <v>217</v>
      </c>
      <c r="D12" t="s">
        <v>193</v>
      </c>
      <c r="E12" t="s">
        <v>218</v>
      </c>
      <c r="G12" t="s">
        <v>220</v>
      </c>
      <c r="H12" t="s">
        <v>219</v>
      </c>
      <c r="I12">
        <v>119.888000364226</v>
      </c>
      <c r="J12">
        <v>6.8879288197436699</v>
      </c>
      <c r="L12" t="s">
        <v>195</v>
      </c>
      <c r="M12" t="s">
        <v>195</v>
      </c>
    </row>
    <row r="13" spans="1:13" x14ac:dyDescent="0.25">
      <c r="C13" t="s">
        <v>217</v>
      </c>
      <c r="D13" t="s">
        <v>193</v>
      </c>
      <c r="E13" t="s">
        <v>218</v>
      </c>
      <c r="G13" t="s">
        <v>220</v>
      </c>
      <c r="H13" t="s">
        <v>219</v>
      </c>
      <c r="I13">
        <v>148.69180913232799</v>
      </c>
      <c r="J13">
        <v>5.4536895814972901</v>
      </c>
      <c r="L13" t="s">
        <v>195</v>
      </c>
      <c r="M13" t="s">
        <v>195</v>
      </c>
    </row>
    <row r="14" spans="1:13" x14ac:dyDescent="0.25">
      <c r="C14" t="s">
        <v>217</v>
      </c>
      <c r="D14" t="s">
        <v>193</v>
      </c>
      <c r="E14" t="s">
        <v>218</v>
      </c>
      <c r="G14" t="s">
        <v>220</v>
      </c>
      <c r="H14" t="s">
        <v>219</v>
      </c>
      <c r="I14">
        <v>178.22420089690701</v>
      </c>
      <c r="J14">
        <v>4.2115960598501996</v>
      </c>
      <c r="L14" t="s">
        <v>195</v>
      </c>
      <c r="M14" t="s">
        <v>195</v>
      </c>
    </row>
    <row r="15" spans="1:13" x14ac:dyDescent="0.25">
      <c r="C15" t="s">
        <v>217</v>
      </c>
      <c r="D15" t="s">
        <v>193</v>
      </c>
      <c r="E15" t="s">
        <v>218</v>
      </c>
      <c r="G15" t="s">
        <v>220</v>
      </c>
      <c r="H15" t="s">
        <v>219</v>
      </c>
      <c r="I15">
        <v>209.21375865444301</v>
      </c>
      <c r="J15">
        <v>3.3537939714017102</v>
      </c>
      <c r="L15" t="s">
        <v>195</v>
      </c>
      <c r="M15" t="s">
        <v>195</v>
      </c>
    </row>
    <row r="16" spans="1:13" x14ac:dyDescent="0.25">
      <c r="C16" t="s">
        <v>217</v>
      </c>
      <c r="D16" t="s">
        <v>193</v>
      </c>
      <c r="E16" t="s">
        <v>218</v>
      </c>
      <c r="G16" t="s">
        <v>220</v>
      </c>
      <c r="H16" t="s">
        <v>219</v>
      </c>
      <c r="I16">
        <v>238.73288216948799</v>
      </c>
      <c r="J16">
        <v>2.9276977961047201</v>
      </c>
      <c r="L16" t="s">
        <v>195</v>
      </c>
      <c r="M16" t="s">
        <v>195</v>
      </c>
    </row>
    <row r="17" spans="3:13" x14ac:dyDescent="0.25">
      <c r="C17" t="s">
        <v>217</v>
      </c>
      <c r="D17" t="s">
        <v>193</v>
      </c>
      <c r="E17" t="s">
        <v>218</v>
      </c>
      <c r="G17" t="s">
        <v>220</v>
      </c>
      <c r="H17" t="s">
        <v>219</v>
      </c>
      <c r="I17">
        <v>269.47541634010901</v>
      </c>
      <c r="J17">
        <v>2.26184630293884</v>
      </c>
      <c r="L17" t="s">
        <v>195</v>
      </c>
      <c r="M17" t="s">
        <v>195</v>
      </c>
    </row>
    <row r="18" spans="3:13" x14ac:dyDescent="0.25">
      <c r="C18" t="s">
        <v>217</v>
      </c>
      <c r="D18" t="s">
        <v>193</v>
      </c>
      <c r="E18" t="s">
        <v>218</v>
      </c>
      <c r="G18" t="s">
        <v>220</v>
      </c>
      <c r="H18" t="s">
        <v>219</v>
      </c>
      <c r="I18">
        <v>0.24390164584830701</v>
      </c>
      <c r="J18">
        <v>0</v>
      </c>
      <c r="L18" t="s">
        <v>223</v>
      </c>
      <c r="M18" t="s">
        <v>223</v>
      </c>
    </row>
    <row r="19" spans="3:13" x14ac:dyDescent="0.25">
      <c r="C19" t="s">
        <v>217</v>
      </c>
      <c r="D19" t="s">
        <v>193</v>
      </c>
      <c r="E19" t="s">
        <v>218</v>
      </c>
      <c r="G19" t="s">
        <v>220</v>
      </c>
      <c r="H19" t="s">
        <v>219</v>
      </c>
      <c r="I19">
        <v>11.336158256395899</v>
      </c>
      <c r="J19">
        <v>7.8262184513220996</v>
      </c>
      <c r="L19" t="s">
        <v>223</v>
      </c>
      <c r="M19" t="s">
        <v>223</v>
      </c>
    </row>
    <row r="20" spans="3:13" x14ac:dyDescent="0.25">
      <c r="C20" t="s">
        <v>217</v>
      </c>
      <c r="D20" t="s">
        <v>193</v>
      </c>
      <c r="E20" t="s">
        <v>218</v>
      </c>
      <c r="G20" t="s">
        <v>220</v>
      </c>
      <c r="H20" t="s">
        <v>219</v>
      </c>
      <c r="I20">
        <v>20.318372948380599</v>
      </c>
      <c r="J20">
        <v>10.4200148942605</v>
      </c>
      <c r="L20" t="s">
        <v>223</v>
      </c>
      <c r="M20" t="s">
        <v>223</v>
      </c>
    </row>
    <row r="21" spans="3:13" x14ac:dyDescent="0.25">
      <c r="C21" t="s">
        <v>217</v>
      </c>
      <c r="D21" t="s">
        <v>193</v>
      </c>
      <c r="E21" t="s">
        <v>218</v>
      </c>
      <c r="G21" t="s">
        <v>220</v>
      </c>
      <c r="H21" t="s">
        <v>219</v>
      </c>
      <c r="I21">
        <v>29.325563168900199</v>
      </c>
      <c r="J21">
        <v>11.477816332304601</v>
      </c>
      <c r="L21" t="s">
        <v>223</v>
      </c>
      <c r="M21" t="s">
        <v>223</v>
      </c>
    </row>
    <row r="22" spans="3:13" x14ac:dyDescent="0.25">
      <c r="C22" t="s">
        <v>217</v>
      </c>
      <c r="D22" t="s">
        <v>193</v>
      </c>
      <c r="E22" t="s">
        <v>218</v>
      </c>
      <c r="G22" t="s">
        <v>220</v>
      </c>
      <c r="H22" t="s">
        <v>219</v>
      </c>
      <c r="I22">
        <v>39.808651028777099</v>
      </c>
      <c r="J22">
        <v>11.7679129498765</v>
      </c>
      <c r="L22" t="s">
        <v>223</v>
      </c>
      <c r="M22" t="s">
        <v>223</v>
      </c>
    </row>
    <row r="23" spans="3:13" x14ac:dyDescent="0.25">
      <c r="C23" t="s">
        <v>217</v>
      </c>
      <c r="D23" t="s">
        <v>193</v>
      </c>
      <c r="E23" t="s">
        <v>218</v>
      </c>
      <c r="G23" t="s">
        <v>220</v>
      </c>
      <c r="H23" t="s">
        <v>219</v>
      </c>
      <c r="I23">
        <v>49.087840364746697</v>
      </c>
      <c r="J23">
        <v>11.0977687877437</v>
      </c>
      <c r="L23" t="s">
        <v>223</v>
      </c>
      <c r="M23" t="s">
        <v>223</v>
      </c>
    </row>
    <row r="24" spans="3:13" x14ac:dyDescent="0.25">
      <c r="C24" t="s">
        <v>217</v>
      </c>
      <c r="D24" t="s">
        <v>193</v>
      </c>
      <c r="E24" t="s">
        <v>218</v>
      </c>
      <c r="G24" t="s">
        <v>220</v>
      </c>
      <c r="H24" t="s">
        <v>219</v>
      </c>
      <c r="I24">
        <v>58.364688244916202</v>
      </c>
      <c r="J24">
        <v>10.5716241573198</v>
      </c>
      <c r="L24" t="s">
        <v>223</v>
      </c>
      <c r="M24" t="s">
        <v>223</v>
      </c>
    </row>
    <row r="25" spans="3:13" x14ac:dyDescent="0.25">
      <c r="C25" t="s">
        <v>217</v>
      </c>
      <c r="D25" t="s">
        <v>193</v>
      </c>
      <c r="E25" t="s">
        <v>218</v>
      </c>
      <c r="G25" t="s">
        <v>220</v>
      </c>
      <c r="H25" t="s">
        <v>219</v>
      </c>
      <c r="I25">
        <v>70.573819272132397</v>
      </c>
      <c r="J25">
        <v>9.7100659835252507</v>
      </c>
      <c r="L25" t="s">
        <v>223</v>
      </c>
      <c r="M25" t="s">
        <v>223</v>
      </c>
    </row>
    <row r="26" spans="3:13" x14ac:dyDescent="0.25">
      <c r="C26" t="s">
        <v>217</v>
      </c>
      <c r="D26" t="s">
        <v>193</v>
      </c>
      <c r="E26" t="s">
        <v>218</v>
      </c>
      <c r="G26" t="s">
        <v>220</v>
      </c>
      <c r="H26" t="s">
        <v>219</v>
      </c>
      <c r="I26">
        <v>89.619220750501597</v>
      </c>
      <c r="J26">
        <v>8.4178750638209205</v>
      </c>
      <c r="L26" t="s">
        <v>223</v>
      </c>
      <c r="M26" t="s">
        <v>223</v>
      </c>
    </row>
    <row r="27" spans="3:13" x14ac:dyDescent="0.25">
      <c r="C27" t="s">
        <v>217</v>
      </c>
      <c r="D27" t="s">
        <v>193</v>
      </c>
      <c r="E27" t="s">
        <v>218</v>
      </c>
      <c r="G27" t="s">
        <v>220</v>
      </c>
      <c r="H27" t="s">
        <v>219</v>
      </c>
      <c r="I27">
        <v>99.631675994549596</v>
      </c>
      <c r="J27">
        <v>7.6518775548697304</v>
      </c>
      <c r="L27" t="s">
        <v>223</v>
      </c>
      <c r="M27" t="s">
        <v>223</v>
      </c>
    </row>
    <row r="28" spans="3:13" x14ac:dyDescent="0.25">
      <c r="C28" t="s">
        <v>217</v>
      </c>
      <c r="D28" t="s">
        <v>193</v>
      </c>
      <c r="E28" t="s">
        <v>218</v>
      </c>
      <c r="G28" t="s">
        <v>220</v>
      </c>
      <c r="H28" t="s">
        <v>219</v>
      </c>
      <c r="I28">
        <v>119.405660469396</v>
      </c>
      <c r="J28">
        <v>6.5518323517647001</v>
      </c>
      <c r="L28" t="s">
        <v>223</v>
      </c>
      <c r="M28" t="s">
        <v>223</v>
      </c>
    </row>
    <row r="29" spans="3:13" x14ac:dyDescent="0.25">
      <c r="C29" t="s">
        <v>217</v>
      </c>
      <c r="D29" t="s">
        <v>193</v>
      </c>
      <c r="E29" t="s">
        <v>218</v>
      </c>
      <c r="G29" t="s">
        <v>220</v>
      </c>
      <c r="H29" t="s">
        <v>219</v>
      </c>
      <c r="I29">
        <v>149.18741727669101</v>
      </c>
      <c r="J29">
        <v>4.9737887031261598</v>
      </c>
      <c r="L29" t="s">
        <v>223</v>
      </c>
      <c r="M29" t="s">
        <v>223</v>
      </c>
    </row>
    <row r="30" spans="3:13" x14ac:dyDescent="0.25">
      <c r="C30" t="s">
        <v>217</v>
      </c>
      <c r="D30" t="s">
        <v>193</v>
      </c>
      <c r="E30" t="s">
        <v>218</v>
      </c>
      <c r="G30" t="s">
        <v>220</v>
      </c>
      <c r="H30" t="s">
        <v>219</v>
      </c>
      <c r="I30">
        <v>179.69463513939701</v>
      </c>
      <c r="J30">
        <v>3.7798901466986998</v>
      </c>
      <c r="L30" t="s">
        <v>223</v>
      </c>
      <c r="M30" t="s">
        <v>223</v>
      </c>
    </row>
    <row r="31" spans="3:13" x14ac:dyDescent="0.25">
      <c r="C31" t="s">
        <v>217</v>
      </c>
      <c r="D31" t="s">
        <v>193</v>
      </c>
      <c r="E31" t="s">
        <v>218</v>
      </c>
      <c r="G31" t="s">
        <v>220</v>
      </c>
      <c r="H31" t="s">
        <v>219</v>
      </c>
      <c r="I31">
        <v>208.48673662849799</v>
      </c>
      <c r="J31">
        <v>3.0656485669965199</v>
      </c>
      <c r="L31" t="s">
        <v>223</v>
      </c>
      <c r="M31" t="s">
        <v>223</v>
      </c>
    </row>
    <row r="32" spans="3:13" x14ac:dyDescent="0.25">
      <c r="C32" t="s">
        <v>217</v>
      </c>
      <c r="D32" t="s">
        <v>193</v>
      </c>
      <c r="E32" t="s">
        <v>218</v>
      </c>
      <c r="G32" t="s">
        <v>220</v>
      </c>
      <c r="H32" t="s">
        <v>219</v>
      </c>
      <c r="I32">
        <v>238.256786156793</v>
      </c>
      <c r="J32">
        <v>2.2076025769021799</v>
      </c>
      <c r="L32" t="s">
        <v>223</v>
      </c>
      <c r="M32" t="s">
        <v>223</v>
      </c>
    </row>
    <row r="33" spans="3:13" x14ac:dyDescent="0.25">
      <c r="C33" t="s">
        <v>217</v>
      </c>
      <c r="D33" t="s">
        <v>193</v>
      </c>
      <c r="E33" t="s">
        <v>218</v>
      </c>
      <c r="G33" t="s">
        <v>220</v>
      </c>
      <c r="H33" t="s">
        <v>219</v>
      </c>
      <c r="I33">
        <v>269.72556186809101</v>
      </c>
      <c r="J33">
        <v>1.87789633204444</v>
      </c>
      <c r="L33" t="s">
        <v>223</v>
      </c>
      <c r="M33" t="s">
        <v>223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744C3-D976-4898-BBFC-65AD17FAF240}">
  <dimension ref="A1:V37"/>
  <sheetViews>
    <sheetView workbookViewId="0">
      <selection activeCell="M1" sqref="M1"/>
    </sheetView>
  </sheetViews>
  <sheetFormatPr defaultRowHeight="15" x14ac:dyDescent="0.25"/>
  <cols>
    <col min="7" max="7" width="28.7109375" bestFit="1" customWidth="1"/>
    <col min="10" max="10" width="27.5703125" bestFit="1" customWidth="1"/>
    <col min="11" max="11" width="12.42578125" bestFit="1" customWidth="1"/>
  </cols>
  <sheetData>
    <row r="1" spans="1:22" x14ac:dyDescent="0.25">
      <c r="A1" s="22" t="s">
        <v>174</v>
      </c>
      <c r="B1" s="22" t="s">
        <v>175</v>
      </c>
      <c r="C1" s="22" t="s">
        <v>176</v>
      </c>
      <c r="D1" s="22" t="s">
        <v>177</v>
      </c>
      <c r="E1" s="22" t="s">
        <v>178</v>
      </c>
      <c r="F1" s="22" t="s">
        <v>179</v>
      </c>
      <c r="G1" s="22" t="s">
        <v>180</v>
      </c>
      <c r="H1" s="22" t="s">
        <v>181</v>
      </c>
      <c r="I1" s="22" t="s">
        <v>0</v>
      </c>
      <c r="J1" s="23" t="s">
        <v>199</v>
      </c>
      <c r="K1" s="22" t="s">
        <v>200</v>
      </c>
      <c r="L1" s="22" t="s">
        <v>182</v>
      </c>
      <c r="M1" t="s">
        <v>183</v>
      </c>
      <c r="U1" t="s">
        <v>245</v>
      </c>
    </row>
    <row r="2" spans="1:22" x14ac:dyDescent="0.25">
      <c r="C2" t="s">
        <v>192</v>
      </c>
      <c r="D2" t="s">
        <v>193</v>
      </c>
      <c r="E2" t="s">
        <v>194</v>
      </c>
      <c r="G2" t="s">
        <v>237</v>
      </c>
      <c r="H2" t="s">
        <v>196</v>
      </c>
      <c r="I2">
        <v>60</v>
      </c>
      <c r="J2">
        <f>R2/7*2.5</f>
        <v>2.5244629524529074</v>
      </c>
      <c r="L2" t="s">
        <v>223</v>
      </c>
      <c r="M2" t="s">
        <v>196</v>
      </c>
      <c r="R2">
        <v>7.0684962668681397</v>
      </c>
    </row>
    <row r="3" spans="1:22" x14ac:dyDescent="0.25">
      <c r="C3" t="s">
        <v>192</v>
      </c>
      <c r="D3" t="s">
        <v>193</v>
      </c>
      <c r="E3" t="s">
        <v>194</v>
      </c>
      <c r="G3" t="s">
        <v>237</v>
      </c>
      <c r="H3" t="s">
        <v>196</v>
      </c>
      <c r="I3">
        <v>72</v>
      </c>
      <c r="J3">
        <f t="shared" ref="J3:J7" si="0">R3/7*2.5</f>
        <v>3.8278383814467851</v>
      </c>
      <c r="L3" t="s">
        <v>223</v>
      </c>
      <c r="M3" t="s">
        <v>196</v>
      </c>
      <c r="R3">
        <v>10.717947468050999</v>
      </c>
    </row>
    <row r="4" spans="1:22" x14ac:dyDescent="0.25">
      <c r="C4" t="s">
        <v>192</v>
      </c>
      <c r="D4" t="s">
        <v>193</v>
      </c>
      <c r="E4" t="s">
        <v>194</v>
      </c>
      <c r="G4" t="s">
        <v>237</v>
      </c>
      <c r="H4" t="s">
        <v>196</v>
      </c>
      <c r="I4">
        <v>96</v>
      </c>
      <c r="J4">
        <f t="shared" si="0"/>
        <v>5.2389192777698215</v>
      </c>
      <c r="L4" t="s">
        <v>223</v>
      </c>
      <c r="M4" t="s">
        <v>196</v>
      </c>
      <c r="R4">
        <v>14.668973977755501</v>
      </c>
    </row>
    <row r="5" spans="1:22" x14ac:dyDescent="0.25">
      <c r="C5" t="s">
        <v>192</v>
      </c>
      <c r="D5" t="s">
        <v>193</v>
      </c>
      <c r="E5" t="s">
        <v>194</v>
      </c>
      <c r="G5" t="s">
        <v>237</v>
      </c>
      <c r="H5" t="s">
        <v>196</v>
      </c>
      <c r="I5">
        <v>120</v>
      </c>
      <c r="J5">
        <f t="shared" si="0"/>
        <v>6.3296692583294636</v>
      </c>
      <c r="L5" t="s">
        <v>223</v>
      </c>
      <c r="M5" t="s">
        <v>196</v>
      </c>
      <c r="R5">
        <v>17.723073923322499</v>
      </c>
    </row>
    <row r="6" spans="1:22" x14ac:dyDescent="0.25">
      <c r="C6" t="s">
        <v>192</v>
      </c>
      <c r="D6" t="s">
        <v>193</v>
      </c>
      <c r="E6" t="s">
        <v>194</v>
      </c>
      <c r="G6" t="s">
        <v>237</v>
      </c>
      <c r="H6" t="s">
        <v>196</v>
      </c>
      <c r="I6">
        <v>144</v>
      </c>
      <c r="J6">
        <f t="shared" si="0"/>
        <v>7.5258034676982142</v>
      </c>
      <c r="L6" t="s">
        <v>223</v>
      </c>
      <c r="M6" t="s">
        <v>196</v>
      </c>
      <c r="R6">
        <v>21.072249709554999</v>
      </c>
    </row>
    <row r="7" spans="1:22" x14ac:dyDescent="0.25">
      <c r="C7" t="s">
        <v>192</v>
      </c>
      <c r="D7" t="s">
        <v>193</v>
      </c>
      <c r="E7" t="s">
        <v>194</v>
      </c>
      <c r="G7" t="s">
        <v>237</v>
      </c>
      <c r="H7" t="s">
        <v>196</v>
      </c>
      <c r="I7">
        <v>168</v>
      </c>
      <c r="J7">
        <f t="shared" si="0"/>
        <v>8.8294110205441072</v>
      </c>
      <c r="L7" t="s">
        <v>223</v>
      </c>
      <c r="M7" t="s">
        <v>196</v>
      </c>
      <c r="R7">
        <v>24.722350857523502</v>
      </c>
    </row>
    <row r="8" spans="1:22" x14ac:dyDescent="0.25">
      <c r="C8" t="s">
        <v>192</v>
      </c>
      <c r="D8" t="s">
        <v>193</v>
      </c>
      <c r="E8" t="s">
        <v>194</v>
      </c>
      <c r="G8" t="s">
        <v>237</v>
      </c>
      <c r="H8" t="s">
        <v>205</v>
      </c>
      <c r="I8">
        <v>60</v>
      </c>
      <c r="J8">
        <f>R8/0.7*0.4</f>
        <v>0.35763214978878977</v>
      </c>
      <c r="L8" t="s">
        <v>223</v>
      </c>
      <c r="M8" t="s">
        <v>205</v>
      </c>
      <c r="R8">
        <v>0.62585626213038204</v>
      </c>
    </row>
    <row r="9" spans="1:22" x14ac:dyDescent="0.25">
      <c r="C9" t="s">
        <v>192</v>
      </c>
      <c r="D9" t="s">
        <v>193</v>
      </c>
      <c r="E9" t="s">
        <v>194</v>
      </c>
      <c r="G9" t="s">
        <v>237</v>
      </c>
      <c r="H9" t="s">
        <v>205</v>
      </c>
      <c r="I9">
        <v>72</v>
      </c>
      <c r="J9">
        <f t="shared" ref="J9:J13" si="1">R9/0.7*0.4</f>
        <v>0.35057818080994346</v>
      </c>
      <c r="L9" t="s">
        <v>223</v>
      </c>
      <c r="M9" t="s">
        <v>205</v>
      </c>
      <c r="R9">
        <v>0.61351181641740093</v>
      </c>
    </row>
    <row r="10" spans="1:22" x14ac:dyDescent="0.25">
      <c r="C10" t="s">
        <v>192</v>
      </c>
      <c r="D10" t="s">
        <v>193</v>
      </c>
      <c r="E10" t="s">
        <v>194</v>
      </c>
      <c r="G10" t="s">
        <v>237</v>
      </c>
      <c r="H10" t="s">
        <v>205</v>
      </c>
      <c r="I10">
        <v>96</v>
      </c>
      <c r="J10">
        <f t="shared" si="1"/>
        <v>0.30325659205342231</v>
      </c>
      <c r="L10" t="s">
        <v>223</v>
      </c>
      <c r="M10" t="s">
        <v>205</v>
      </c>
      <c r="R10">
        <v>0.53069903609348901</v>
      </c>
    </row>
    <row r="11" spans="1:22" x14ac:dyDescent="0.25">
      <c r="C11" t="s">
        <v>192</v>
      </c>
      <c r="D11" t="s">
        <v>193</v>
      </c>
      <c r="E11" t="s">
        <v>194</v>
      </c>
      <c r="G11" t="s">
        <v>237</v>
      </c>
      <c r="H11" t="s">
        <v>205</v>
      </c>
      <c r="I11">
        <v>120</v>
      </c>
      <c r="J11">
        <f t="shared" si="1"/>
        <v>0.29621427289947944</v>
      </c>
      <c r="L11" t="s">
        <v>223</v>
      </c>
      <c r="M11" t="s">
        <v>205</v>
      </c>
      <c r="R11">
        <v>0.51837497757408901</v>
      </c>
    </row>
    <row r="12" spans="1:22" x14ac:dyDescent="0.25">
      <c r="C12" t="s">
        <v>192</v>
      </c>
      <c r="D12" t="s">
        <v>193</v>
      </c>
      <c r="E12" t="s">
        <v>194</v>
      </c>
      <c r="G12" t="s">
        <v>237</v>
      </c>
      <c r="H12" t="s">
        <v>205</v>
      </c>
      <c r="I12">
        <v>144</v>
      </c>
      <c r="J12">
        <f t="shared" si="1"/>
        <v>0.26235405681852692</v>
      </c>
      <c r="L12" t="s">
        <v>223</v>
      </c>
      <c r="M12" t="s">
        <v>205</v>
      </c>
      <c r="R12">
        <v>0.45911959943242203</v>
      </c>
    </row>
    <row r="13" spans="1:22" x14ac:dyDescent="0.25">
      <c r="C13" t="s">
        <v>192</v>
      </c>
      <c r="D13" t="s">
        <v>193</v>
      </c>
      <c r="E13" t="s">
        <v>194</v>
      </c>
      <c r="G13" t="s">
        <v>237</v>
      </c>
      <c r="H13" t="s">
        <v>205</v>
      </c>
      <c r="I13">
        <v>168</v>
      </c>
      <c r="J13">
        <f t="shared" si="1"/>
        <v>0.24724423391916517</v>
      </c>
      <c r="L13" t="s">
        <v>223</v>
      </c>
      <c r="M13" t="s">
        <v>205</v>
      </c>
      <c r="R13">
        <v>0.43267740935853899</v>
      </c>
    </row>
    <row r="14" spans="1:22" x14ac:dyDescent="0.25">
      <c r="C14" t="s">
        <v>192</v>
      </c>
      <c r="D14" t="s">
        <v>193</v>
      </c>
      <c r="E14" t="s">
        <v>194</v>
      </c>
      <c r="G14" t="s">
        <v>237</v>
      </c>
      <c r="H14" t="s">
        <v>206</v>
      </c>
      <c r="I14">
        <v>60</v>
      </c>
      <c r="J14">
        <f>R14/V14*28</f>
        <v>32.272810385330921</v>
      </c>
      <c r="L14" t="s">
        <v>223</v>
      </c>
      <c r="M14" t="s">
        <v>206</v>
      </c>
      <c r="R14">
        <v>57.689418142304504</v>
      </c>
      <c r="T14">
        <v>3.6103415110319899E-2</v>
      </c>
      <c r="U14">
        <v>5.0051535292344296</v>
      </c>
      <c r="V14">
        <f>U14*10</f>
        <v>50.051535292344298</v>
      </c>
    </row>
    <row r="15" spans="1:22" x14ac:dyDescent="0.25">
      <c r="C15" t="s">
        <v>192</v>
      </c>
      <c r="D15" t="s">
        <v>193</v>
      </c>
      <c r="E15" t="s">
        <v>194</v>
      </c>
      <c r="G15" t="s">
        <v>237</v>
      </c>
      <c r="H15" t="s">
        <v>206</v>
      </c>
      <c r="I15">
        <v>72</v>
      </c>
      <c r="J15">
        <f t="shared" ref="J15:J19" si="2">R15/V15*28</f>
        <v>29.357923237330745</v>
      </c>
      <c r="L15" t="s">
        <v>223</v>
      </c>
      <c r="M15" t="s">
        <v>206</v>
      </c>
      <c r="R15">
        <v>53.302511466629994</v>
      </c>
      <c r="T15">
        <v>0.21054104879344199</v>
      </c>
      <c r="U15">
        <v>5.08370537316432</v>
      </c>
      <c r="V15">
        <f t="shared" ref="V15:V19" si="3">U15*10</f>
        <v>50.837053731643202</v>
      </c>
    </row>
    <row r="16" spans="1:22" x14ac:dyDescent="0.25">
      <c r="C16" t="s">
        <v>192</v>
      </c>
      <c r="D16" t="s">
        <v>193</v>
      </c>
      <c r="E16" t="s">
        <v>194</v>
      </c>
      <c r="G16" t="s">
        <v>237</v>
      </c>
      <c r="H16" t="s">
        <v>206</v>
      </c>
      <c r="I16">
        <v>96</v>
      </c>
      <c r="J16">
        <f t="shared" si="2"/>
        <v>24.933506755905761</v>
      </c>
      <c r="L16" t="s">
        <v>223</v>
      </c>
      <c r="M16" t="s">
        <v>206</v>
      </c>
      <c r="R16">
        <v>48.611510176506997</v>
      </c>
      <c r="T16">
        <v>0.377298631946139</v>
      </c>
      <c r="U16">
        <v>5.4590086274960097</v>
      </c>
      <c r="V16">
        <f t="shared" si="3"/>
        <v>54.5900862749601</v>
      </c>
    </row>
    <row r="17" spans="3:22" x14ac:dyDescent="0.25">
      <c r="C17" t="s">
        <v>192</v>
      </c>
      <c r="D17" t="s">
        <v>193</v>
      </c>
      <c r="E17" t="s">
        <v>194</v>
      </c>
      <c r="G17" t="s">
        <v>237</v>
      </c>
      <c r="H17" t="s">
        <v>206</v>
      </c>
      <c r="I17">
        <v>120</v>
      </c>
      <c r="J17">
        <f t="shared" si="2"/>
        <v>22.026510025231818</v>
      </c>
      <c r="L17" t="s">
        <v>223</v>
      </c>
      <c r="M17" t="s">
        <v>206</v>
      </c>
      <c r="R17">
        <v>34.0091081871944</v>
      </c>
      <c r="T17">
        <v>0.54369015661560904</v>
      </c>
      <c r="U17">
        <v>4.3232224630711604</v>
      </c>
      <c r="V17">
        <f t="shared" si="3"/>
        <v>43.232224630711606</v>
      </c>
    </row>
    <row r="18" spans="3:22" x14ac:dyDescent="0.25">
      <c r="C18" t="s">
        <v>192</v>
      </c>
      <c r="D18" t="s">
        <v>193</v>
      </c>
      <c r="E18" t="s">
        <v>194</v>
      </c>
      <c r="G18" t="s">
        <v>237</v>
      </c>
      <c r="H18" t="s">
        <v>206</v>
      </c>
      <c r="I18">
        <v>144</v>
      </c>
      <c r="J18">
        <f t="shared" si="2"/>
        <v>15.363935557915097</v>
      </c>
      <c r="L18" t="s">
        <v>223</v>
      </c>
      <c r="M18" t="s">
        <v>206</v>
      </c>
      <c r="R18">
        <v>19.115634907392501</v>
      </c>
      <c r="T18">
        <v>0.71015345745826197</v>
      </c>
      <c r="U18">
        <v>3.4837283415397402</v>
      </c>
      <c r="V18">
        <f t="shared" si="3"/>
        <v>34.837283415397401</v>
      </c>
    </row>
    <row r="19" spans="3:22" x14ac:dyDescent="0.25">
      <c r="C19" t="s">
        <v>192</v>
      </c>
      <c r="D19" t="s">
        <v>193</v>
      </c>
      <c r="E19" t="s">
        <v>194</v>
      </c>
      <c r="G19" t="s">
        <v>237</v>
      </c>
      <c r="H19" t="s">
        <v>206</v>
      </c>
      <c r="I19">
        <v>168</v>
      </c>
      <c r="J19">
        <f t="shared" si="2"/>
        <v>10.521339196456809</v>
      </c>
      <c r="L19" t="s">
        <v>223</v>
      </c>
      <c r="M19" t="s">
        <v>206</v>
      </c>
      <c r="R19">
        <v>10.824986874931799</v>
      </c>
      <c r="T19">
        <v>0.88442600594306697</v>
      </c>
      <c r="U19">
        <v>2.8808084868147099</v>
      </c>
      <c r="V19">
        <f t="shared" si="3"/>
        <v>28.808084868147098</v>
      </c>
    </row>
    <row r="20" spans="3:22" x14ac:dyDescent="0.25">
      <c r="C20" t="s">
        <v>192</v>
      </c>
      <c r="D20" t="s">
        <v>193</v>
      </c>
      <c r="E20" t="s">
        <v>194</v>
      </c>
      <c r="G20" t="s">
        <v>294</v>
      </c>
      <c r="H20" t="s">
        <v>206</v>
      </c>
      <c r="I20">
        <v>124.1</v>
      </c>
      <c r="J20">
        <f>100*S20/100</f>
        <v>1.7279062145192601</v>
      </c>
      <c r="K20">
        <f>100*T20/100</f>
        <v>0.82459845938143994</v>
      </c>
      <c r="L20" t="s">
        <v>195</v>
      </c>
      <c r="M20" t="s">
        <v>293</v>
      </c>
      <c r="R20">
        <v>-1.09432014639079E-2</v>
      </c>
      <c r="S20">
        <v>1.7279062145192601</v>
      </c>
      <c r="T20">
        <f>V20-S20</f>
        <v>0.82459845938143994</v>
      </c>
      <c r="U20">
        <v>-1.3484103123072799E-2</v>
      </c>
      <c r="V20">
        <v>2.5525046739007</v>
      </c>
    </row>
    <row r="21" spans="3:22" x14ac:dyDescent="0.25">
      <c r="C21" t="s">
        <v>192</v>
      </c>
      <c r="D21" t="s">
        <v>193</v>
      </c>
      <c r="E21" t="s">
        <v>194</v>
      </c>
      <c r="G21" t="s">
        <v>294</v>
      </c>
      <c r="H21" t="s">
        <v>206</v>
      </c>
      <c r="I21">
        <v>124.5</v>
      </c>
      <c r="J21">
        <f t="shared" ref="J21:J37" si="4">100*S21/100</f>
        <v>1.2900561852580699</v>
      </c>
      <c r="K21">
        <f t="shared" ref="K21:K28" si="5">100*T21/100</f>
        <v>0.47052227014933989</v>
      </c>
      <c r="L21" t="s">
        <v>195</v>
      </c>
      <c r="M21" t="s">
        <v>293</v>
      </c>
      <c r="R21">
        <v>0.26087552830181798</v>
      </c>
      <c r="S21">
        <v>1.2900561852580701</v>
      </c>
      <c r="T21">
        <f t="shared" ref="T21:T25" si="6">V21-S21</f>
        <v>0.47052227014933989</v>
      </c>
      <c r="U21">
        <v>0.66372393680950903</v>
      </c>
      <c r="V21">
        <v>1.76057845540741</v>
      </c>
    </row>
    <row r="22" spans="3:22" x14ac:dyDescent="0.25">
      <c r="C22" t="s">
        <v>192</v>
      </c>
      <c r="D22" t="s">
        <v>193</v>
      </c>
      <c r="E22" t="s">
        <v>194</v>
      </c>
      <c r="G22" t="s">
        <v>294</v>
      </c>
      <c r="H22" t="s">
        <v>206</v>
      </c>
      <c r="I22">
        <v>125</v>
      </c>
      <c r="J22">
        <f t="shared" si="4"/>
        <v>1.0624745693819599</v>
      </c>
      <c r="K22">
        <f t="shared" si="5"/>
        <v>0.50698627914915995</v>
      </c>
      <c r="L22" t="s">
        <v>195</v>
      </c>
      <c r="M22" t="s">
        <v>293</v>
      </c>
      <c r="R22">
        <v>0.93692861293477603</v>
      </c>
      <c r="S22">
        <v>1.0624745693819599</v>
      </c>
      <c r="T22">
        <f t="shared" si="6"/>
        <v>0.50698627914915995</v>
      </c>
      <c r="U22">
        <v>0.91189495681549804</v>
      </c>
      <c r="V22">
        <v>1.5694608485311199</v>
      </c>
    </row>
    <row r="23" spans="3:22" x14ac:dyDescent="0.25">
      <c r="C23" t="s">
        <v>192</v>
      </c>
      <c r="D23" t="s">
        <v>193</v>
      </c>
      <c r="E23" t="s">
        <v>194</v>
      </c>
      <c r="G23" t="s">
        <v>294</v>
      </c>
      <c r="H23" t="s">
        <v>206</v>
      </c>
      <c r="I23">
        <v>126</v>
      </c>
      <c r="J23">
        <f t="shared" si="4"/>
        <v>0.85243835128756695</v>
      </c>
      <c r="K23">
        <f t="shared" si="5"/>
        <v>0.28977640094939294</v>
      </c>
      <c r="L23" t="s">
        <v>195</v>
      </c>
      <c r="M23" t="s">
        <v>293</v>
      </c>
      <c r="R23">
        <v>1.90556074884414</v>
      </c>
      <c r="S23">
        <v>0.85243835128756695</v>
      </c>
      <c r="T23">
        <f t="shared" si="6"/>
        <v>0.28977640094939294</v>
      </c>
      <c r="U23">
        <v>1.9036550725997601</v>
      </c>
      <c r="V23">
        <v>1.1422147522369599</v>
      </c>
    </row>
    <row r="24" spans="3:22" x14ac:dyDescent="0.25">
      <c r="C24" t="s">
        <v>192</v>
      </c>
      <c r="D24" t="s">
        <v>193</v>
      </c>
      <c r="E24" t="s">
        <v>194</v>
      </c>
      <c r="G24" t="s">
        <v>294</v>
      </c>
      <c r="H24" t="s">
        <v>206</v>
      </c>
      <c r="I24">
        <v>128</v>
      </c>
      <c r="J24">
        <f t="shared" si="4"/>
        <v>0.45555148393443901</v>
      </c>
      <c r="K24">
        <f t="shared" si="5"/>
        <v>0.24797819997675297</v>
      </c>
      <c r="L24" t="s">
        <v>195</v>
      </c>
      <c r="M24" t="s">
        <v>293</v>
      </c>
      <c r="R24">
        <v>3.9340087415679199</v>
      </c>
      <c r="S24">
        <v>0.45555148393443901</v>
      </c>
      <c r="T24">
        <f t="shared" si="6"/>
        <v>0.24797819997675297</v>
      </c>
      <c r="U24">
        <v>3.9986573644641901</v>
      </c>
      <c r="V24">
        <v>0.70352968391119197</v>
      </c>
    </row>
    <row r="25" spans="3:22" x14ac:dyDescent="0.25">
      <c r="C25" t="s">
        <v>192</v>
      </c>
      <c r="D25" t="s">
        <v>193</v>
      </c>
      <c r="E25" t="s">
        <v>194</v>
      </c>
      <c r="G25" t="s">
        <v>294</v>
      </c>
      <c r="H25" t="s">
        <v>206</v>
      </c>
      <c r="I25">
        <v>130</v>
      </c>
      <c r="J25">
        <f t="shared" si="4"/>
        <v>0.64573863788709185</v>
      </c>
      <c r="K25">
        <f t="shared" si="5"/>
        <v>0.13229987233146301</v>
      </c>
      <c r="L25" t="s">
        <v>195</v>
      </c>
      <c r="M25" t="s">
        <v>293</v>
      </c>
      <c r="R25">
        <v>6.0010899890640097</v>
      </c>
      <c r="S25">
        <v>0.64573863788709196</v>
      </c>
      <c r="T25">
        <f t="shared" si="6"/>
        <v>0.13229987233146301</v>
      </c>
      <c r="U25">
        <v>6.11234105829997</v>
      </c>
      <c r="V25">
        <v>0.77803851021855497</v>
      </c>
    </row>
    <row r="26" spans="3:22" x14ac:dyDescent="0.25">
      <c r="C26" t="s">
        <v>192</v>
      </c>
      <c r="D26" t="s">
        <v>193</v>
      </c>
      <c r="E26" t="s">
        <v>194</v>
      </c>
      <c r="G26" t="s">
        <v>294</v>
      </c>
      <c r="H26" t="s">
        <v>206</v>
      </c>
      <c r="I26">
        <v>132</v>
      </c>
      <c r="J26">
        <f t="shared" si="4"/>
        <v>0.54238309197894896</v>
      </c>
      <c r="K26">
        <f t="shared" si="5"/>
        <v>0</v>
      </c>
      <c r="L26" t="s">
        <v>195</v>
      </c>
      <c r="M26" t="s">
        <v>293</v>
      </c>
      <c r="R26">
        <v>7.9816073368535401</v>
      </c>
      <c r="S26">
        <v>0.54238309197894896</v>
      </c>
    </row>
    <row r="27" spans="3:22" x14ac:dyDescent="0.25">
      <c r="C27" t="s">
        <v>192</v>
      </c>
      <c r="D27" t="s">
        <v>193</v>
      </c>
      <c r="E27" t="s">
        <v>194</v>
      </c>
      <c r="G27" t="s">
        <v>294</v>
      </c>
      <c r="H27" t="s">
        <v>206</v>
      </c>
      <c r="I27">
        <v>136</v>
      </c>
      <c r="J27">
        <f t="shared" si="4"/>
        <v>0.44887338389265202</v>
      </c>
      <c r="K27">
        <f t="shared" si="5"/>
        <v>0</v>
      </c>
      <c r="L27" t="s">
        <v>195</v>
      </c>
      <c r="M27" t="s">
        <v>293</v>
      </c>
      <c r="R27">
        <v>11.9416025726629</v>
      </c>
      <c r="S27">
        <v>0.44887338389265202</v>
      </c>
    </row>
    <row r="28" spans="3:22" x14ac:dyDescent="0.25">
      <c r="C28" t="s">
        <v>192</v>
      </c>
      <c r="D28" t="s">
        <v>193</v>
      </c>
      <c r="E28" t="s">
        <v>194</v>
      </c>
      <c r="G28" t="s">
        <v>294</v>
      </c>
      <c r="H28" t="s">
        <v>206</v>
      </c>
      <c r="I28">
        <v>148</v>
      </c>
      <c r="J28">
        <f t="shared" si="4"/>
        <v>0.24348156773155596</v>
      </c>
      <c r="K28">
        <f t="shared" si="5"/>
        <v>0</v>
      </c>
      <c r="L28" t="s">
        <v>195</v>
      </c>
      <c r="M28" t="s">
        <v>293</v>
      </c>
      <c r="R28">
        <v>24.046804563517099</v>
      </c>
      <c r="S28">
        <v>0.24348156773155599</v>
      </c>
    </row>
    <row r="29" spans="3:22" x14ac:dyDescent="0.25">
      <c r="C29" t="s">
        <v>192</v>
      </c>
      <c r="D29" t="s">
        <v>193</v>
      </c>
      <c r="E29" t="s">
        <v>194</v>
      </c>
      <c r="G29" t="s">
        <v>296</v>
      </c>
      <c r="H29" t="s">
        <v>206</v>
      </c>
      <c r="I29">
        <v>124.1</v>
      </c>
      <c r="J29">
        <f t="shared" si="4"/>
        <v>2.29492413867544</v>
      </c>
      <c r="L29" t="s">
        <v>195</v>
      </c>
      <c r="M29" t="s">
        <v>295</v>
      </c>
      <c r="R29">
        <v>9.7016245168131104E-3</v>
      </c>
      <c r="S29">
        <v>2.29492413867544</v>
      </c>
    </row>
    <row r="30" spans="3:22" x14ac:dyDescent="0.25">
      <c r="C30" t="s">
        <v>192</v>
      </c>
      <c r="D30" t="s">
        <v>193</v>
      </c>
      <c r="E30" t="s">
        <v>194</v>
      </c>
      <c r="G30" t="s">
        <v>296</v>
      </c>
      <c r="H30" t="s">
        <v>206</v>
      </c>
      <c r="I30">
        <v>124.5</v>
      </c>
      <c r="J30">
        <f t="shared" si="4"/>
        <v>1.2126163831719801</v>
      </c>
      <c r="L30" t="s">
        <v>195</v>
      </c>
      <c r="M30" t="s">
        <v>295</v>
      </c>
      <c r="R30">
        <v>0.37374353495724899</v>
      </c>
      <c r="S30">
        <v>1.2126163831719801</v>
      </c>
    </row>
    <row r="31" spans="3:22" x14ac:dyDescent="0.25">
      <c r="C31" t="s">
        <v>192</v>
      </c>
      <c r="D31" t="s">
        <v>193</v>
      </c>
      <c r="E31" t="s">
        <v>194</v>
      </c>
      <c r="G31" t="s">
        <v>296</v>
      </c>
      <c r="H31" t="s">
        <v>206</v>
      </c>
      <c r="I31">
        <v>125</v>
      </c>
      <c r="J31">
        <f t="shared" si="4"/>
        <v>1.0625805319150801</v>
      </c>
      <c r="L31" t="s">
        <v>195</v>
      </c>
      <c r="M31" t="s">
        <v>295</v>
      </c>
      <c r="R31">
        <v>1.0044068763151099</v>
      </c>
      <c r="S31">
        <v>1.0625805319150801</v>
      </c>
    </row>
    <row r="32" spans="3:22" x14ac:dyDescent="0.25">
      <c r="C32" t="s">
        <v>192</v>
      </c>
      <c r="D32" t="s">
        <v>193</v>
      </c>
      <c r="E32" t="s">
        <v>194</v>
      </c>
      <c r="G32" t="s">
        <v>296</v>
      </c>
      <c r="H32" t="s">
        <v>206</v>
      </c>
      <c r="I32">
        <v>126</v>
      </c>
      <c r="J32">
        <f t="shared" si="4"/>
        <v>0.88318718695476195</v>
      </c>
      <c r="L32" t="s">
        <v>195</v>
      </c>
      <c r="M32" t="s">
        <v>295</v>
      </c>
      <c r="R32">
        <v>1.8828370033241</v>
      </c>
      <c r="S32">
        <v>0.88318718695476195</v>
      </c>
    </row>
    <row r="33" spans="3:19" x14ac:dyDescent="0.25">
      <c r="C33" t="s">
        <v>192</v>
      </c>
      <c r="D33" t="s">
        <v>193</v>
      </c>
      <c r="E33" t="s">
        <v>194</v>
      </c>
      <c r="G33" t="s">
        <v>296</v>
      </c>
      <c r="H33" t="s">
        <v>206</v>
      </c>
      <c r="I33">
        <v>128</v>
      </c>
      <c r="J33">
        <f t="shared" si="4"/>
        <v>0.54883079934993395</v>
      </c>
      <c r="L33" t="s">
        <v>195</v>
      </c>
      <c r="M33" t="s">
        <v>295</v>
      </c>
      <c r="R33">
        <v>3.9777815474235401</v>
      </c>
      <c r="S33">
        <v>0.54883079934993395</v>
      </c>
    </row>
    <row r="34" spans="3:19" x14ac:dyDescent="0.25">
      <c r="C34" t="s">
        <v>192</v>
      </c>
      <c r="D34" t="s">
        <v>193</v>
      </c>
      <c r="E34" t="s">
        <v>194</v>
      </c>
      <c r="G34" t="s">
        <v>296</v>
      </c>
      <c r="H34" t="s">
        <v>206</v>
      </c>
      <c r="I34">
        <v>130</v>
      </c>
      <c r="J34">
        <f t="shared" si="4"/>
        <v>0.46513841576383103</v>
      </c>
      <c r="L34" t="s">
        <v>195</v>
      </c>
      <c r="M34" t="s">
        <v>295</v>
      </c>
      <c r="R34">
        <v>6.0257194108284198</v>
      </c>
      <c r="S34">
        <v>0.46513841576383103</v>
      </c>
    </row>
    <row r="35" spans="3:19" x14ac:dyDescent="0.25">
      <c r="C35" t="s">
        <v>192</v>
      </c>
      <c r="D35" t="s">
        <v>193</v>
      </c>
      <c r="E35" t="s">
        <v>194</v>
      </c>
      <c r="G35" t="s">
        <v>296</v>
      </c>
      <c r="H35" t="s">
        <v>206</v>
      </c>
      <c r="I35">
        <v>132</v>
      </c>
      <c r="J35">
        <f t="shared" si="4"/>
        <v>0.38039526780627397</v>
      </c>
      <c r="L35" t="s">
        <v>195</v>
      </c>
      <c r="M35" t="s">
        <v>295</v>
      </c>
      <c r="R35">
        <v>7.93893173853255</v>
      </c>
      <c r="S35">
        <v>0.38039526780627397</v>
      </c>
    </row>
    <row r="36" spans="3:19" x14ac:dyDescent="0.25">
      <c r="C36" t="s">
        <v>192</v>
      </c>
      <c r="D36" t="s">
        <v>193</v>
      </c>
      <c r="E36" t="s">
        <v>194</v>
      </c>
      <c r="G36" t="s">
        <v>296</v>
      </c>
      <c r="H36" t="s">
        <v>206</v>
      </c>
      <c r="I36">
        <v>136</v>
      </c>
      <c r="J36">
        <f t="shared" si="4"/>
        <v>0.26135958368853301</v>
      </c>
      <c r="L36" t="s">
        <v>195</v>
      </c>
      <c r="M36" t="s">
        <v>295</v>
      </c>
      <c r="R36">
        <v>11.990110695246999</v>
      </c>
      <c r="S36">
        <v>0.26135958368853301</v>
      </c>
    </row>
    <row r="37" spans="3:19" x14ac:dyDescent="0.25">
      <c r="C37" t="s">
        <v>192</v>
      </c>
      <c r="D37" t="s">
        <v>193</v>
      </c>
      <c r="E37" t="s">
        <v>194</v>
      </c>
      <c r="G37" t="s">
        <v>296</v>
      </c>
      <c r="H37" t="s">
        <v>206</v>
      </c>
      <c r="I37">
        <v>148</v>
      </c>
      <c r="J37">
        <f t="shared" si="4"/>
        <v>0.12521775337673599</v>
      </c>
      <c r="L37" t="s">
        <v>195</v>
      </c>
      <c r="M37" t="s">
        <v>295</v>
      </c>
      <c r="R37">
        <v>24.096121154810898</v>
      </c>
      <c r="S37">
        <v>0.12521775337673599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7313-71B4-453D-B54F-AB2FAB2B438E}">
  <dimension ref="A1:F47"/>
  <sheetViews>
    <sheetView topLeftCell="A34" workbookViewId="0">
      <selection activeCell="J8" sqref="J8"/>
    </sheetView>
  </sheetViews>
  <sheetFormatPr defaultColWidth="10.5703125" defaultRowHeight="15" x14ac:dyDescent="0.25"/>
  <cols>
    <col min="1" max="1" width="48.7109375" customWidth="1"/>
    <col min="3" max="3" width="19.42578125" bestFit="1" customWidth="1"/>
    <col min="4" max="4" width="12" style="12" bestFit="1" customWidth="1"/>
    <col min="5" max="5" width="9.42578125" style="12" bestFit="1" customWidth="1"/>
    <col min="6" max="6" width="19.42578125" style="12" bestFit="1" customWidth="1"/>
  </cols>
  <sheetData>
    <row r="1" spans="1:6" x14ac:dyDescent="0.25">
      <c r="A1" s="4" t="s">
        <v>2</v>
      </c>
      <c r="B1" s="5" t="s">
        <v>80</v>
      </c>
      <c r="C1" t="s">
        <v>134</v>
      </c>
      <c r="D1" s="20" t="s">
        <v>77</v>
      </c>
      <c r="E1" s="12" t="s">
        <v>133</v>
      </c>
      <c r="F1" s="12" t="s">
        <v>134</v>
      </c>
    </row>
    <row r="2" spans="1:6" x14ac:dyDescent="0.25">
      <c r="A2" t="s">
        <v>76</v>
      </c>
      <c r="B2">
        <v>0</v>
      </c>
      <c r="C2">
        <v>5.6423439088366487E-2</v>
      </c>
      <c r="D2" s="12">
        <v>33.190258287274403</v>
      </c>
      <c r="E2" s="12">
        <v>0.17</v>
      </c>
      <c r="F2" s="12">
        <f>D2*E2/100</f>
        <v>5.6423439088366487E-2</v>
      </c>
    </row>
    <row r="3" spans="1:6" x14ac:dyDescent="0.25">
      <c r="A3" t="s">
        <v>76</v>
      </c>
      <c r="B3">
        <v>0.5</v>
      </c>
      <c r="C3">
        <v>4.9272929039595993E-2</v>
      </c>
      <c r="D3" s="12">
        <v>28.984075905644701</v>
      </c>
      <c r="E3" s="12">
        <v>0.17</v>
      </c>
      <c r="F3" s="12">
        <f t="shared" ref="F3:F46" si="0">D3*E3/100</f>
        <v>4.9272929039595993E-2</v>
      </c>
    </row>
    <row r="4" spans="1:6" x14ac:dyDescent="0.25">
      <c r="A4" t="s">
        <v>76</v>
      </c>
      <c r="B4">
        <v>1</v>
      </c>
      <c r="C4">
        <v>3.8312216003669415E-2</v>
      </c>
      <c r="D4" s="12">
        <v>22.536597649217299</v>
      </c>
      <c r="E4" s="12">
        <v>0.17</v>
      </c>
      <c r="F4" s="12">
        <f t="shared" si="0"/>
        <v>3.8312216003669415E-2</v>
      </c>
    </row>
    <row r="5" spans="1:6" x14ac:dyDescent="0.25">
      <c r="A5" t="s">
        <v>76</v>
      </c>
      <c r="B5">
        <v>2</v>
      </c>
      <c r="C5">
        <v>2.9788744974382723E-2</v>
      </c>
      <c r="D5" s="12">
        <v>17.522791161401599</v>
      </c>
      <c r="E5" s="12">
        <v>0.17</v>
      </c>
      <c r="F5" s="12">
        <f t="shared" si="0"/>
        <v>2.9788744974382723E-2</v>
      </c>
    </row>
    <row r="6" spans="1:6" x14ac:dyDescent="0.25">
      <c r="A6" t="s">
        <v>76</v>
      </c>
      <c r="B6">
        <v>3</v>
      </c>
      <c r="C6">
        <v>2.2280892214477221E-2</v>
      </c>
      <c r="D6" s="12">
        <v>13.106407184986599</v>
      </c>
      <c r="E6" s="12">
        <v>0.17</v>
      </c>
      <c r="F6" s="12">
        <f t="shared" si="0"/>
        <v>2.2280892214477221E-2</v>
      </c>
    </row>
    <row r="7" spans="1:6" x14ac:dyDescent="0.25">
      <c r="A7" t="s">
        <v>76</v>
      </c>
      <c r="B7">
        <v>6</v>
      </c>
      <c r="C7">
        <v>1.8354047325406492E-2</v>
      </c>
      <c r="D7" s="12">
        <v>10.7964984267097</v>
      </c>
      <c r="E7" s="12">
        <v>0.17</v>
      </c>
      <c r="F7" s="12">
        <f t="shared" si="0"/>
        <v>1.8354047325406492E-2</v>
      </c>
    </row>
    <row r="8" spans="1:6" x14ac:dyDescent="0.25">
      <c r="A8" t="s">
        <v>76</v>
      </c>
      <c r="B8">
        <v>9</v>
      </c>
      <c r="C8">
        <v>1.870663098973847E-2</v>
      </c>
      <c r="D8" s="12">
        <v>11.003900582199099</v>
      </c>
      <c r="E8" s="12">
        <v>0.17</v>
      </c>
      <c r="F8" s="12">
        <f t="shared" si="0"/>
        <v>1.870663098973847E-2</v>
      </c>
    </row>
    <row r="9" spans="1:6" x14ac:dyDescent="0.25">
      <c r="A9" t="s">
        <v>76</v>
      </c>
      <c r="B9">
        <v>12</v>
      </c>
      <c r="C9">
        <v>1.571079533466831E-2</v>
      </c>
      <c r="D9" s="12">
        <v>9.2416443145107703</v>
      </c>
      <c r="E9" s="12">
        <v>0.17</v>
      </c>
      <c r="F9" s="12">
        <f t="shared" si="0"/>
        <v>1.571079533466831E-2</v>
      </c>
    </row>
    <row r="10" spans="1:6" x14ac:dyDescent="0.25">
      <c r="A10" t="s">
        <v>76</v>
      </c>
      <c r="B10">
        <v>18</v>
      </c>
      <c r="C10">
        <v>1.4530407160475158E-2</v>
      </c>
      <c r="D10" s="12">
        <v>8.5472983296912695</v>
      </c>
      <c r="E10" s="12">
        <v>0.17</v>
      </c>
      <c r="F10" s="12">
        <f t="shared" si="0"/>
        <v>1.4530407160475158E-2</v>
      </c>
    </row>
    <row r="11" spans="1:6" x14ac:dyDescent="0.25">
      <c r="A11" t="s">
        <v>76</v>
      </c>
      <c r="B11">
        <v>24</v>
      </c>
      <c r="C11">
        <v>1.4803827232668659E-2</v>
      </c>
      <c r="D11" s="12">
        <v>8.7081336662756801</v>
      </c>
      <c r="E11" s="12">
        <v>0.17</v>
      </c>
      <c r="F11" s="12">
        <f t="shared" si="0"/>
        <v>1.4803827232668659E-2</v>
      </c>
    </row>
    <row r="12" spans="1:6" x14ac:dyDescent="0.25">
      <c r="A12" t="s">
        <v>76</v>
      </c>
      <c r="B12">
        <v>30</v>
      </c>
      <c r="C12">
        <v>1.3171009360740074E-2</v>
      </c>
      <c r="D12" s="12">
        <v>7.7476525651412196</v>
      </c>
      <c r="E12" s="12">
        <v>0.17</v>
      </c>
      <c r="F12" s="12">
        <f t="shared" si="0"/>
        <v>1.3171009360740074E-2</v>
      </c>
    </row>
    <row r="13" spans="1:6" x14ac:dyDescent="0.25">
      <c r="A13" t="s">
        <v>76</v>
      </c>
      <c r="B13">
        <v>36</v>
      </c>
      <c r="C13">
        <v>1.3419280826426749E-2</v>
      </c>
      <c r="D13" s="12">
        <v>7.8936946037804399</v>
      </c>
      <c r="E13" s="12">
        <v>0.17</v>
      </c>
      <c r="F13" s="12">
        <f t="shared" si="0"/>
        <v>1.3419280826426749E-2</v>
      </c>
    </row>
    <row r="14" spans="1:6" x14ac:dyDescent="0.25">
      <c r="A14" t="s">
        <v>76</v>
      </c>
      <c r="B14">
        <v>48</v>
      </c>
      <c r="C14">
        <v>1.1930351373029139E-2</v>
      </c>
      <c r="D14" s="12">
        <v>7.01785374884067</v>
      </c>
      <c r="E14" s="12">
        <v>0.17</v>
      </c>
      <c r="F14" s="12">
        <f t="shared" si="0"/>
        <v>1.1930351373029139E-2</v>
      </c>
    </row>
    <row r="15" spans="1:6" x14ac:dyDescent="0.25">
      <c r="A15" t="s">
        <v>76</v>
      </c>
      <c r="B15">
        <v>60</v>
      </c>
      <c r="C15">
        <v>1.3380518131577908E-2</v>
      </c>
      <c r="D15" s="12">
        <v>7.8708930185752397</v>
      </c>
      <c r="E15" s="12">
        <v>0.17</v>
      </c>
      <c r="F15" s="12">
        <f t="shared" si="0"/>
        <v>1.3380518131577908E-2</v>
      </c>
    </row>
    <row r="16" spans="1:6" x14ac:dyDescent="0.25">
      <c r="A16" t="s">
        <v>76</v>
      </c>
      <c r="B16">
        <v>72</v>
      </c>
      <c r="C16">
        <v>1.1668299307845732E-2</v>
      </c>
      <c r="D16" s="12">
        <v>6.8637054752033704</v>
      </c>
      <c r="E16" s="12">
        <v>0.17</v>
      </c>
      <c r="F16" s="12">
        <f t="shared" si="0"/>
        <v>1.1668299307845732E-2</v>
      </c>
    </row>
    <row r="17" spans="1:6" x14ac:dyDescent="0.25">
      <c r="A17" t="s">
        <v>76</v>
      </c>
      <c r="B17">
        <v>84</v>
      </c>
      <c r="C17">
        <v>1.1878696020926463E-2</v>
      </c>
      <c r="D17" s="12">
        <v>6.9874682476038004</v>
      </c>
      <c r="E17" s="12">
        <v>0.17</v>
      </c>
      <c r="F17" s="12">
        <f t="shared" si="0"/>
        <v>1.1878696020926463E-2</v>
      </c>
    </row>
    <row r="18" spans="1:6" x14ac:dyDescent="0.25">
      <c r="A18" t="s">
        <v>76</v>
      </c>
      <c r="B18">
        <v>96</v>
      </c>
      <c r="C18">
        <v>1.0160475559100659E-2</v>
      </c>
      <c r="D18" s="12">
        <v>5.9767503288827397</v>
      </c>
      <c r="E18" s="12">
        <v>0.17</v>
      </c>
      <c r="F18" s="12">
        <f t="shared" si="0"/>
        <v>1.0160475559100659E-2</v>
      </c>
    </row>
    <row r="19" spans="1:6" x14ac:dyDescent="0.25">
      <c r="A19" t="s">
        <v>76</v>
      </c>
      <c r="B19">
        <v>120</v>
      </c>
      <c r="C19">
        <v>9.5597769224972425E-3</v>
      </c>
      <c r="D19" s="12">
        <v>5.6233981897042602</v>
      </c>
      <c r="E19" s="12">
        <v>0.17</v>
      </c>
      <c r="F19" s="12">
        <f t="shared" si="0"/>
        <v>9.5597769224972425E-3</v>
      </c>
    </row>
    <row r="20" spans="1:6" x14ac:dyDescent="0.25">
      <c r="A20" t="s">
        <v>76</v>
      </c>
      <c r="B20">
        <v>144</v>
      </c>
      <c r="C20">
        <v>8.653162036825271E-3</v>
      </c>
      <c r="D20" s="12">
        <v>5.0900953157795703</v>
      </c>
      <c r="E20" s="12">
        <v>0.17</v>
      </c>
      <c r="F20" s="12">
        <f t="shared" si="0"/>
        <v>8.653162036825271E-3</v>
      </c>
    </row>
    <row r="21" spans="1:6" x14ac:dyDescent="0.25">
      <c r="A21" t="s">
        <v>76</v>
      </c>
      <c r="B21">
        <v>167</v>
      </c>
      <c r="C21">
        <v>7.2498747295314005E-3</v>
      </c>
      <c r="D21" s="12">
        <v>4.264632193842</v>
      </c>
      <c r="E21" s="12">
        <v>0.17</v>
      </c>
      <c r="F21" s="12">
        <f t="shared" si="0"/>
        <v>7.2498747295314005E-3</v>
      </c>
    </row>
    <row r="22" spans="1:6" x14ac:dyDescent="0.25">
      <c r="A22" t="s">
        <v>78</v>
      </c>
      <c r="B22">
        <v>0</v>
      </c>
      <c r="C22">
        <v>1.4500362044478401E-2</v>
      </c>
      <c r="D22" s="12">
        <v>16.860886098230701</v>
      </c>
      <c r="E22" s="12">
        <v>8.5999999999999993E-2</v>
      </c>
      <c r="F22" s="12">
        <f t="shared" si="0"/>
        <v>1.4500362044478401E-2</v>
      </c>
    </row>
    <row r="23" spans="1:6" x14ac:dyDescent="0.25">
      <c r="A23" t="s">
        <v>78</v>
      </c>
      <c r="B23">
        <v>0.5</v>
      </c>
      <c r="C23">
        <v>1.0638925602621854E-2</v>
      </c>
      <c r="D23" s="12">
        <v>12.370843723978901</v>
      </c>
      <c r="E23" s="12">
        <v>8.5999999999999993E-2</v>
      </c>
      <c r="F23" s="12">
        <f t="shared" si="0"/>
        <v>1.0638925602621854E-2</v>
      </c>
    </row>
    <row r="24" spans="1:6" x14ac:dyDescent="0.25">
      <c r="A24" t="s">
        <v>78</v>
      </c>
      <c r="B24">
        <v>1</v>
      </c>
      <c r="C24">
        <v>8.5989865215799991E-3</v>
      </c>
      <c r="D24" s="12">
        <v>9.9988215367209303</v>
      </c>
      <c r="E24" s="12">
        <v>8.5999999999999993E-2</v>
      </c>
      <c r="F24" s="12">
        <f t="shared" si="0"/>
        <v>8.5989865215799991E-3</v>
      </c>
    </row>
    <row r="25" spans="1:6" x14ac:dyDescent="0.25">
      <c r="A25" t="s">
        <v>78</v>
      </c>
      <c r="B25">
        <v>2</v>
      </c>
      <c r="C25">
        <v>5.9528961957131879E-3</v>
      </c>
      <c r="D25" s="12">
        <v>6.9219723205967298</v>
      </c>
      <c r="E25" s="12">
        <v>8.5999999999999993E-2</v>
      </c>
      <c r="F25" s="12">
        <f t="shared" si="0"/>
        <v>5.9528961957131879E-3</v>
      </c>
    </row>
    <row r="26" spans="1:6" x14ac:dyDescent="0.25">
      <c r="A26" t="s">
        <v>78</v>
      </c>
      <c r="B26">
        <v>3</v>
      </c>
      <c r="C26">
        <v>3.4623063455526469E-3</v>
      </c>
      <c r="D26" s="12">
        <v>4.0259376111077296</v>
      </c>
      <c r="E26" s="12">
        <v>8.5999999999999993E-2</v>
      </c>
      <c r="F26" s="12">
        <f t="shared" si="0"/>
        <v>3.4623063455526469E-3</v>
      </c>
    </row>
    <row r="27" spans="1:6" x14ac:dyDescent="0.25">
      <c r="A27" t="s">
        <v>78</v>
      </c>
      <c r="B27">
        <v>6</v>
      </c>
      <c r="C27">
        <v>2.3053781650538268E-3</v>
      </c>
      <c r="D27" s="12">
        <v>2.68067228494631</v>
      </c>
      <c r="E27" s="12">
        <v>8.5999999999999993E-2</v>
      </c>
      <c r="F27" s="12">
        <f t="shared" si="0"/>
        <v>2.3053781650538268E-3</v>
      </c>
    </row>
    <row r="28" spans="1:6" x14ac:dyDescent="0.25">
      <c r="A28" t="s">
        <v>78</v>
      </c>
      <c r="B28">
        <v>9</v>
      </c>
      <c r="C28">
        <v>1.6268322944429387E-3</v>
      </c>
      <c r="D28" s="12">
        <v>1.89166545865458</v>
      </c>
      <c r="E28" s="12">
        <v>8.5999999999999993E-2</v>
      </c>
      <c r="F28" s="12">
        <f t="shared" si="0"/>
        <v>1.6268322944429387E-3</v>
      </c>
    </row>
    <row r="29" spans="1:6" x14ac:dyDescent="0.25">
      <c r="A29" t="s">
        <v>78</v>
      </c>
      <c r="B29">
        <v>12</v>
      </c>
      <c r="C29">
        <v>1.3401580318850559E-3</v>
      </c>
      <c r="D29" s="12">
        <v>1.5583232928896</v>
      </c>
      <c r="E29" s="12">
        <v>8.5999999999999993E-2</v>
      </c>
      <c r="F29" s="12">
        <f t="shared" si="0"/>
        <v>1.3401580318850559E-3</v>
      </c>
    </row>
    <row r="30" spans="1:6" x14ac:dyDescent="0.25">
      <c r="A30" t="s">
        <v>78</v>
      </c>
      <c r="B30">
        <v>18</v>
      </c>
      <c r="C30">
        <v>9.0939916790620345E-4</v>
      </c>
      <c r="D30" s="12">
        <v>1.0574408929141901</v>
      </c>
      <c r="E30" s="12">
        <v>8.5999999999999993E-2</v>
      </c>
      <c r="F30" s="12">
        <f t="shared" si="0"/>
        <v>9.0939916790620345E-4</v>
      </c>
    </row>
    <row r="31" spans="1:6" x14ac:dyDescent="0.25">
      <c r="A31" t="s">
        <v>78</v>
      </c>
      <c r="B31">
        <v>24</v>
      </c>
      <c r="C31">
        <v>8.0917318039481568E-4</v>
      </c>
      <c r="D31" s="12">
        <v>0.94089904697071602</v>
      </c>
      <c r="E31" s="12">
        <v>8.5999999999999993E-2</v>
      </c>
      <c r="F31" s="12">
        <f t="shared" si="0"/>
        <v>8.0917318039481568E-4</v>
      </c>
    </row>
    <row r="32" spans="1:6" x14ac:dyDescent="0.25">
      <c r="A32" t="s">
        <v>78</v>
      </c>
      <c r="B32">
        <v>30</v>
      </c>
      <c r="C32">
        <v>6.6630525931437451E-4</v>
      </c>
      <c r="D32" s="12">
        <v>0.77477355734229603</v>
      </c>
      <c r="E32" s="12">
        <v>8.5999999999999993E-2</v>
      </c>
      <c r="F32" s="12">
        <f t="shared" si="0"/>
        <v>6.6630525931437451E-4</v>
      </c>
    </row>
    <row r="33" spans="1:6" x14ac:dyDescent="0.25">
      <c r="A33" t="s">
        <v>78</v>
      </c>
      <c r="B33">
        <v>36</v>
      </c>
      <c r="C33">
        <v>5.8149085281416276E-4</v>
      </c>
      <c r="D33" s="12">
        <v>0.67615215443507304</v>
      </c>
      <c r="E33" s="12">
        <v>8.5999999999999993E-2</v>
      </c>
      <c r="F33" s="12">
        <f t="shared" si="0"/>
        <v>5.8149085281416276E-4</v>
      </c>
    </row>
    <row r="34" spans="1:6" x14ac:dyDescent="0.25">
      <c r="A34" t="s">
        <v>78</v>
      </c>
      <c r="B34">
        <v>48</v>
      </c>
      <c r="C34">
        <v>4.6931477661538032E-4</v>
      </c>
      <c r="D34" s="12">
        <v>0.54571485652951202</v>
      </c>
      <c r="E34" s="12">
        <v>8.5999999999999993E-2</v>
      </c>
      <c r="F34" s="12">
        <f t="shared" si="0"/>
        <v>4.6931477661538032E-4</v>
      </c>
    </row>
    <row r="35" spans="1:6" x14ac:dyDescent="0.25">
      <c r="A35" t="s">
        <v>78</v>
      </c>
      <c r="B35">
        <v>60</v>
      </c>
      <c r="C35">
        <v>3.5059054413095819E-4</v>
      </c>
      <c r="D35" s="12">
        <v>0.40766342340809097</v>
      </c>
      <c r="E35" s="12">
        <v>8.5999999999999993E-2</v>
      </c>
      <c r="F35" s="12">
        <f t="shared" si="0"/>
        <v>3.5059054413095819E-4</v>
      </c>
    </row>
    <row r="36" spans="1:6" x14ac:dyDescent="0.25">
      <c r="A36" t="s">
        <v>78</v>
      </c>
      <c r="B36">
        <v>72</v>
      </c>
      <c r="C36">
        <v>2.9413190987262255E-4</v>
      </c>
      <c r="D36" s="12">
        <v>0.34201384868909601</v>
      </c>
      <c r="E36" s="12">
        <v>8.5999999999999993E-2</v>
      </c>
      <c r="F36" s="12">
        <f t="shared" si="0"/>
        <v>2.9413190987262255E-4</v>
      </c>
    </row>
    <row r="37" spans="1:6" x14ac:dyDescent="0.25">
      <c r="A37" t="s">
        <v>78</v>
      </c>
      <c r="B37">
        <v>84</v>
      </c>
      <c r="C37">
        <v>2.1549980063190934E-4</v>
      </c>
      <c r="D37" s="12">
        <v>0.25058116352547599</v>
      </c>
      <c r="E37" s="12">
        <v>8.5999999999999993E-2</v>
      </c>
      <c r="F37" s="12">
        <f t="shared" si="0"/>
        <v>2.1549980063190934E-4</v>
      </c>
    </row>
    <row r="38" spans="1:6" x14ac:dyDescent="0.25">
      <c r="A38" t="s">
        <v>78</v>
      </c>
      <c r="B38">
        <v>96</v>
      </c>
      <c r="C38">
        <v>1.6412404270928018E-4</v>
      </c>
      <c r="D38" s="12">
        <v>0.19084191012707</v>
      </c>
      <c r="E38" s="12">
        <v>8.5999999999999993E-2</v>
      </c>
      <c r="F38" s="12">
        <f t="shared" si="0"/>
        <v>1.6412404270928018E-4</v>
      </c>
    </row>
    <row r="39" spans="1:6" x14ac:dyDescent="0.25">
      <c r="A39" t="s">
        <v>79</v>
      </c>
      <c r="B39">
        <v>12</v>
      </c>
      <c r="C39">
        <v>1.1319456473047621E-4</v>
      </c>
      <c r="D39" s="12">
        <v>6.6585038076750702E-2</v>
      </c>
      <c r="E39" s="12">
        <v>0.17</v>
      </c>
      <c r="F39" s="12">
        <f t="shared" si="0"/>
        <v>1.1319456473047621E-4</v>
      </c>
    </row>
    <row r="40" spans="1:6" x14ac:dyDescent="0.25">
      <c r="A40" t="s">
        <v>79</v>
      </c>
      <c r="B40">
        <v>24</v>
      </c>
      <c r="C40">
        <v>1.4616141555920555E-4</v>
      </c>
      <c r="D40" s="12">
        <v>8.5977303270120903E-2</v>
      </c>
      <c r="E40" s="12">
        <v>0.17</v>
      </c>
      <c r="F40" s="12">
        <f t="shared" si="0"/>
        <v>1.4616141555920555E-4</v>
      </c>
    </row>
    <row r="41" spans="1:6" x14ac:dyDescent="0.25">
      <c r="A41" t="s">
        <v>79</v>
      </c>
      <c r="B41">
        <v>36</v>
      </c>
      <c r="C41">
        <v>1.5544452740032838E-4</v>
      </c>
      <c r="D41" s="12">
        <v>9.1437957294310798E-2</v>
      </c>
      <c r="E41" s="12">
        <v>0.17</v>
      </c>
      <c r="F41" s="12">
        <f t="shared" si="0"/>
        <v>1.5544452740032838E-4</v>
      </c>
    </row>
    <row r="42" spans="1:6" x14ac:dyDescent="0.25">
      <c r="A42" t="s">
        <v>79</v>
      </c>
      <c r="B42">
        <v>48</v>
      </c>
      <c r="C42">
        <v>1.3951829177243536E-4</v>
      </c>
      <c r="D42" s="12">
        <v>8.2069583395550205E-2</v>
      </c>
      <c r="E42" s="12">
        <v>0.17</v>
      </c>
      <c r="F42" s="12">
        <f t="shared" si="0"/>
        <v>1.3951829177243536E-4</v>
      </c>
    </row>
    <row r="43" spans="1:6" x14ac:dyDescent="0.25">
      <c r="A43" t="s">
        <v>79</v>
      </c>
      <c r="B43">
        <v>72</v>
      </c>
      <c r="C43">
        <v>1.3974167537703444E-4</v>
      </c>
      <c r="D43" s="12">
        <v>8.2200985515902603E-2</v>
      </c>
      <c r="E43" s="12">
        <v>0.17</v>
      </c>
      <c r="F43" s="12">
        <f t="shared" si="0"/>
        <v>1.3974167537703444E-4</v>
      </c>
    </row>
    <row r="44" spans="1:6" x14ac:dyDescent="0.25">
      <c r="A44" t="s">
        <v>79</v>
      </c>
      <c r="B44">
        <v>96</v>
      </c>
      <c r="C44">
        <v>1.5678482902792287E-4</v>
      </c>
      <c r="D44" s="12">
        <v>9.2226370016425196E-2</v>
      </c>
      <c r="E44" s="12">
        <v>0.17</v>
      </c>
      <c r="F44" s="12">
        <f t="shared" si="0"/>
        <v>1.5678482902792287E-4</v>
      </c>
    </row>
    <row r="45" spans="1:6" x14ac:dyDescent="0.25">
      <c r="A45" t="s">
        <v>79</v>
      </c>
      <c r="B45">
        <v>120</v>
      </c>
      <c r="C45">
        <v>1.4860594295953408E-4</v>
      </c>
      <c r="D45" s="12">
        <v>8.7415260564431801E-2</v>
      </c>
      <c r="E45" s="12">
        <v>0.17</v>
      </c>
      <c r="F45" s="12">
        <f t="shared" si="0"/>
        <v>1.4860594295953408E-4</v>
      </c>
    </row>
    <row r="46" spans="1:6" x14ac:dyDescent="0.25">
      <c r="A46" t="s">
        <v>79</v>
      </c>
      <c r="B46">
        <v>144</v>
      </c>
      <c r="C46">
        <v>1.3584769299686416E-4</v>
      </c>
      <c r="D46" s="12">
        <v>7.9910407645214204E-2</v>
      </c>
      <c r="E46" s="12">
        <v>0.17</v>
      </c>
      <c r="F46" s="12">
        <f t="shared" si="0"/>
        <v>1.3584769299686416E-4</v>
      </c>
    </row>
    <row r="47" spans="1:6" x14ac:dyDescent="0.25">
      <c r="A47" t="s">
        <v>79</v>
      </c>
      <c r="B47">
        <v>167</v>
      </c>
      <c r="C47">
        <v>1.3148409735702499E-4</v>
      </c>
      <c r="D47" s="12">
        <v>7.7343586680603205E-2</v>
      </c>
      <c r="E47" s="12">
        <v>0.17</v>
      </c>
      <c r="F47" s="12">
        <f>D47*E47/100</f>
        <v>1.3148409735702545E-4</v>
      </c>
    </row>
  </sheetData>
  <phoneticPr fontId="2" type="noConversion"/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20F3A-8609-4737-8119-B06C0A7E129F}">
  <dimension ref="A1:O16"/>
  <sheetViews>
    <sheetView workbookViewId="0">
      <selection activeCell="J2" sqref="J2:J15"/>
    </sheetView>
  </sheetViews>
  <sheetFormatPr defaultRowHeight="15" x14ac:dyDescent="0.25"/>
  <cols>
    <col min="1" max="1" width="8.140625" bestFit="1" customWidth="1"/>
    <col min="2" max="2" width="9.5703125" bestFit="1" customWidth="1"/>
    <col min="3" max="3" width="22.5703125" bestFit="1" customWidth="1"/>
    <col min="4" max="4" width="13.42578125" bestFit="1" customWidth="1"/>
    <col min="5" max="5" width="7.7109375" bestFit="1" customWidth="1"/>
    <col min="6" max="6" width="7.5703125" bestFit="1" customWidth="1"/>
    <col min="7" max="7" width="19.140625" bestFit="1" customWidth="1"/>
    <col min="8" max="8" width="9.28515625" bestFit="1" customWidth="1"/>
    <col min="9" max="9" width="8.42578125" bestFit="1" customWidth="1"/>
    <col min="10" max="10" width="29" bestFit="1" customWidth="1"/>
    <col min="11" max="11" width="13.28515625" bestFit="1" customWidth="1"/>
    <col min="12" max="12" width="6.28515625" bestFit="1" customWidth="1"/>
    <col min="13" max="13" width="8.5703125" bestFit="1" customWidth="1"/>
  </cols>
  <sheetData>
    <row r="1" spans="1:15" x14ac:dyDescent="0.25">
      <c r="A1" s="22" t="s">
        <v>174</v>
      </c>
      <c r="B1" s="22" t="s">
        <v>175</v>
      </c>
      <c r="C1" s="22" t="s">
        <v>176</v>
      </c>
      <c r="D1" s="22" t="s">
        <v>177</v>
      </c>
      <c r="E1" s="22" t="s">
        <v>178</v>
      </c>
      <c r="F1" s="22" t="s">
        <v>179</v>
      </c>
      <c r="G1" s="22" t="s">
        <v>180</v>
      </c>
      <c r="H1" s="22" t="s">
        <v>181</v>
      </c>
      <c r="I1" s="22" t="s">
        <v>0</v>
      </c>
      <c r="J1" s="23" t="s">
        <v>252</v>
      </c>
      <c r="K1" s="22" t="s">
        <v>244</v>
      </c>
      <c r="L1" s="22" t="s">
        <v>182</v>
      </c>
      <c r="M1" t="s">
        <v>183</v>
      </c>
    </row>
    <row r="2" spans="1:15" x14ac:dyDescent="0.25">
      <c r="C2" t="s">
        <v>192</v>
      </c>
      <c r="D2" t="s">
        <v>193</v>
      </c>
      <c r="E2" t="s">
        <v>194</v>
      </c>
      <c r="F2" t="s">
        <v>249</v>
      </c>
      <c r="G2" t="s">
        <v>250</v>
      </c>
      <c r="H2" t="s">
        <v>251</v>
      </c>
      <c r="I2">
        <v>6</v>
      </c>
      <c r="J2">
        <f>3.3*0.23 * O2/100</f>
        <v>1.8975000000000001E-3</v>
      </c>
      <c r="L2" t="s">
        <v>255</v>
      </c>
      <c r="M2" t="s">
        <v>312</v>
      </c>
      <c r="O2">
        <v>0.25</v>
      </c>
    </row>
    <row r="3" spans="1:15" x14ac:dyDescent="0.25">
      <c r="C3" t="s">
        <v>192</v>
      </c>
      <c r="D3" t="s">
        <v>193</v>
      </c>
      <c r="E3" t="s">
        <v>194</v>
      </c>
      <c r="F3" t="s">
        <v>249</v>
      </c>
      <c r="G3" t="s">
        <v>250</v>
      </c>
      <c r="H3" t="s">
        <v>251</v>
      </c>
      <c r="I3">
        <v>12</v>
      </c>
      <c r="J3">
        <f t="shared" ref="J3:J15" si="0">3.3*0.23 * O3/100</f>
        <v>7.5900000000000013E-4</v>
      </c>
      <c r="L3" t="s">
        <v>255</v>
      </c>
      <c r="M3" t="s">
        <v>312</v>
      </c>
      <c r="O3">
        <v>0.1</v>
      </c>
    </row>
    <row r="4" spans="1:15" x14ac:dyDescent="0.25">
      <c r="C4" t="s">
        <v>192</v>
      </c>
      <c r="D4" t="s">
        <v>193</v>
      </c>
      <c r="E4" t="s">
        <v>194</v>
      </c>
      <c r="F4" t="s">
        <v>249</v>
      </c>
      <c r="G4" t="s">
        <v>250</v>
      </c>
      <c r="H4" t="s">
        <v>251</v>
      </c>
      <c r="I4">
        <v>24</v>
      </c>
      <c r="J4">
        <f t="shared" si="0"/>
        <v>3.7950000000000006E-4</v>
      </c>
      <c r="L4" t="s">
        <v>255</v>
      </c>
      <c r="M4" t="s">
        <v>312</v>
      </c>
      <c r="O4">
        <v>0.05</v>
      </c>
    </row>
    <row r="5" spans="1:15" x14ac:dyDescent="0.25">
      <c r="C5" t="s">
        <v>192</v>
      </c>
      <c r="D5" t="s">
        <v>193</v>
      </c>
      <c r="E5" t="s">
        <v>194</v>
      </c>
      <c r="F5" t="s">
        <v>249</v>
      </c>
      <c r="G5" t="s">
        <v>250</v>
      </c>
      <c r="H5" t="s">
        <v>251</v>
      </c>
      <c r="I5">
        <v>48</v>
      </c>
      <c r="J5">
        <f t="shared" si="0"/>
        <v>1.518E-4</v>
      </c>
      <c r="L5" t="s">
        <v>255</v>
      </c>
      <c r="M5" t="s">
        <v>312</v>
      </c>
      <c r="O5">
        <v>0.02</v>
      </c>
    </row>
    <row r="6" spans="1:15" x14ac:dyDescent="0.25">
      <c r="C6" t="s">
        <v>192</v>
      </c>
      <c r="D6" t="s">
        <v>193</v>
      </c>
      <c r="E6" t="s">
        <v>194</v>
      </c>
      <c r="F6" t="s">
        <v>249</v>
      </c>
      <c r="G6" t="s">
        <v>250</v>
      </c>
      <c r="H6" t="s">
        <v>251</v>
      </c>
      <c r="I6">
        <v>72</v>
      </c>
      <c r="J6">
        <f t="shared" si="0"/>
        <v>4.5540000000000001E-5</v>
      </c>
      <c r="L6" t="s">
        <v>255</v>
      </c>
      <c r="M6" t="s">
        <v>312</v>
      </c>
      <c r="O6">
        <v>6.0000000000000001E-3</v>
      </c>
    </row>
    <row r="7" spans="1:15" x14ac:dyDescent="0.25">
      <c r="C7" t="s">
        <v>192</v>
      </c>
      <c r="D7" t="s">
        <v>193</v>
      </c>
      <c r="E7" t="s">
        <v>194</v>
      </c>
      <c r="F7" t="s">
        <v>249</v>
      </c>
      <c r="G7" t="s">
        <v>250</v>
      </c>
      <c r="H7" t="s">
        <v>251</v>
      </c>
      <c r="I7">
        <v>96</v>
      </c>
      <c r="J7">
        <f t="shared" si="0"/>
        <v>3.0360000000000001E-5</v>
      </c>
      <c r="L7" t="s">
        <v>255</v>
      </c>
      <c r="M7" t="s">
        <v>312</v>
      </c>
      <c r="O7">
        <v>4.0000000000000001E-3</v>
      </c>
    </row>
    <row r="8" spans="1:15" x14ac:dyDescent="0.25">
      <c r="C8" t="s">
        <v>192</v>
      </c>
      <c r="D8" t="s">
        <v>193</v>
      </c>
      <c r="E8" t="s">
        <v>194</v>
      </c>
      <c r="F8" t="s">
        <v>249</v>
      </c>
      <c r="G8" t="s">
        <v>250</v>
      </c>
      <c r="H8" t="s">
        <v>251</v>
      </c>
      <c r="I8">
        <v>120</v>
      </c>
      <c r="J8">
        <f t="shared" si="0"/>
        <v>2.2770000000000001E-5</v>
      </c>
      <c r="L8" t="s">
        <v>255</v>
      </c>
      <c r="M8" t="s">
        <v>312</v>
      </c>
      <c r="O8">
        <v>3.0000000000000001E-3</v>
      </c>
    </row>
    <row r="9" spans="1:15" x14ac:dyDescent="0.25">
      <c r="C9" t="s">
        <v>253</v>
      </c>
      <c r="D9" t="s">
        <v>254</v>
      </c>
      <c r="E9" t="s">
        <v>194</v>
      </c>
      <c r="F9" t="s">
        <v>249</v>
      </c>
      <c r="G9" t="s">
        <v>250</v>
      </c>
      <c r="H9" t="s">
        <v>251</v>
      </c>
      <c r="I9">
        <v>6</v>
      </c>
      <c r="J9">
        <f t="shared" si="0"/>
        <v>2.6565E-3</v>
      </c>
      <c r="L9" t="s">
        <v>255</v>
      </c>
      <c r="M9" t="s">
        <v>313</v>
      </c>
      <c r="O9">
        <v>0.35</v>
      </c>
    </row>
    <row r="10" spans="1:15" x14ac:dyDescent="0.25">
      <c r="C10" t="s">
        <v>253</v>
      </c>
      <c r="D10" t="s">
        <v>254</v>
      </c>
      <c r="E10" t="s">
        <v>194</v>
      </c>
      <c r="F10" t="s">
        <v>249</v>
      </c>
      <c r="G10" t="s">
        <v>250</v>
      </c>
      <c r="H10" t="s">
        <v>251</v>
      </c>
      <c r="I10">
        <v>12</v>
      </c>
      <c r="J10">
        <f t="shared" si="0"/>
        <v>3.2637E-3</v>
      </c>
      <c r="L10" t="s">
        <v>255</v>
      </c>
      <c r="M10" t="s">
        <v>313</v>
      </c>
      <c r="O10">
        <v>0.43</v>
      </c>
    </row>
    <row r="11" spans="1:15" x14ac:dyDescent="0.25">
      <c r="C11" t="s">
        <v>253</v>
      </c>
      <c r="D11" t="s">
        <v>254</v>
      </c>
      <c r="E11" t="s">
        <v>194</v>
      </c>
      <c r="F11" t="s">
        <v>249</v>
      </c>
      <c r="G11" t="s">
        <v>250</v>
      </c>
      <c r="H11" t="s">
        <v>251</v>
      </c>
      <c r="I11">
        <v>24</v>
      </c>
      <c r="J11">
        <f t="shared" si="0"/>
        <v>8.3490000000000005E-3</v>
      </c>
      <c r="L11" t="s">
        <v>255</v>
      </c>
      <c r="M11" t="s">
        <v>313</v>
      </c>
      <c r="O11">
        <v>1.1000000000000001</v>
      </c>
    </row>
    <row r="12" spans="1:15" x14ac:dyDescent="0.25">
      <c r="C12" t="s">
        <v>253</v>
      </c>
      <c r="D12" t="s">
        <v>254</v>
      </c>
      <c r="E12" t="s">
        <v>194</v>
      </c>
      <c r="F12" t="s">
        <v>249</v>
      </c>
      <c r="G12" t="s">
        <v>250</v>
      </c>
      <c r="H12" t="s">
        <v>251</v>
      </c>
      <c r="I12">
        <v>48</v>
      </c>
      <c r="J12">
        <f t="shared" si="0"/>
        <v>3.7950000000000002E-3</v>
      </c>
      <c r="L12" t="s">
        <v>255</v>
      </c>
      <c r="M12" t="s">
        <v>313</v>
      </c>
      <c r="O12">
        <v>0.5</v>
      </c>
    </row>
    <row r="13" spans="1:15" x14ac:dyDescent="0.25">
      <c r="C13" t="s">
        <v>253</v>
      </c>
      <c r="D13" t="s">
        <v>254</v>
      </c>
      <c r="E13" t="s">
        <v>194</v>
      </c>
      <c r="F13" t="s">
        <v>249</v>
      </c>
      <c r="G13" t="s">
        <v>250</v>
      </c>
      <c r="H13" t="s">
        <v>251</v>
      </c>
      <c r="I13">
        <v>72</v>
      </c>
      <c r="J13">
        <f t="shared" si="0"/>
        <v>2.4288000000000001E-3</v>
      </c>
      <c r="L13" t="s">
        <v>255</v>
      </c>
      <c r="M13" t="s">
        <v>313</v>
      </c>
      <c r="O13">
        <v>0.32</v>
      </c>
    </row>
    <row r="14" spans="1:15" x14ac:dyDescent="0.25">
      <c r="C14" t="s">
        <v>253</v>
      </c>
      <c r="D14" t="s">
        <v>254</v>
      </c>
      <c r="E14" t="s">
        <v>194</v>
      </c>
      <c r="F14" t="s">
        <v>249</v>
      </c>
      <c r="G14" t="s">
        <v>250</v>
      </c>
      <c r="H14" t="s">
        <v>251</v>
      </c>
      <c r="I14">
        <v>96</v>
      </c>
      <c r="J14">
        <f t="shared" si="0"/>
        <v>1.8975000000000001E-3</v>
      </c>
      <c r="L14" t="s">
        <v>255</v>
      </c>
      <c r="M14" t="s">
        <v>313</v>
      </c>
      <c r="O14">
        <v>0.25</v>
      </c>
    </row>
    <row r="15" spans="1:15" x14ac:dyDescent="0.25">
      <c r="C15" t="s">
        <v>253</v>
      </c>
      <c r="D15" t="s">
        <v>254</v>
      </c>
      <c r="E15" t="s">
        <v>194</v>
      </c>
      <c r="F15" t="s">
        <v>249</v>
      </c>
      <c r="G15" t="s">
        <v>250</v>
      </c>
      <c r="H15" t="s">
        <v>251</v>
      </c>
      <c r="I15">
        <v>120</v>
      </c>
      <c r="J15">
        <f t="shared" si="0"/>
        <v>2.0493000000000004E-3</v>
      </c>
      <c r="L15" t="s">
        <v>255</v>
      </c>
      <c r="M15" t="s">
        <v>313</v>
      </c>
      <c r="O15">
        <v>0.27</v>
      </c>
    </row>
    <row r="16" spans="1:15" x14ac:dyDescent="0.25">
      <c r="B16" s="28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2FBE9-F613-4DEC-BFA7-3AB561329A01}">
  <dimension ref="A1:Q17"/>
  <sheetViews>
    <sheetView workbookViewId="0">
      <selection activeCell="C10" sqref="C10:D10"/>
    </sheetView>
  </sheetViews>
  <sheetFormatPr defaultRowHeight="15" x14ac:dyDescent="0.25"/>
  <cols>
    <col min="10" max="10" width="26.28515625" bestFit="1" customWidth="1"/>
  </cols>
  <sheetData>
    <row r="1" spans="1:17" x14ac:dyDescent="0.25">
      <c r="A1" s="22" t="s">
        <v>174</v>
      </c>
      <c r="B1" s="22" t="s">
        <v>175</v>
      </c>
      <c r="C1" s="22" t="s">
        <v>176</v>
      </c>
      <c r="D1" s="22" t="s">
        <v>177</v>
      </c>
      <c r="E1" s="22" t="s">
        <v>178</v>
      </c>
      <c r="F1" s="22" t="s">
        <v>179</v>
      </c>
      <c r="G1" s="22" t="s">
        <v>180</v>
      </c>
      <c r="H1" s="22" t="s">
        <v>181</v>
      </c>
      <c r="I1" s="22" t="s">
        <v>0</v>
      </c>
      <c r="J1" s="23" t="s">
        <v>222</v>
      </c>
      <c r="K1" s="22" t="s">
        <v>244</v>
      </c>
      <c r="L1" s="22" t="s">
        <v>182</v>
      </c>
      <c r="M1" t="s">
        <v>183</v>
      </c>
    </row>
    <row r="2" spans="1:17" x14ac:dyDescent="0.25">
      <c r="C2" t="s">
        <v>192</v>
      </c>
      <c r="D2" t="s">
        <v>193</v>
      </c>
      <c r="E2" t="s">
        <v>194</v>
      </c>
      <c r="H2" t="s">
        <v>251</v>
      </c>
      <c r="I2">
        <f>9*24+P2</f>
        <v>216</v>
      </c>
      <c r="J2">
        <v>18.25</v>
      </c>
      <c r="L2" t="s">
        <v>223</v>
      </c>
      <c r="M2" t="s">
        <v>312</v>
      </c>
    </row>
    <row r="3" spans="1:17" x14ac:dyDescent="0.25">
      <c r="C3" t="s">
        <v>192</v>
      </c>
      <c r="D3" t="s">
        <v>193</v>
      </c>
      <c r="E3" t="s">
        <v>194</v>
      </c>
      <c r="H3" t="s">
        <v>251</v>
      </c>
      <c r="I3">
        <f>9*24+P3</f>
        <v>218.68656716417911</v>
      </c>
      <c r="J3">
        <v>12.7471156285582</v>
      </c>
      <c r="L3" t="s">
        <v>223</v>
      </c>
      <c r="M3" t="s">
        <v>312</v>
      </c>
      <c r="P3">
        <v>2.6865671641790998</v>
      </c>
      <c r="Q3">
        <v>12.7471156285582</v>
      </c>
    </row>
    <row r="4" spans="1:17" x14ac:dyDescent="0.25">
      <c r="C4" t="s">
        <v>192</v>
      </c>
      <c r="D4" t="s">
        <v>193</v>
      </c>
      <c r="E4" t="s">
        <v>194</v>
      </c>
      <c r="H4" t="s">
        <v>251</v>
      </c>
      <c r="I4">
        <f t="shared" ref="I4:I17" si="0">9*24+P4</f>
        <v>226.74626865671641</v>
      </c>
      <c r="J4">
        <v>1.8769167748612701</v>
      </c>
      <c r="L4" t="s">
        <v>223</v>
      </c>
      <c r="M4" t="s">
        <v>312</v>
      </c>
      <c r="P4">
        <v>10.746268656716399</v>
      </c>
      <c r="Q4">
        <v>1.8769167748612701</v>
      </c>
    </row>
    <row r="5" spans="1:17" x14ac:dyDescent="0.25">
      <c r="C5" t="s">
        <v>192</v>
      </c>
      <c r="D5" t="s">
        <v>193</v>
      </c>
      <c r="E5" t="s">
        <v>194</v>
      </c>
      <c r="H5" t="s">
        <v>251</v>
      </c>
      <c r="I5">
        <f t="shared" si="0"/>
        <v>232.5671641791044</v>
      </c>
      <c r="J5">
        <v>0.79016542855975802</v>
      </c>
      <c r="L5" t="s">
        <v>223</v>
      </c>
      <c r="M5" t="s">
        <v>312</v>
      </c>
      <c r="P5">
        <v>16.567164179104399</v>
      </c>
      <c r="Q5">
        <v>0.79016542855975802</v>
      </c>
    </row>
    <row r="6" spans="1:17" x14ac:dyDescent="0.25">
      <c r="C6" t="s">
        <v>192</v>
      </c>
      <c r="D6" t="s">
        <v>193</v>
      </c>
      <c r="E6" t="s">
        <v>194</v>
      </c>
      <c r="H6" t="s">
        <v>251</v>
      </c>
      <c r="I6">
        <f t="shared" si="0"/>
        <v>238.83582089552229</v>
      </c>
      <c r="J6">
        <v>0.91272340997802004</v>
      </c>
      <c r="L6" t="s">
        <v>223</v>
      </c>
      <c r="M6" t="s">
        <v>312</v>
      </c>
      <c r="P6">
        <v>22.8358208955223</v>
      </c>
      <c r="Q6">
        <v>0.91272340997802004</v>
      </c>
    </row>
    <row r="7" spans="1:17" x14ac:dyDescent="0.25">
      <c r="C7" t="s">
        <v>192</v>
      </c>
      <c r="D7" t="s">
        <v>193</v>
      </c>
      <c r="E7" t="s">
        <v>194</v>
      </c>
      <c r="H7" t="s">
        <v>251</v>
      </c>
      <c r="I7">
        <f t="shared" si="0"/>
        <v>263.91044776119401</v>
      </c>
      <c r="J7">
        <v>0.16856871197783199</v>
      </c>
      <c r="L7" t="s">
        <v>223</v>
      </c>
      <c r="M7" t="s">
        <v>312</v>
      </c>
      <c r="P7">
        <v>47.910447761194</v>
      </c>
      <c r="Q7">
        <v>0.16856871197783199</v>
      </c>
    </row>
    <row r="8" spans="1:17" x14ac:dyDescent="0.25">
      <c r="C8" t="s">
        <v>192</v>
      </c>
      <c r="D8" t="s">
        <v>193</v>
      </c>
      <c r="E8" t="s">
        <v>194</v>
      </c>
      <c r="H8" t="s">
        <v>251</v>
      </c>
      <c r="I8">
        <f t="shared" si="0"/>
        <v>311.82089552238801</v>
      </c>
      <c r="J8">
        <v>8.7198453880434804E-2</v>
      </c>
      <c r="L8" t="s">
        <v>223</v>
      </c>
      <c r="M8" t="s">
        <v>312</v>
      </c>
      <c r="P8">
        <v>95.820895522388</v>
      </c>
      <c r="Q8">
        <v>8.7198453880434804E-2</v>
      </c>
    </row>
    <row r="9" spans="1:17" x14ac:dyDescent="0.25">
      <c r="C9" t="s">
        <v>192</v>
      </c>
      <c r="D9" t="s">
        <v>193</v>
      </c>
      <c r="E9" t="s">
        <v>194</v>
      </c>
      <c r="H9" t="s">
        <v>251</v>
      </c>
      <c r="I9">
        <f t="shared" si="0"/>
        <v>333.76119402985</v>
      </c>
      <c r="J9">
        <v>5.4294211119295603E-2</v>
      </c>
      <c r="L9" t="s">
        <v>223</v>
      </c>
      <c r="M9" t="s">
        <v>312</v>
      </c>
      <c r="P9">
        <v>117.76119402985</v>
      </c>
      <c r="Q9">
        <v>5.4294211119295603E-2</v>
      </c>
    </row>
    <row r="10" spans="1:17" x14ac:dyDescent="0.25">
      <c r="C10" t="s">
        <v>253</v>
      </c>
      <c r="D10" t="s">
        <v>254</v>
      </c>
      <c r="E10" t="s">
        <v>194</v>
      </c>
      <c r="H10" t="s">
        <v>251</v>
      </c>
      <c r="I10">
        <f>9*24+P10</f>
        <v>216.12672821198814</v>
      </c>
      <c r="J10">
        <f>Q10*0.001</f>
        <v>0.37686181604900298</v>
      </c>
      <c r="L10" t="s">
        <v>223</v>
      </c>
      <c r="M10" t="s">
        <v>313</v>
      </c>
      <c r="P10">
        <v>0.12672821198814399</v>
      </c>
      <c r="Q10">
        <v>376.86181604900298</v>
      </c>
    </row>
    <row r="11" spans="1:17" x14ac:dyDescent="0.25">
      <c r="C11" t="s">
        <v>253</v>
      </c>
      <c r="D11" t="s">
        <v>254</v>
      </c>
      <c r="E11" t="s">
        <v>194</v>
      </c>
      <c r="H11" t="s">
        <v>251</v>
      </c>
      <c r="I11">
        <f t="shared" si="0"/>
        <v>218.85191280394969</v>
      </c>
      <c r="J11">
        <f t="shared" ref="J11:J17" si="1">Q11*0.001</f>
        <v>0.344868271179613</v>
      </c>
      <c r="L11" t="s">
        <v>223</v>
      </c>
      <c r="M11" t="s">
        <v>313</v>
      </c>
      <c r="P11">
        <v>2.8519128039497001</v>
      </c>
      <c r="Q11">
        <v>344.86827117961298</v>
      </c>
    </row>
    <row r="12" spans="1:17" x14ac:dyDescent="0.25">
      <c r="C12" t="s">
        <v>253</v>
      </c>
      <c r="D12" t="s">
        <v>254</v>
      </c>
      <c r="E12" t="s">
        <v>194</v>
      </c>
      <c r="H12" t="s">
        <v>251</v>
      </c>
      <c r="I12">
        <f t="shared" si="0"/>
        <v>221.86698818083411</v>
      </c>
      <c r="J12">
        <f t="shared" si="1"/>
        <v>0.344868271179613</v>
      </c>
      <c r="L12" t="s">
        <v>223</v>
      </c>
      <c r="M12" t="s">
        <v>313</v>
      </c>
      <c r="P12">
        <v>5.8669881808341202</v>
      </c>
      <c r="Q12">
        <v>344.86827117961298</v>
      </c>
    </row>
    <row r="13" spans="1:17" x14ac:dyDescent="0.25">
      <c r="C13" t="s">
        <v>253</v>
      </c>
      <c r="D13" t="s">
        <v>254</v>
      </c>
      <c r="E13" t="s">
        <v>194</v>
      </c>
      <c r="H13" t="s">
        <v>251</v>
      </c>
      <c r="I13">
        <f t="shared" si="0"/>
        <v>228.5835834162053</v>
      </c>
      <c r="J13">
        <f t="shared" si="1"/>
        <v>0.182366771319599</v>
      </c>
      <c r="L13" t="s">
        <v>223</v>
      </c>
      <c r="M13" t="s">
        <v>313</v>
      </c>
      <c r="P13">
        <v>12.5835834162053</v>
      </c>
      <c r="Q13">
        <v>182.366771319599</v>
      </c>
    </row>
    <row r="14" spans="1:17" x14ac:dyDescent="0.25">
      <c r="C14" t="s">
        <v>253</v>
      </c>
      <c r="D14" t="s">
        <v>254</v>
      </c>
      <c r="E14" t="s">
        <v>194</v>
      </c>
      <c r="H14" t="s">
        <v>251</v>
      </c>
      <c r="I14">
        <f t="shared" si="0"/>
        <v>234.05824217409281</v>
      </c>
      <c r="J14">
        <f t="shared" si="1"/>
        <v>0.126860814557647</v>
      </c>
      <c r="L14" t="s">
        <v>223</v>
      </c>
      <c r="M14" t="s">
        <v>313</v>
      </c>
      <c r="P14">
        <v>18.058242174092801</v>
      </c>
      <c r="Q14">
        <v>126.860814557647</v>
      </c>
    </row>
    <row r="15" spans="1:17" x14ac:dyDescent="0.25">
      <c r="C15" t="s">
        <v>253</v>
      </c>
      <c r="D15" t="s">
        <v>254</v>
      </c>
      <c r="E15" t="s">
        <v>194</v>
      </c>
      <c r="H15" t="s">
        <v>251</v>
      </c>
      <c r="I15">
        <f t="shared" si="0"/>
        <v>238.84328824507821</v>
      </c>
      <c r="J15">
        <f t="shared" si="1"/>
        <v>0.17097188248627701</v>
      </c>
      <c r="L15" t="s">
        <v>223</v>
      </c>
      <c r="M15" t="s">
        <v>313</v>
      </c>
      <c r="P15">
        <v>22.843288245078199</v>
      </c>
      <c r="Q15">
        <v>170.971882486277</v>
      </c>
    </row>
    <row r="16" spans="1:17" x14ac:dyDescent="0.25">
      <c r="C16" t="s">
        <v>253</v>
      </c>
      <c r="D16" t="s">
        <v>254</v>
      </c>
      <c r="E16" t="s">
        <v>194</v>
      </c>
      <c r="H16" t="s">
        <v>251</v>
      </c>
      <c r="I16">
        <f t="shared" si="0"/>
        <v>264.48621390666108</v>
      </c>
      <c r="J16">
        <f t="shared" si="1"/>
        <v>0.15271718701342302</v>
      </c>
      <c r="L16" t="s">
        <v>223</v>
      </c>
      <c r="M16" t="s">
        <v>313</v>
      </c>
      <c r="P16">
        <v>48.486213906661099</v>
      </c>
      <c r="Q16">
        <v>152.717187013423</v>
      </c>
    </row>
    <row r="17" spans="3:17" x14ac:dyDescent="0.25">
      <c r="C17" t="s">
        <v>253</v>
      </c>
      <c r="D17" t="s">
        <v>254</v>
      </c>
      <c r="E17" t="s">
        <v>194</v>
      </c>
      <c r="H17" t="s">
        <v>251</v>
      </c>
      <c r="I17">
        <f t="shared" si="0"/>
        <v>312.50617360004929</v>
      </c>
      <c r="J17">
        <f t="shared" si="1"/>
        <v>8.2734808536299401E-2</v>
      </c>
      <c r="L17" t="s">
        <v>223</v>
      </c>
      <c r="M17" t="s">
        <v>313</v>
      </c>
      <c r="P17">
        <v>96.506173600049294</v>
      </c>
      <c r="Q17">
        <v>82.734808536299397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AB035-4937-4F4E-B2FF-7F1268BE749C}">
  <dimension ref="A1:W22"/>
  <sheetViews>
    <sheetView zoomScaleNormal="100" workbookViewId="0">
      <selection activeCell="W4" sqref="W4:W9"/>
    </sheetView>
  </sheetViews>
  <sheetFormatPr defaultRowHeight="15" x14ac:dyDescent="0.25"/>
  <cols>
    <col min="10" max="10" width="27.5703125" bestFit="1" customWidth="1"/>
    <col min="11" max="11" width="13.28515625" bestFit="1" customWidth="1"/>
    <col min="12" max="12" width="13.28515625" customWidth="1"/>
  </cols>
  <sheetData>
    <row r="1" spans="1:23" x14ac:dyDescent="0.25">
      <c r="A1" s="22" t="s">
        <v>174</v>
      </c>
      <c r="B1" s="22" t="s">
        <v>175</v>
      </c>
      <c r="C1" s="22" t="s">
        <v>176</v>
      </c>
      <c r="D1" s="22" t="s">
        <v>177</v>
      </c>
      <c r="E1" s="22" t="s">
        <v>178</v>
      </c>
      <c r="F1" s="22" t="s">
        <v>179</v>
      </c>
      <c r="G1" s="22" t="s">
        <v>180</v>
      </c>
      <c r="H1" s="22" t="s">
        <v>181</v>
      </c>
      <c r="I1" s="22" t="s">
        <v>0</v>
      </c>
      <c r="J1" s="23" t="s">
        <v>222</v>
      </c>
      <c r="K1" s="23" t="s">
        <v>265</v>
      </c>
      <c r="L1" s="23" t="s">
        <v>269</v>
      </c>
      <c r="M1" s="22" t="s">
        <v>182</v>
      </c>
      <c r="N1" t="s">
        <v>183</v>
      </c>
      <c r="P1" s="32" t="s">
        <v>267</v>
      </c>
      <c r="Q1" s="32"/>
      <c r="S1" s="32" t="s">
        <v>266</v>
      </c>
      <c r="T1" s="32"/>
      <c r="W1" t="s">
        <v>268</v>
      </c>
    </row>
    <row r="2" spans="1:23" x14ac:dyDescent="0.25">
      <c r="A2" s="22"/>
      <c r="B2" s="22"/>
      <c r="C2" s="22"/>
      <c r="D2" s="22"/>
      <c r="E2" s="22"/>
      <c r="F2" s="22"/>
      <c r="G2" s="22"/>
      <c r="H2" s="22"/>
      <c r="I2" s="22"/>
      <c r="J2" s="23"/>
      <c r="K2" s="23"/>
      <c r="L2" s="23"/>
      <c r="M2" s="22"/>
      <c r="P2" s="30"/>
      <c r="Q2" s="30"/>
      <c r="S2" s="30"/>
      <c r="T2" s="30"/>
    </row>
    <row r="3" spans="1:23" x14ac:dyDescent="0.25">
      <c r="C3" t="s">
        <v>192</v>
      </c>
      <c r="D3" t="s">
        <v>193</v>
      </c>
      <c r="E3" t="s">
        <v>194</v>
      </c>
      <c r="G3">
        <v>0</v>
      </c>
      <c r="H3" t="s">
        <v>205</v>
      </c>
      <c r="I3">
        <v>217.92</v>
      </c>
      <c r="J3">
        <f>P3*0.001*0.01</f>
        <v>4.0000000000000002E-4</v>
      </c>
      <c r="K3">
        <f>Q3*0.001*0.01</f>
        <v>2.0000000000000002E-5</v>
      </c>
      <c r="L3" s="31">
        <v>3.9300000000000001E-4</v>
      </c>
      <c r="M3" t="s">
        <v>223</v>
      </c>
      <c r="P3">
        <f>S3/60*40</f>
        <v>40</v>
      </c>
      <c r="Q3">
        <v>2</v>
      </c>
      <c r="S3">
        <v>60</v>
      </c>
      <c r="T3">
        <v>2</v>
      </c>
      <c r="W3">
        <f>W$9*0/0.05</f>
        <v>0</v>
      </c>
    </row>
    <row r="4" spans="1:23" x14ac:dyDescent="0.25">
      <c r="C4" t="s">
        <v>192</v>
      </c>
      <c r="D4" t="s">
        <v>193</v>
      </c>
      <c r="E4" t="s">
        <v>194</v>
      </c>
      <c r="G4" t="s">
        <v>260</v>
      </c>
      <c r="H4" t="s">
        <v>205</v>
      </c>
      <c r="I4">
        <v>217.92</v>
      </c>
      <c r="J4">
        <f t="shared" ref="J4:K9" si="0">P4*0.001*0.01</f>
        <v>3.6000000000000002E-4</v>
      </c>
      <c r="K4">
        <f t="shared" si="0"/>
        <v>5.0000000000000002E-5</v>
      </c>
      <c r="L4" s="31">
        <v>3.9300000000000001E-4</v>
      </c>
      <c r="M4" t="s">
        <v>223</v>
      </c>
      <c r="P4">
        <f t="shared" ref="P4:P8" si="1">S4/60*40</f>
        <v>36</v>
      </c>
      <c r="Q4">
        <v>5</v>
      </c>
      <c r="S4">
        <v>54</v>
      </c>
      <c r="T4">
        <v>5</v>
      </c>
      <c r="W4">
        <f>W$9*0.0001/0.05</f>
        <v>1.7539199999999999E-4</v>
      </c>
    </row>
    <row r="5" spans="1:23" x14ac:dyDescent="0.25">
      <c r="C5" t="s">
        <v>192</v>
      </c>
      <c r="D5" t="s">
        <v>193</v>
      </c>
      <c r="E5" t="s">
        <v>194</v>
      </c>
      <c r="G5" t="s">
        <v>261</v>
      </c>
      <c r="H5" t="s">
        <v>205</v>
      </c>
      <c r="I5">
        <v>217.92</v>
      </c>
      <c r="J5">
        <f t="shared" si="0"/>
        <v>3.2000000000000003E-4</v>
      </c>
      <c r="K5">
        <f t="shared" si="0"/>
        <v>3.0000000000000001E-5</v>
      </c>
      <c r="L5" s="31">
        <v>3.6299999999999999E-4</v>
      </c>
      <c r="M5" t="s">
        <v>223</v>
      </c>
      <c r="P5">
        <f t="shared" si="1"/>
        <v>32</v>
      </c>
      <c r="Q5">
        <v>3</v>
      </c>
      <c r="S5">
        <v>48</v>
      </c>
      <c r="T5">
        <v>3</v>
      </c>
      <c r="W5">
        <f>W$9*0.0005/0.05</f>
        <v>8.7695999999999987E-4</v>
      </c>
    </row>
    <row r="6" spans="1:23" x14ac:dyDescent="0.25">
      <c r="C6" t="s">
        <v>192</v>
      </c>
      <c r="D6" t="s">
        <v>193</v>
      </c>
      <c r="E6" t="s">
        <v>194</v>
      </c>
      <c r="G6" t="s">
        <v>262</v>
      </c>
      <c r="H6" t="s">
        <v>205</v>
      </c>
      <c r="I6">
        <v>217.92</v>
      </c>
      <c r="J6">
        <f t="shared" si="0"/>
        <v>2.8666666666666673E-4</v>
      </c>
      <c r="K6">
        <f t="shared" si="0"/>
        <v>4.0000000000000003E-5</v>
      </c>
      <c r="L6" s="31">
        <v>3.3599999999999998E-4</v>
      </c>
      <c r="M6" t="s">
        <v>223</v>
      </c>
      <c r="P6">
        <f t="shared" si="1"/>
        <v>28.666666666666668</v>
      </c>
      <c r="Q6">
        <v>4</v>
      </c>
      <c r="S6">
        <v>43</v>
      </c>
      <c r="T6">
        <v>4</v>
      </c>
      <c r="W6">
        <f>W$9*0.001/0.05</f>
        <v>1.7539199999999997E-3</v>
      </c>
    </row>
    <row r="7" spans="1:23" x14ac:dyDescent="0.25">
      <c r="C7" t="s">
        <v>192</v>
      </c>
      <c r="D7" t="s">
        <v>193</v>
      </c>
      <c r="E7" t="s">
        <v>194</v>
      </c>
      <c r="G7" t="s">
        <v>263</v>
      </c>
      <c r="H7" t="s">
        <v>205</v>
      </c>
      <c r="I7">
        <v>217.92</v>
      </c>
      <c r="J7">
        <f t="shared" si="0"/>
        <v>2.4000000000000001E-4</v>
      </c>
      <c r="K7">
        <f t="shared" si="0"/>
        <v>2.0000000000000002E-5</v>
      </c>
      <c r="L7" s="31">
        <v>2.5900000000000001E-4</v>
      </c>
      <c r="M7" t="s">
        <v>223</v>
      </c>
      <c r="P7">
        <f t="shared" si="1"/>
        <v>24</v>
      </c>
      <c r="Q7">
        <v>2</v>
      </c>
      <c r="S7">
        <v>36</v>
      </c>
      <c r="T7">
        <v>2</v>
      </c>
      <c r="W7">
        <f>W$9*0.005/0.05</f>
        <v>8.7695999999999989E-3</v>
      </c>
    </row>
    <row r="8" spans="1:23" x14ac:dyDescent="0.25">
      <c r="C8" t="s">
        <v>192</v>
      </c>
      <c r="D8" t="s">
        <v>193</v>
      </c>
      <c r="E8" t="s">
        <v>194</v>
      </c>
      <c r="G8" t="s">
        <v>264</v>
      </c>
      <c r="H8" t="s">
        <v>205</v>
      </c>
      <c r="I8">
        <v>217.92</v>
      </c>
      <c r="J8">
        <f t="shared" si="0"/>
        <v>2.2666666666666666E-4</v>
      </c>
      <c r="K8">
        <f t="shared" si="0"/>
        <v>3.0000000000000001E-5</v>
      </c>
      <c r="L8" s="31">
        <v>2.3499999999999999E-4</v>
      </c>
      <c r="M8" t="s">
        <v>223</v>
      </c>
      <c r="P8">
        <f t="shared" si="1"/>
        <v>22.666666666666664</v>
      </c>
      <c r="Q8">
        <v>3</v>
      </c>
      <c r="S8">
        <v>34</v>
      </c>
      <c r="T8">
        <v>3</v>
      </c>
      <c r="W8">
        <f>W$9*0.01/0.05</f>
        <v>1.7539199999999998E-2</v>
      </c>
    </row>
    <row r="9" spans="1:23" x14ac:dyDescent="0.25">
      <c r="G9" t="s">
        <v>271</v>
      </c>
      <c r="H9" t="s">
        <v>205</v>
      </c>
      <c r="J9">
        <f t="shared" si="0"/>
        <v>2.5500000000000002E-4</v>
      </c>
      <c r="L9" s="31">
        <v>2.1000000000000001E-4</v>
      </c>
      <c r="P9">
        <v>25.5</v>
      </c>
      <c r="W9">
        <v>8.7695999999999996E-2</v>
      </c>
    </row>
    <row r="10" spans="1:23" x14ac:dyDescent="0.25">
      <c r="C10" t="s">
        <v>192</v>
      </c>
      <c r="D10" t="s">
        <v>193</v>
      </c>
      <c r="E10" t="s">
        <v>194</v>
      </c>
      <c r="G10">
        <v>0</v>
      </c>
      <c r="H10" t="s">
        <v>206</v>
      </c>
      <c r="I10">
        <v>217.92</v>
      </c>
      <c r="J10">
        <f>P10*0.01</f>
        <v>2.7999999999999997E-2</v>
      </c>
      <c r="K10">
        <f>Q10*0.01</f>
        <v>3.0000000000000001E-3</v>
      </c>
      <c r="L10" s="31">
        <v>2.8199999999999999E-2</v>
      </c>
      <c r="M10" t="s">
        <v>223</v>
      </c>
      <c r="P10">
        <f>S10/4.2*2.8</f>
        <v>2.8</v>
      </c>
      <c r="Q10">
        <v>0.3</v>
      </c>
      <c r="S10">
        <v>4.2</v>
      </c>
      <c r="T10">
        <v>0.3</v>
      </c>
    </row>
    <row r="11" spans="1:23" x14ac:dyDescent="0.25">
      <c r="C11" t="s">
        <v>192</v>
      </c>
      <c r="D11" t="s">
        <v>193</v>
      </c>
      <c r="E11" t="s">
        <v>194</v>
      </c>
      <c r="G11" t="s">
        <v>260</v>
      </c>
      <c r="H11" t="s">
        <v>206</v>
      </c>
      <c r="I11">
        <v>217.92</v>
      </c>
      <c r="J11">
        <f t="shared" ref="J11:K15" si="2">P11*0.01</f>
        <v>3.8666666666666662E-2</v>
      </c>
      <c r="K11">
        <f t="shared" si="2"/>
        <v>4.0000000000000001E-3</v>
      </c>
      <c r="L11" s="31">
        <v>2.7E-2</v>
      </c>
      <c r="M11" t="s">
        <v>223</v>
      </c>
      <c r="P11">
        <f t="shared" ref="P11:P15" si="3">S11/4.2*2.8</f>
        <v>3.8666666666666663</v>
      </c>
      <c r="Q11">
        <v>0.4</v>
      </c>
      <c r="S11">
        <v>5.8</v>
      </c>
      <c r="T11">
        <v>0.4</v>
      </c>
    </row>
    <row r="12" spans="1:23" x14ac:dyDescent="0.25">
      <c r="C12" t="s">
        <v>192</v>
      </c>
      <c r="D12" t="s">
        <v>193</v>
      </c>
      <c r="E12" t="s">
        <v>194</v>
      </c>
      <c r="G12" t="s">
        <v>261</v>
      </c>
      <c r="H12" t="s">
        <v>206</v>
      </c>
      <c r="I12">
        <v>217.92</v>
      </c>
      <c r="J12">
        <f t="shared" si="2"/>
        <v>2.5333333333333329E-2</v>
      </c>
      <c r="K12">
        <f t="shared" si="2"/>
        <v>4.0000000000000001E-3</v>
      </c>
      <c r="L12" s="31">
        <v>2.3400000000000001E-2</v>
      </c>
      <c r="M12" t="s">
        <v>223</v>
      </c>
      <c r="P12">
        <f t="shared" si="3"/>
        <v>2.5333333333333328</v>
      </c>
      <c r="Q12">
        <v>0.4</v>
      </c>
      <c r="S12">
        <v>3.8</v>
      </c>
      <c r="T12">
        <v>0.4</v>
      </c>
    </row>
    <row r="13" spans="1:23" x14ac:dyDescent="0.25">
      <c r="C13" t="s">
        <v>192</v>
      </c>
      <c r="D13" t="s">
        <v>193</v>
      </c>
      <c r="E13" t="s">
        <v>194</v>
      </c>
      <c r="G13" t="s">
        <v>262</v>
      </c>
      <c r="H13" t="s">
        <v>206</v>
      </c>
      <c r="I13">
        <v>217.92</v>
      </c>
      <c r="J13">
        <f t="shared" si="2"/>
        <v>1.8666666666666665E-2</v>
      </c>
      <c r="K13">
        <f t="shared" si="2"/>
        <v>4.0000000000000001E-3</v>
      </c>
      <c r="L13" s="31">
        <v>2.0199999999999999E-2</v>
      </c>
      <c r="M13" t="s">
        <v>223</v>
      </c>
      <c r="P13">
        <f t="shared" si="3"/>
        <v>1.8666666666666665</v>
      </c>
      <c r="Q13">
        <v>0.4</v>
      </c>
      <c r="S13">
        <v>2.8</v>
      </c>
      <c r="T13">
        <v>0.4</v>
      </c>
    </row>
    <row r="14" spans="1:23" x14ac:dyDescent="0.25">
      <c r="C14" t="s">
        <v>192</v>
      </c>
      <c r="D14" t="s">
        <v>193</v>
      </c>
      <c r="E14" t="s">
        <v>194</v>
      </c>
      <c r="G14" t="s">
        <v>263</v>
      </c>
      <c r="H14" t="s">
        <v>206</v>
      </c>
      <c r="I14">
        <v>217.92</v>
      </c>
      <c r="J14">
        <f t="shared" si="2"/>
        <v>1.0666666666666665E-2</v>
      </c>
      <c r="K14">
        <f t="shared" si="2"/>
        <v>2E-3</v>
      </c>
      <c r="L14" s="31">
        <v>1.0999999999999999E-2</v>
      </c>
      <c r="M14" t="s">
        <v>223</v>
      </c>
      <c r="P14">
        <f t="shared" si="3"/>
        <v>1.0666666666666664</v>
      </c>
      <c r="Q14">
        <v>0.2</v>
      </c>
      <c r="S14">
        <v>1.6</v>
      </c>
      <c r="T14">
        <v>0.2</v>
      </c>
    </row>
    <row r="15" spans="1:23" x14ac:dyDescent="0.25">
      <c r="C15" t="s">
        <v>192</v>
      </c>
      <c r="D15" t="s">
        <v>193</v>
      </c>
      <c r="E15" t="s">
        <v>194</v>
      </c>
      <c r="G15" t="s">
        <v>264</v>
      </c>
      <c r="H15" t="s">
        <v>206</v>
      </c>
      <c r="I15">
        <v>217.92</v>
      </c>
      <c r="J15">
        <f t="shared" si="2"/>
        <v>6.6666666666666662E-3</v>
      </c>
      <c r="K15">
        <f t="shared" si="2"/>
        <v>1E-3</v>
      </c>
      <c r="L15" s="31">
        <v>8.1700000000000002E-3</v>
      </c>
      <c r="M15" t="s">
        <v>223</v>
      </c>
      <c r="P15">
        <f t="shared" si="3"/>
        <v>0.66666666666666663</v>
      </c>
      <c r="Q15">
        <v>0.1</v>
      </c>
      <c r="S15">
        <v>1</v>
      </c>
      <c r="T15">
        <v>0.1</v>
      </c>
    </row>
    <row r="16" spans="1:23" x14ac:dyDescent="0.25">
      <c r="G16">
        <v>0.05</v>
      </c>
      <c r="H16" t="s">
        <v>206</v>
      </c>
      <c r="J16" s="31">
        <v>6.3400000000000001E-3</v>
      </c>
      <c r="L16" s="31">
        <v>5.1399999999999996E-3</v>
      </c>
      <c r="P16" s="31"/>
    </row>
    <row r="17" spans="3:20" x14ac:dyDescent="0.25">
      <c r="C17" t="s">
        <v>192</v>
      </c>
      <c r="D17" t="s">
        <v>193</v>
      </c>
      <c r="E17" t="s">
        <v>194</v>
      </c>
      <c r="G17">
        <v>0</v>
      </c>
      <c r="H17" t="s">
        <v>196</v>
      </c>
      <c r="I17">
        <v>217.92</v>
      </c>
      <c r="J17">
        <f>P17*0.001</f>
        <v>2.5000000000000001E-3</v>
      </c>
      <c r="K17">
        <f>Q17*0.001</f>
        <v>5.0000000000000001E-4</v>
      </c>
      <c r="L17" s="31">
        <v>2.5200000000000001E-3</v>
      </c>
      <c r="M17" t="s">
        <v>223</v>
      </c>
      <c r="P17">
        <f>S17/2.9*2.5</f>
        <v>2.5</v>
      </c>
      <c r="Q17">
        <v>0.5</v>
      </c>
      <c r="S17">
        <v>2.9</v>
      </c>
      <c r="T17">
        <v>0.5</v>
      </c>
    </row>
    <row r="18" spans="3:20" x14ac:dyDescent="0.25">
      <c r="C18" t="s">
        <v>192</v>
      </c>
      <c r="D18" t="s">
        <v>193</v>
      </c>
      <c r="E18" t="s">
        <v>194</v>
      </c>
      <c r="G18" t="s">
        <v>260</v>
      </c>
      <c r="H18" t="s">
        <v>196</v>
      </c>
      <c r="I18">
        <v>217.92</v>
      </c>
      <c r="J18">
        <f t="shared" ref="J18:K22" si="4">P18*0.001</f>
        <v>3.9655172413793098E-3</v>
      </c>
      <c r="K18">
        <f t="shared" si="4"/>
        <v>1E-3</v>
      </c>
      <c r="L18" s="31">
        <v>2.5400000000000002E-3</v>
      </c>
      <c r="M18" t="s">
        <v>223</v>
      </c>
      <c r="P18">
        <f t="shared" ref="P18:P22" si="5">S18/2.9*2.5</f>
        <v>3.9655172413793101</v>
      </c>
      <c r="Q18">
        <v>1</v>
      </c>
      <c r="S18">
        <v>4.5999999999999996</v>
      </c>
      <c r="T18">
        <v>1</v>
      </c>
    </row>
    <row r="19" spans="3:20" x14ac:dyDescent="0.25">
      <c r="C19" t="s">
        <v>192</v>
      </c>
      <c r="D19" t="s">
        <v>193</v>
      </c>
      <c r="E19" t="s">
        <v>194</v>
      </c>
      <c r="G19" t="s">
        <v>261</v>
      </c>
      <c r="H19" t="s">
        <v>196</v>
      </c>
      <c r="I19">
        <v>217.92</v>
      </c>
      <c r="J19">
        <f t="shared" si="4"/>
        <v>1.0086206896551724E-2</v>
      </c>
      <c r="K19">
        <f t="shared" si="4"/>
        <v>1.5E-3</v>
      </c>
      <c r="L19" s="31">
        <v>2.7599999999999999E-3</v>
      </c>
      <c r="M19" t="s">
        <v>223</v>
      </c>
      <c r="P19">
        <f t="shared" si="5"/>
        <v>10.086206896551724</v>
      </c>
      <c r="Q19">
        <v>1.5</v>
      </c>
      <c r="S19">
        <v>11.7</v>
      </c>
      <c r="T19">
        <v>1.5</v>
      </c>
    </row>
    <row r="20" spans="3:20" x14ac:dyDescent="0.25">
      <c r="C20" t="s">
        <v>192</v>
      </c>
      <c r="D20" t="s">
        <v>193</v>
      </c>
      <c r="E20" t="s">
        <v>194</v>
      </c>
      <c r="G20" t="s">
        <v>262</v>
      </c>
      <c r="H20" t="s">
        <v>196</v>
      </c>
      <c r="I20">
        <v>217.92</v>
      </c>
      <c r="J20">
        <f t="shared" si="4"/>
        <v>8.4482758620689664E-3</v>
      </c>
      <c r="K20">
        <f t="shared" si="4"/>
        <v>6.9999999999999999E-4</v>
      </c>
      <c r="L20" s="31">
        <v>3.0000000000000001E-3</v>
      </c>
      <c r="M20" t="s">
        <v>223</v>
      </c>
      <c r="P20">
        <f t="shared" si="5"/>
        <v>8.4482758620689662</v>
      </c>
      <c r="Q20">
        <v>0.7</v>
      </c>
      <c r="S20">
        <v>9.8000000000000007</v>
      </c>
      <c r="T20">
        <v>0.7</v>
      </c>
    </row>
    <row r="21" spans="3:20" x14ac:dyDescent="0.25">
      <c r="C21" t="s">
        <v>192</v>
      </c>
      <c r="D21" t="s">
        <v>193</v>
      </c>
      <c r="E21" t="s">
        <v>194</v>
      </c>
      <c r="G21" t="s">
        <v>263</v>
      </c>
      <c r="H21" t="s">
        <v>196</v>
      </c>
      <c r="I21">
        <v>217.92</v>
      </c>
      <c r="J21">
        <f t="shared" si="4"/>
        <v>1.0172413793103451E-2</v>
      </c>
      <c r="K21">
        <f t="shared" si="4"/>
        <v>1.8000000000000002E-3</v>
      </c>
      <c r="L21" s="31">
        <v>4.2399999999999998E-3</v>
      </c>
      <c r="M21" t="s">
        <v>223</v>
      </c>
      <c r="P21">
        <f t="shared" si="5"/>
        <v>10.17241379310345</v>
      </c>
      <c r="Q21">
        <v>1.8</v>
      </c>
      <c r="S21">
        <v>11.8</v>
      </c>
      <c r="T21">
        <v>1.8</v>
      </c>
    </row>
    <row r="22" spans="3:20" x14ac:dyDescent="0.25">
      <c r="C22" t="s">
        <v>192</v>
      </c>
      <c r="D22" t="s">
        <v>193</v>
      </c>
      <c r="E22" t="s">
        <v>194</v>
      </c>
      <c r="G22" t="s">
        <v>264</v>
      </c>
      <c r="H22" t="s">
        <v>196</v>
      </c>
      <c r="I22">
        <v>217.92</v>
      </c>
      <c r="J22">
        <f t="shared" si="4"/>
        <v>8.9655172413793099E-3</v>
      </c>
      <c r="K22">
        <f t="shared" si="4"/>
        <v>5.9999999999999995E-4</v>
      </c>
      <c r="L22" s="31">
        <v>5.0000000000000001E-3</v>
      </c>
      <c r="M22" t="s">
        <v>223</v>
      </c>
      <c r="P22">
        <f t="shared" si="5"/>
        <v>8.9655172413793096</v>
      </c>
      <c r="Q22">
        <v>0.6</v>
      </c>
      <c r="S22">
        <v>10.4</v>
      </c>
      <c r="T22">
        <v>0.6</v>
      </c>
    </row>
  </sheetData>
  <mergeCells count="2">
    <mergeCell ref="S1:T1"/>
    <mergeCell ref="P1:Q1"/>
  </mergeCells>
  <phoneticPr fontId="2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18F41-3F3C-4370-BA0E-305ECD173289}">
  <dimension ref="A1:W22"/>
  <sheetViews>
    <sheetView topLeftCell="C1" zoomScale="115" zoomScaleNormal="115" workbookViewId="0">
      <selection activeCell="P2" sqref="P2"/>
    </sheetView>
  </sheetViews>
  <sheetFormatPr defaultRowHeight="15" x14ac:dyDescent="0.25"/>
  <cols>
    <col min="10" max="10" width="27.5703125" bestFit="1" customWidth="1"/>
    <col min="11" max="11" width="13.28515625" bestFit="1" customWidth="1"/>
    <col min="12" max="12" width="13.28515625" customWidth="1"/>
  </cols>
  <sheetData>
    <row r="1" spans="1:23" x14ac:dyDescent="0.25">
      <c r="A1" s="22" t="s">
        <v>174</v>
      </c>
      <c r="B1" s="22" t="s">
        <v>175</v>
      </c>
      <c r="C1" s="22" t="s">
        <v>176</v>
      </c>
      <c r="D1" s="22" t="s">
        <v>177</v>
      </c>
      <c r="E1" s="22" t="s">
        <v>178</v>
      </c>
      <c r="F1" s="22" t="s">
        <v>179</v>
      </c>
      <c r="G1" s="22" t="s">
        <v>180</v>
      </c>
      <c r="H1" s="22" t="s">
        <v>181</v>
      </c>
      <c r="I1" s="22" t="s">
        <v>0</v>
      </c>
      <c r="J1" s="23" t="s">
        <v>222</v>
      </c>
      <c r="K1" s="23" t="s">
        <v>265</v>
      </c>
      <c r="L1" s="23" t="s">
        <v>269</v>
      </c>
      <c r="M1" s="22" t="s">
        <v>182</v>
      </c>
      <c r="N1" t="s">
        <v>183</v>
      </c>
      <c r="P1" s="32" t="s">
        <v>267</v>
      </c>
      <c r="Q1" s="32"/>
      <c r="S1" s="32" t="s">
        <v>266</v>
      </c>
      <c r="T1" s="32"/>
      <c r="W1" t="s">
        <v>268</v>
      </c>
    </row>
    <row r="2" spans="1:23" x14ac:dyDescent="0.25">
      <c r="C2" t="s">
        <v>192</v>
      </c>
      <c r="D2" t="s">
        <v>193</v>
      </c>
      <c r="E2" t="s">
        <v>194</v>
      </c>
      <c r="G2">
        <v>0</v>
      </c>
      <c r="H2" t="s">
        <v>205</v>
      </c>
      <c r="I2">
        <v>217.92</v>
      </c>
      <c r="J2">
        <f>P2*0.001*0.01</f>
        <v>4.0000000000000002E-4</v>
      </c>
      <c r="K2">
        <f>Q2*0.001*0.01</f>
        <v>2.9691876750700277E-5</v>
      </c>
      <c r="L2" s="31">
        <v>3.9300000000000001E-4</v>
      </c>
      <c r="M2" t="s">
        <v>223</v>
      </c>
      <c r="P2">
        <f>S2/S$2*40</f>
        <v>40</v>
      </c>
      <c r="Q2">
        <f>P2*T2/S2</f>
        <v>2.9691876750700277</v>
      </c>
      <c r="S2">
        <v>71.400000000000006</v>
      </c>
      <c r="T2">
        <v>5.3</v>
      </c>
      <c r="W2">
        <f>W$8*0/0.05</f>
        <v>0</v>
      </c>
    </row>
    <row r="3" spans="1:23" x14ac:dyDescent="0.25">
      <c r="C3" t="s">
        <v>192</v>
      </c>
      <c r="D3" t="s">
        <v>193</v>
      </c>
      <c r="E3" t="s">
        <v>194</v>
      </c>
      <c r="G3" t="s">
        <v>260</v>
      </c>
      <c r="H3" t="s">
        <v>205</v>
      </c>
      <c r="I3">
        <v>217.92</v>
      </c>
      <c r="J3">
        <f>P3*0.001*0.01</f>
        <v>3.3725490196078437E-4</v>
      </c>
      <c r="K3">
        <f t="shared" ref="K3:K8" si="0">Q3*0.001*0.01</f>
        <v>2.5210084033613446E-5</v>
      </c>
      <c r="L3" s="31">
        <v>3.57E-4</v>
      </c>
      <c r="M3" t="s">
        <v>223</v>
      </c>
      <c r="P3">
        <f t="shared" ref="P3:P8" si="1">S3/S$2*40</f>
        <v>33.725490196078432</v>
      </c>
      <c r="Q3">
        <f t="shared" ref="Q3:Q22" si="2">P3*T3/S3</f>
        <v>2.5210084033613445</v>
      </c>
      <c r="S3">
        <v>60.2</v>
      </c>
      <c r="T3">
        <v>4.5</v>
      </c>
      <c r="W3">
        <f>W$8*0.0001/0.05</f>
        <v>1.7539199999999999E-4</v>
      </c>
    </row>
    <row r="4" spans="1:23" x14ac:dyDescent="0.25">
      <c r="C4" t="s">
        <v>192</v>
      </c>
      <c r="D4" t="s">
        <v>193</v>
      </c>
      <c r="E4" t="s">
        <v>194</v>
      </c>
      <c r="G4" t="s">
        <v>261</v>
      </c>
      <c r="H4" t="s">
        <v>205</v>
      </c>
      <c r="I4">
        <v>217.92</v>
      </c>
      <c r="J4">
        <f t="shared" ref="J4:J8" si="3">P4*0.001*0.01</f>
        <v>3.5966386554621849E-4</v>
      </c>
      <c r="K4">
        <f t="shared" si="0"/>
        <v>2.8011204481792721E-5</v>
      </c>
      <c r="L4" s="31">
        <v>2.5799999999999998E-4</v>
      </c>
      <c r="M4" t="s">
        <v>223</v>
      </c>
      <c r="P4">
        <f t="shared" si="1"/>
        <v>35.966386554621849</v>
      </c>
      <c r="Q4">
        <f t="shared" si="2"/>
        <v>2.801120448179272</v>
      </c>
      <c r="S4">
        <v>64.2</v>
      </c>
      <c r="T4">
        <v>5</v>
      </c>
      <c r="W4">
        <f>W$8*0.0005/0.05</f>
        <v>8.7695999999999987E-4</v>
      </c>
    </row>
    <row r="5" spans="1:23" x14ac:dyDescent="0.25">
      <c r="C5" t="s">
        <v>192</v>
      </c>
      <c r="D5" t="s">
        <v>193</v>
      </c>
      <c r="E5" t="s">
        <v>194</v>
      </c>
      <c r="G5" t="s">
        <v>262</v>
      </c>
      <c r="H5" t="s">
        <v>205</v>
      </c>
      <c r="I5">
        <v>217.92</v>
      </c>
      <c r="J5">
        <f t="shared" si="3"/>
        <v>2.8627450980392162E-4</v>
      </c>
      <c r="K5">
        <f t="shared" si="0"/>
        <v>3.4173669467787114E-5</v>
      </c>
      <c r="L5" s="31">
        <v>2.0000000000000001E-4</v>
      </c>
      <c r="M5" t="s">
        <v>223</v>
      </c>
      <c r="P5">
        <f t="shared" si="1"/>
        <v>28.627450980392158</v>
      </c>
      <c r="Q5">
        <f t="shared" si="2"/>
        <v>3.4173669467787113</v>
      </c>
      <c r="S5">
        <v>51.1</v>
      </c>
      <c r="T5">
        <v>6.1</v>
      </c>
      <c r="W5">
        <f>W$8*0.001/0.05</f>
        <v>1.7539199999999997E-3</v>
      </c>
    </row>
    <row r="6" spans="1:23" x14ac:dyDescent="0.25">
      <c r="C6" t="s">
        <v>192</v>
      </c>
      <c r="D6" t="s">
        <v>193</v>
      </c>
      <c r="E6" t="s">
        <v>194</v>
      </c>
      <c r="G6" t="s">
        <v>263</v>
      </c>
      <c r="H6" t="s">
        <v>205</v>
      </c>
      <c r="I6">
        <v>217.92</v>
      </c>
      <c r="J6">
        <f t="shared" si="3"/>
        <v>1.1204481792717087E-4</v>
      </c>
      <c r="K6">
        <f t="shared" si="0"/>
        <v>6.1624649859943983E-6</v>
      </c>
      <c r="L6" s="31">
        <v>1E-4</v>
      </c>
      <c r="M6" t="s">
        <v>223</v>
      </c>
      <c r="P6">
        <f t="shared" si="1"/>
        <v>11.204481792717086</v>
      </c>
      <c r="Q6">
        <f t="shared" si="2"/>
        <v>0.61624649859943981</v>
      </c>
      <c r="S6">
        <v>20</v>
      </c>
      <c r="T6">
        <v>1.1000000000000001</v>
      </c>
      <c r="W6">
        <f>W$8*0.005/0.05</f>
        <v>8.7695999999999989E-3</v>
      </c>
    </row>
    <row r="7" spans="1:23" x14ac:dyDescent="0.25">
      <c r="C7" t="s">
        <v>192</v>
      </c>
      <c r="D7" t="s">
        <v>193</v>
      </c>
      <c r="E7" t="s">
        <v>194</v>
      </c>
      <c r="G7" t="s">
        <v>264</v>
      </c>
      <c r="H7" t="s">
        <v>205</v>
      </c>
      <c r="I7">
        <v>217.92</v>
      </c>
      <c r="J7">
        <f t="shared" si="3"/>
        <v>6.3305322128851538E-5</v>
      </c>
      <c r="K7">
        <f t="shared" si="0"/>
        <v>8.2352941176470581E-5</v>
      </c>
      <c r="L7" s="31">
        <v>8.6600000000000004E-5</v>
      </c>
      <c r="M7" t="s">
        <v>223</v>
      </c>
      <c r="P7">
        <f t="shared" si="1"/>
        <v>6.3305322128851538</v>
      </c>
      <c r="Q7">
        <f t="shared" si="2"/>
        <v>8.235294117647058</v>
      </c>
      <c r="S7">
        <v>11.3</v>
      </c>
      <c r="T7">
        <v>14.7</v>
      </c>
      <c r="W7">
        <f>W$8*0.01/0.05</f>
        <v>1.7539199999999998E-2</v>
      </c>
    </row>
    <row r="8" spans="1:23" x14ac:dyDescent="0.25">
      <c r="C8" t="s">
        <v>192</v>
      </c>
      <c r="D8" t="s">
        <v>193</v>
      </c>
      <c r="E8" t="s">
        <v>194</v>
      </c>
      <c r="G8" t="s">
        <v>270</v>
      </c>
      <c r="H8" t="s">
        <v>205</v>
      </c>
      <c r="I8">
        <v>217.92</v>
      </c>
      <c r="J8">
        <f t="shared" si="3"/>
        <v>5.99439775910364E-5</v>
      </c>
      <c r="K8">
        <f t="shared" si="0"/>
        <v>1.176470588235294E-5</v>
      </c>
      <c r="L8" s="31">
        <v>6.9999999999999994E-5</v>
      </c>
      <c r="M8" t="s">
        <v>223</v>
      </c>
      <c r="P8">
        <f t="shared" si="1"/>
        <v>5.9943977591036397</v>
      </c>
      <c r="Q8">
        <f t="shared" si="2"/>
        <v>1.1764705882352939</v>
      </c>
      <c r="S8">
        <v>10.7</v>
      </c>
      <c r="T8">
        <v>2.1</v>
      </c>
      <c r="W8">
        <v>8.7695999999999996E-2</v>
      </c>
    </row>
    <row r="9" spans="1:23" x14ac:dyDescent="0.25">
      <c r="C9" t="s">
        <v>192</v>
      </c>
      <c r="D9" t="s">
        <v>193</v>
      </c>
      <c r="E9" t="s">
        <v>194</v>
      </c>
      <c r="G9">
        <v>0</v>
      </c>
      <c r="H9" t="s">
        <v>206</v>
      </c>
      <c r="I9">
        <v>217.92</v>
      </c>
      <c r="J9">
        <f>P9*0.01</f>
        <v>2.7999999999999997E-2</v>
      </c>
      <c r="K9">
        <f>Q9*0.01</f>
        <v>1.5201401050788091E-3</v>
      </c>
      <c r="L9" s="31">
        <v>2.8199999999999999E-2</v>
      </c>
      <c r="M9" t="s">
        <v>223</v>
      </c>
      <c r="P9">
        <f>S9/S$9*2.8</f>
        <v>2.8</v>
      </c>
      <c r="Q9">
        <f t="shared" si="2"/>
        <v>0.15201401050788091</v>
      </c>
      <c r="S9">
        <v>5.71</v>
      </c>
      <c r="T9">
        <v>0.31</v>
      </c>
    </row>
    <row r="10" spans="1:23" x14ac:dyDescent="0.25">
      <c r="C10" t="s">
        <v>192</v>
      </c>
      <c r="D10" t="s">
        <v>193</v>
      </c>
      <c r="E10" t="s">
        <v>194</v>
      </c>
      <c r="G10" t="s">
        <v>260</v>
      </c>
      <c r="H10" t="s">
        <v>206</v>
      </c>
      <c r="I10">
        <v>217.92</v>
      </c>
      <c r="J10">
        <f t="shared" ref="J10:J15" si="4">P10*0.01</f>
        <v>2.1919439579684757E-2</v>
      </c>
      <c r="K10">
        <f t="shared" ref="K10:K15" si="5">Q10*0.01</f>
        <v>1.5201401050788091E-3</v>
      </c>
      <c r="L10" s="31">
        <v>2.47E-2</v>
      </c>
      <c r="M10" t="s">
        <v>223</v>
      </c>
      <c r="P10">
        <f t="shared" ref="P10:P15" si="6">S10/S$9*2.8</f>
        <v>2.1919439579684759</v>
      </c>
      <c r="Q10">
        <f t="shared" si="2"/>
        <v>0.15201401050788091</v>
      </c>
      <c r="S10">
        <v>4.47</v>
      </c>
      <c r="T10">
        <v>0.31</v>
      </c>
    </row>
    <row r="11" spans="1:23" x14ac:dyDescent="0.25">
      <c r="C11" t="s">
        <v>192</v>
      </c>
      <c r="D11" t="s">
        <v>193</v>
      </c>
      <c r="E11" t="s">
        <v>194</v>
      </c>
      <c r="G11" t="s">
        <v>261</v>
      </c>
      <c r="H11" t="s">
        <v>206</v>
      </c>
      <c r="I11">
        <v>217.92</v>
      </c>
      <c r="J11">
        <f t="shared" si="4"/>
        <v>2.2605954465849388E-2</v>
      </c>
      <c r="K11">
        <f t="shared" si="5"/>
        <v>1.8143607705779334E-3</v>
      </c>
      <c r="L11" s="31">
        <v>1.6799999999999999E-2</v>
      </c>
      <c r="M11" t="s">
        <v>223</v>
      </c>
      <c r="P11">
        <f t="shared" si="6"/>
        <v>2.2605954465849387</v>
      </c>
      <c r="Q11">
        <f t="shared" si="2"/>
        <v>0.18143607705779333</v>
      </c>
      <c r="S11">
        <v>4.6100000000000003</v>
      </c>
      <c r="T11">
        <v>0.37</v>
      </c>
    </row>
    <row r="12" spans="1:23" x14ac:dyDescent="0.25">
      <c r="C12" t="s">
        <v>192</v>
      </c>
      <c r="D12" t="s">
        <v>193</v>
      </c>
      <c r="E12" t="s">
        <v>194</v>
      </c>
      <c r="G12" t="s">
        <v>262</v>
      </c>
      <c r="H12" t="s">
        <v>206</v>
      </c>
      <c r="I12">
        <v>217.92</v>
      </c>
      <c r="J12">
        <f t="shared" si="4"/>
        <v>1.6819614711033277E-2</v>
      </c>
      <c r="K12">
        <f t="shared" si="5"/>
        <v>1.5691768826619967E-3</v>
      </c>
      <c r="L12" s="31">
        <v>1.2200000000000001E-2</v>
      </c>
      <c r="M12" t="s">
        <v>223</v>
      </c>
      <c r="P12">
        <f t="shared" si="6"/>
        <v>1.6819614711033277</v>
      </c>
      <c r="Q12">
        <f t="shared" si="2"/>
        <v>0.15691768826619967</v>
      </c>
      <c r="S12">
        <v>3.43</v>
      </c>
      <c r="T12">
        <v>0.32</v>
      </c>
    </row>
    <row r="13" spans="1:23" x14ac:dyDescent="0.25">
      <c r="C13" t="s">
        <v>192</v>
      </c>
      <c r="D13" t="s">
        <v>193</v>
      </c>
      <c r="E13" t="s">
        <v>194</v>
      </c>
      <c r="G13" t="s">
        <v>263</v>
      </c>
      <c r="H13" t="s">
        <v>206</v>
      </c>
      <c r="I13">
        <v>217.92</v>
      </c>
      <c r="J13">
        <f t="shared" si="4"/>
        <v>5.492119089316988E-3</v>
      </c>
      <c r="K13">
        <f t="shared" si="5"/>
        <v>8.3362521891418555E-4</v>
      </c>
      <c r="L13" s="31">
        <v>4.8999999999999998E-3</v>
      </c>
      <c r="M13" t="s">
        <v>223</v>
      </c>
      <c r="P13">
        <f t="shared" si="6"/>
        <v>0.5492119089316988</v>
      </c>
      <c r="Q13">
        <f t="shared" si="2"/>
        <v>8.3362521891418559E-2</v>
      </c>
      <c r="S13">
        <v>1.1200000000000001</v>
      </c>
      <c r="T13">
        <v>0.17</v>
      </c>
    </row>
    <row r="14" spans="1:23" x14ac:dyDescent="0.25">
      <c r="C14" t="s">
        <v>192</v>
      </c>
      <c r="D14" t="s">
        <v>193</v>
      </c>
      <c r="E14" t="s">
        <v>194</v>
      </c>
      <c r="G14" t="s">
        <v>264</v>
      </c>
      <c r="H14" t="s">
        <v>206</v>
      </c>
      <c r="I14">
        <v>217.92</v>
      </c>
      <c r="J14">
        <f t="shared" si="4"/>
        <v>3.57968476357268E-3</v>
      </c>
      <c r="K14">
        <f t="shared" si="5"/>
        <v>5.3940455341506134E-4</v>
      </c>
      <c r="L14" s="31">
        <v>3.5300000000000002E-3</v>
      </c>
      <c r="M14" t="s">
        <v>223</v>
      </c>
      <c r="P14">
        <f t="shared" si="6"/>
        <v>0.35796847635726797</v>
      </c>
      <c r="Q14">
        <f t="shared" si="2"/>
        <v>5.3940455341506127E-2</v>
      </c>
      <c r="S14">
        <v>0.73</v>
      </c>
      <c r="T14">
        <v>0.11</v>
      </c>
    </row>
    <row r="15" spans="1:23" x14ac:dyDescent="0.25">
      <c r="C15" t="s">
        <v>192</v>
      </c>
      <c r="D15" t="s">
        <v>193</v>
      </c>
      <c r="E15" t="s">
        <v>194</v>
      </c>
      <c r="G15" t="s">
        <v>270</v>
      </c>
      <c r="H15" t="s">
        <v>206</v>
      </c>
      <c r="I15">
        <v>217.92</v>
      </c>
      <c r="J15">
        <f t="shared" si="4"/>
        <v>1.373029772329247E-3</v>
      </c>
      <c r="K15">
        <f t="shared" si="5"/>
        <v>1.9614711033274956E-4</v>
      </c>
      <c r="L15" s="31">
        <v>2.31E-3</v>
      </c>
      <c r="M15" t="s">
        <v>223</v>
      </c>
      <c r="P15">
        <f t="shared" si="6"/>
        <v>0.1373029772329247</v>
      </c>
      <c r="Q15">
        <f t="shared" si="2"/>
        <v>1.9614711033274956E-2</v>
      </c>
      <c r="S15">
        <v>0.28000000000000003</v>
      </c>
      <c r="T15">
        <v>0.04</v>
      </c>
    </row>
    <row r="16" spans="1:23" x14ac:dyDescent="0.25">
      <c r="C16" t="s">
        <v>192</v>
      </c>
      <c r="D16" t="s">
        <v>193</v>
      </c>
      <c r="E16" t="s">
        <v>194</v>
      </c>
      <c r="G16">
        <v>0</v>
      </c>
      <c r="H16" t="s">
        <v>196</v>
      </c>
      <c r="I16">
        <v>217.92</v>
      </c>
      <c r="J16">
        <f>P16*0.001</f>
        <v>2.5000000000000001E-3</v>
      </c>
      <c r="K16">
        <f>Q16*0.001</f>
        <v>3.7549407114624507E-4</v>
      </c>
      <c r="L16" s="31">
        <v>2.5200000000000001E-3</v>
      </c>
      <c r="M16" t="s">
        <v>223</v>
      </c>
      <c r="P16">
        <f>S16/S$16*2.5</f>
        <v>2.5</v>
      </c>
      <c r="Q16">
        <f t="shared" si="2"/>
        <v>0.37549407114624506</v>
      </c>
      <c r="S16">
        <v>2.5299999999999998</v>
      </c>
      <c r="T16">
        <v>0.38</v>
      </c>
    </row>
    <row r="17" spans="3:20" x14ac:dyDescent="0.25">
      <c r="C17" t="s">
        <v>192</v>
      </c>
      <c r="D17" t="s">
        <v>193</v>
      </c>
      <c r="E17" t="s">
        <v>194</v>
      </c>
      <c r="G17" t="s">
        <v>260</v>
      </c>
      <c r="H17" t="s">
        <v>196</v>
      </c>
      <c r="I17">
        <v>217.92</v>
      </c>
      <c r="J17">
        <f t="shared" ref="J17:J22" si="7">P17*0.001</f>
        <v>3.1719367588932809E-3</v>
      </c>
      <c r="K17">
        <f t="shared" ref="K17:K22" si="8">Q17*0.001</f>
        <v>8.3003952569169956E-4</v>
      </c>
      <c r="L17" s="31">
        <v>2.6700000000000001E-3</v>
      </c>
      <c r="M17" t="s">
        <v>223</v>
      </c>
      <c r="P17">
        <f t="shared" ref="P17:P21" si="9">S17/S$16*2.5</f>
        <v>3.1719367588932808</v>
      </c>
      <c r="Q17">
        <f t="shared" si="2"/>
        <v>0.83003952569169959</v>
      </c>
      <c r="S17">
        <v>3.21</v>
      </c>
      <c r="T17">
        <v>0.84</v>
      </c>
    </row>
    <row r="18" spans="3:20" x14ac:dyDescent="0.25">
      <c r="C18" t="s">
        <v>192</v>
      </c>
      <c r="D18" t="s">
        <v>193</v>
      </c>
      <c r="E18" t="s">
        <v>194</v>
      </c>
      <c r="G18" t="s">
        <v>261</v>
      </c>
      <c r="H18" t="s">
        <v>196</v>
      </c>
      <c r="I18">
        <v>217.92</v>
      </c>
      <c r="J18">
        <f t="shared" si="7"/>
        <v>4.9011857707509879E-3</v>
      </c>
      <c r="K18">
        <f t="shared" si="8"/>
        <v>7.5098814229249025E-4</v>
      </c>
      <c r="L18" s="31">
        <v>3.3300000000000001E-3</v>
      </c>
      <c r="M18" t="s">
        <v>223</v>
      </c>
      <c r="P18">
        <f t="shared" si="9"/>
        <v>4.9011857707509883</v>
      </c>
      <c r="Q18">
        <f t="shared" si="2"/>
        <v>0.75098814229249022</v>
      </c>
      <c r="S18">
        <v>4.96</v>
      </c>
      <c r="T18">
        <v>0.76</v>
      </c>
    </row>
    <row r="19" spans="3:20" x14ac:dyDescent="0.25">
      <c r="C19" t="s">
        <v>192</v>
      </c>
      <c r="D19" t="s">
        <v>193</v>
      </c>
      <c r="E19" t="s">
        <v>194</v>
      </c>
      <c r="G19" t="s">
        <v>262</v>
      </c>
      <c r="H19" t="s">
        <v>196</v>
      </c>
      <c r="I19">
        <v>217.92</v>
      </c>
      <c r="J19">
        <f t="shared" si="7"/>
        <v>6.5316205533596855E-3</v>
      </c>
      <c r="K19">
        <f t="shared" si="8"/>
        <v>8.3992094861660093E-4</v>
      </c>
      <c r="L19" s="31">
        <v>4.0000000000000001E-3</v>
      </c>
      <c r="M19" t="s">
        <v>223</v>
      </c>
      <c r="P19">
        <f t="shared" si="9"/>
        <v>6.5316205533596854</v>
      </c>
      <c r="Q19">
        <f t="shared" si="2"/>
        <v>0.83992094861660094</v>
      </c>
      <c r="S19">
        <v>6.61</v>
      </c>
      <c r="T19">
        <v>0.85</v>
      </c>
    </row>
    <row r="20" spans="3:20" x14ac:dyDescent="0.25">
      <c r="C20" t="s">
        <v>192</v>
      </c>
      <c r="D20" t="s">
        <v>193</v>
      </c>
      <c r="E20" t="s">
        <v>194</v>
      </c>
      <c r="G20" t="s">
        <v>263</v>
      </c>
      <c r="H20" t="s">
        <v>196</v>
      </c>
      <c r="I20">
        <v>217.92</v>
      </c>
      <c r="J20">
        <f t="shared" si="7"/>
        <v>8.5276679841897254E-3</v>
      </c>
      <c r="K20">
        <f t="shared" si="8"/>
        <v>6.6205533596837957E-4</v>
      </c>
      <c r="L20" s="31">
        <v>6.7000000000000002E-3</v>
      </c>
      <c r="M20" t="s">
        <v>223</v>
      </c>
      <c r="P20">
        <f t="shared" si="9"/>
        <v>8.5276679841897245</v>
      </c>
      <c r="Q20">
        <f t="shared" si="2"/>
        <v>0.66205533596837951</v>
      </c>
      <c r="S20">
        <v>8.6300000000000008</v>
      </c>
      <c r="T20">
        <v>0.67</v>
      </c>
    </row>
    <row r="21" spans="3:20" x14ac:dyDescent="0.25">
      <c r="C21" t="s">
        <v>192</v>
      </c>
      <c r="D21" t="s">
        <v>193</v>
      </c>
      <c r="E21" t="s">
        <v>194</v>
      </c>
      <c r="G21" t="s">
        <v>264</v>
      </c>
      <c r="H21" t="s">
        <v>196</v>
      </c>
      <c r="I21">
        <v>217.92</v>
      </c>
      <c r="J21">
        <f t="shared" si="7"/>
        <v>8.725296442687748E-3</v>
      </c>
      <c r="K21">
        <f t="shared" si="8"/>
        <v>8.0039525691699622E-4</v>
      </c>
      <c r="L21" s="31">
        <v>7.9600000000000001E-3</v>
      </c>
      <c r="M21" t="s">
        <v>223</v>
      </c>
      <c r="P21">
        <f t="shared" si="9"/>
        <v>8.725296442687748</v>
      </c>
      <c r="Q21">
        <f t="shared" si="2"/>
        <v>0.8003952569169962</v>
      </c>
      <c r="S21">
        <v>8.83</v>
      </c>
      <c r="T21">
        <v>0.81</v>
      </c>
    </row>
    <row r="22" spans="3:20" x14ac:dyDescent="0.25">
      <c r="C22" t="s">
        <v>192</v>
      </c>
      <c r="D22" t="s">
        <v>193</v>
      </c>
      <c r="E22" t="s">
        <v>194</v>
      </c>
      <c r="G22" t="s">
        <v>270</v>
      </c>
      <c r="H22" t="s">
        <v>196</v>
      </c>
      <c r="I22">
        <v>217.92</v>
      </c>
      <c r="J22">
        <f t="shared" si="7"/>
        <v>7.470355731225297E-3</v>
      </c>
      <c r="K22">
        <f t="shared" si="8"/>
        <v>6.0276679841897245E-4</v>
      </c>
      <c r="L22" s="31">
        <v>9.9399999999999992E-3</v>
      </c>
      <c r="M22" t="s">
        <v>223</v>
      </c>
      <c r="P22">
        <f>S22/S$16*2.5</f>
        <v>7.4703557312252968</v>
      </c>
      <c r="Q22">
        <f t="shared" si="2"/>
        <v>0.6027667984189724</v>
      </c>
      <c r="S22">
        <v>7.56</v>
      </c>
      <c r="T22">
        <v>0.61</v>
      </c>
    </row>
  </sheetData>
  <mergeCells count="2">
    <mergeCell ref="P1:Q1"/>
    <mergeCell ref="S1:T1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2137B-F04D-4115-B3E5-9F3F2F594B2C}">
  <dimension ref="A1:S19"/>
  <sheetViews>
    <sheetView workbookViewId="0">
      <selection activeCell="M2" sqref="M2:M10"/>
    </sheetView>
  </sheetViews>
  <sheetFormatPr defaultRowHeight="15" x14ac:dyDescent="0.25"/>
  <cols>
    <col min="1" max="1" width="7.5703125" bestFit="1" customWidth="1"/>
    <col min="3" max="3" width="11.85546875" bestFit="1" customWidth="1"/>
    <col min="4" max="4" width="12.42578125" bestFit="1" customWidth="1"/>
    <col min="5" max="5" width="6.85546875" bestFit="1" customWidth="1"/>
    <col min="6" max="6" width="7" bestFit="1" customWidth="1"/>
    <col min="7" max="7" width="10" bestFit="1" customWidth="1"/>
    <col min="8" max="8" width="10.42578125" bestFit="1" customWidth="1"/>
    <col min="9" max="9" width="7.7109375" bestFit="1" customWidth="1"/>
    <col min="10" max="10" width="25.5703125" bestFit="1" customWidth="1"/>
    <col min="11" max="11" width="12.42578125" bestFit="1" customWidth="1"/>
    <col min="12" max="12" width="5.7109375" bestFit="1" customWidth="1"/>
    <col min="13" max="13" width="8.140625" bestFit="1" customWidth="1"/>
  </cols>
  <sheetData>
    <row r="1" spans="1:19" x14ac:dyDescent="0.25">
      <c r="A1" s="22" t="s">
        <v>174</v>
      </c>
      <c r="B1" s="22" t="s">
        <v>175</v>
      </c>
      <c r="C1" s="22" t="s">
        <v>176</v>
      </c>
      <c r="D1" s="22" t="s">
        <v>177</v>
      </c>
      <c r="E1" s="22" t="s">
        <v>178</v>
      </c>
      <c r="F1" s="22" t="s">
        <v>179</v>
      </c>
      <c r="G1" s="22" t="s">
        <v>180</v>
      </c>
      <c r="H1" s="22" t="s">
        <v>181</v>
      </c>
      <c r="I1" s="22" t="s">
        <v>0</v>
      </c>
      <c r="J1" s="23" t="s">
        <v>199</v>
      </c>
      <c r="K1" s="22" t="s">
        <v>200</v>
      </c>
      <c r="L1" s="22" t="s">
        <v>182</v>
      </c>
      <c r="M1" t="s">
        <v>183</v>
      </c>
    </row>
    <row r="2" spans="1:19" x14ac:dyDescent="0.25">
      <c r="C2" t="s">
        <v>217</v>
      </c>
      <c r="D2" t="s">
        <v>193</v>
      </c>
      <c r="E2" t="s">
        <v>218</v>
      </c>
      <c r="G2" t="s">
        <v>258</v>
      </c>
      <c r="H2" t="s">
        <v>259</v>
      </c>
      <c r="I2">
        <f>1+O2</f>
        <v>1.5</v>
      </c>
      <c r="J2">
        <v>73.022019303011007</v>
      </c>
      <c r="L2" t="s">
        <v>223</v>
      </c>
      <c r="M2" t="s">
        <v>315</v>
      </c>
      <c r="O2">
        <v>0.5</v>
      </c>
      <c r="P2">
        <v>73.022019303011007</v>
      </c>
    </row>
    <row r="3" spans="1:19" x14ac:dyDescent="0.25">
      <c r="C3" t="s">
        <v>217</v>
      </c>
      <c r="D3" t="s">
        <v>193</v>
      </c>
      <c r="E3" t="s">
        <v>218</v>
      </c>
      <c r="G3" t="s">
        <v>258</v>
      </c>
      <c r="H3" t="s">
        <v>259</v>
      </c>
      <c r="I3">
        <f t="shared" ref="I3:I19" si="0">1+O3</f>
        <v>2.5</v>
      </c>
      <c r="J3">
        <v>176.853724787609</v>
      </c>
      <c r="L3" t="s">
        <v>223</v>
      </c>
      <c r="M3" t="s">
        <v>315</v>
      </c>
      <c r="O3">
        <v>1.5</v>
      </c>
      <c r="P3">
        <v>176.853724787609</v>
      </c>
    </row>
    <row r="4" spans="1:19" x14ac:dyDescent="0.25">
      <c r="C4" t="s">
        <v>217</v>
      </c>
      <c r="D4" t="s">
        <v>193</v>
      </c>
      <c r="E4" t="s">
        <v>218</v>
      </c>
      <c r="G4" t="s">
        <v>258</v>
      </c>
      <c r="H4" t="s">
        <v>259</v>
      </c>
      <c r="I4">
        <f t="shared" si="0"/>
        <v>3.5</v>
      </c>
      <c r="J4">
        <v>188.18701959197799</v>
      </c>
      <c r="L4" t="s">
        <v>223</v>
      </c>
      <c r="M4" t="s">
        <v>315</v>
      </c>
      <c r="O4">
        <v>2.5</v>
      </c>
      <c r="P4">
        <v>188.18701959197799</v>
      </c>
    </row>
    <row r="5" spans="1:19" x14ac:dyDescent="0.25">
      <c r="C5" t="s">
        <v>217</v>
      </c>
      <c r="D5" t="s">
        <v>193</v>
      </c>
      <c r="E5" t="s">
        <v>218</v>
      </c>
      <c r="G5" t="s">
        <v>258</v>
      </c>
      <c r="H5" t="s">
        <v>259</v>
      </c>
      <c r="I5">
        <f t="shared" si="0"/>
        <v>4.5</v>
      </c>
      <c r="J5">
        <v>154.74195226261301</v>
      </c>
      <c r="L5" t="s">
        <v>223</v>
      </c>
      <c r="M5" t="s">
        <v>315</v>
      </c>
      <c r="O5">
        <v>3.5</v>
      </c>
      <c r="P5">
        <v>154.74195226261301</v>
      </c>
    </row>
    <row r="6" spans="1:19" x14ac:dyDescent="0.25">
      <c r="C6" t="s">
        <v>217</v>
      </c>
      <c r="D6" t="s">
        <v>193</v>
      </c>
      <c r="E6" t="s">
        <v>218</v>
      </c>
      <c r="G6" t="s">
        <v>258</v>
      </c>
      <c r="H6" t="s">
        <v>259</v>
      </c>
      <c r="I6">
        <f t="shared" si="0"/>
        <v>9.7583316051959699</v>
      </c>
      <c r="J6">
        <v>83.0665202566029</v>
      </c>
      <c r="L6" t="s">
        <v>223</v>
      </c>
      <c r="M6" t="s">
        <v>315</v>
      </c>
      <c r="O6">
        <v>8.7583316051959699</v>
      </c>
      <c r="P6">
        <v>83.0665202566029</v>
      </c>
    </row>
    <row r="7" spans="1:19" x14ac:dyDescent="0.25">
      <c r="C7" t="s">
        <v>217</v>
      </c>
      <c r="D7" t="s">
        <v>193</v>
      </c>
      <c r="E7" t="s">
        <v>218</v>
      </c>
      <c r="G7" t="s">
        <v>258</v>
      </c>
      <c r="H7" t="s">
        <v>259</v>
      </c>
      <c r="I7">
        <f t="shared" si="0"/>
        <v>13</v>
      </c>
      <c r="J7">
        <v>67.121308443622397</v>
      </c>
      <c r="L7" t="s">
        <v>223</v>
      </c>
      <c r="M7" t="s">
        <v>315</v>
      </c>
      <c r="O7">
        <v>12</v>
      </c>
      <c r="P7">
        <v>67.121308443622397</v>
      </c>
    </row>
    <row r="8" spans="1:19" x14ac:dyDescent="0.25">
      <c r="C8" t="s">
        <v>217</v>
      </c>
      <c r="D8" t="s">
        <v>193</v>
      </c>
      <c r="E8" t="s">
        <v>218</v>
      </c>
      <c r="G8" t="s">
        <v>258</v>
      </c>
      <c r="H8" t="s">
        <v>259</v>
      </c>
      <c r="I8">
        <f t="shared" si="0"/>
        <v>25</v>
      </c>
      <c r="J8">
        <v>26.7179101889846</v>
      </c>
      <c r="L8" t="s">
        <v>223</v>
      </c>
      <c r="M8" t="s">
        <v>315</v>
      </c>
      <c r="O8">
        <v>24</v>
      </c>
      <c r="P8">
        <v>26.7179101889846</v>
      </c>
    </row>
    <row r="9" spans="1:19" x14ac:dyDescent="0.25">
      <c r="C9" t="s">
        <v>217</v>
      </c>
      <c r="D9" t="s">
        <v>193</v>
      </c>
      <c r="E9" t="s">
        <v>218</v>
      </c>
      <c r="G9" t="s">
        <v>258</v>
      </c>
      <c r="H9" t="s">
        <v>259</v>
      </c>
      <c r="I9">
        <f t="shared" si="0"/>
        <v>37</v>
      </c>
      <c r="J9">
        <v>20.308617002831799</v>
      </c>
      <c r="L9" t="s">
        <v>223</v>
      </c>
      <c r="M9" t="s">
        <v>315</v>
      </c>
      <c r="O9">
        <v>36</v>
      </c>
      <c r="P9">
        <v>20.308617002831799</v>
      </c>
    </row>
    <row r="10" spans="1:19" x14ac:dyDescent="0.25">
      <c r="C10" t="s">
        <v>217</v>
      </c>
      <c r="D10" t="s">
        <v>193</v>
      </c>
      <c r="E10" t="s">
        <v>218</v>
      </c>
      <c r="G10" t="s">
        <v>258</v>
      </c>
      <c r="H10" t="s">
        <v>259</v>
      </c>
      <c r="I10">
        <f t="shared" si="0"/>
        <v>49</v>
      </c>
      <c r="J10">
        <v>4.5830202854996802</v>
      </c>
      <c r="L10" t="s">
        <v>223</v>
      </c>
      <c r="M10" t="s">
        <v>315</v>
      </c>
      <c r="O10">
        <v>48</v>
      </c>
      <c r="P10">
        <v>4.5830202854996802</v>
      </c>
    </row>
    <row r="11" spans="1:19" x14ac:dyDescent="0.25">
      <c r="C11" t="s">
        <v>217</v>
      </c>
      <c r="D11" t="s">
        <v>193</v>
      </c>
      <c r="E11" t="s">
        <v>218</v>
      </c>
      <c r="G11" t="s">
        <v>258</v>
      </c>
      <c r="H11" t="s">
        <v>259</v>
      </c>
      <c r="I11">
        <f>1+O11</f>
        <v>1.3452273378440909</v>
      </c>
      <c r="J11">
        <v>192.84155775461099</v>
      </c>
      <c r="K11">
        <f>ABS(S11-J11)</f>
        <v>23.805346792145002</v>
      </c>
      <c r="L11" t="s">
        <v>195</v>
      </c>
      <c r="M11" t="s">
        <v>314</v>
      </c>
      <c r="O11">
        <v>0.34522733784409099</v>
      </c>
      <c r="P11">
        <v>192.84155775461099</v>
      </c>
      <c r="R11">
        <v>0.15233729310382799</v>
      </c>
      <c r="S11">
        <v>169.03621096246599</v>
      </c>
    </row>
    <row r="12" spans="1:19" x14ac:dyDescent="0.25">
      <c r="C12" t="s">
        <v>217</v>
      </c>
      <c r="D12" t="s">
        <v>193</v>
      </c>
      <c r="E12" t="s">
        <v>218</v>
      </c>
      <c r="G12" t="s">
        <v>258</v>
      </c>
      <c r="H12" t="s">
        <v>259</v>
      </c>
      <c r="I12">
        <f t="shared" si="0"/>
        <v>2.21658254909307</v>
      </c>
      <c r="J12">
        <v>171.05547351949301</v>
      </c>
      <c r="K12">
        <f t="shared" ref="K12:K19" si="1">ABS(S12-J12)</f>
        <v>16.945540299295999</v>
      </c>
      <c r="L12" t="s">
        <v>195</v>
      </c>
      <c r="M12" t="s">
        <v>314</v>
      </c>
      <c r="O12">
        <v>1.21658254909307</v>
      </c>
      <c r="P12">
        <v>171.05547351949301</v>
      </c>
      <c r="R12">
        <v>1.14993498336014</v>
      </c>
      <c r="S12">
        <v>154.10993322019701</v>
      </c>
    </row>
    <row r="13" spans="1:19" x14ac:dyDescent="0.25">
      <c r="C13" t="s">
        <v>217</v>
      </c>
      <c r="D13" t="s">
        <v>193</v>
      </c>
      <c r="E13" t="s">
        <v>218</v>
      </c>
      <c r="G13" t="s">
        <v>258</v>
      </c>
      <c r="H13" t="s">
        <v>259</v>
      </c>
      <c r="I13">
        <f t="shared" si="0"/>
        <v>3.8288189011085798</v>
      </c>
      <c r="J13">
        <v>122.404734092962</v>
      </c>
      <c r="K13">
        <f t="shared" si="1"/>
        <v>17.523417010116006</v>
      </c>
      <c r="L13" t="s">
        <v>195</v>
      </c>
      <c r="M13" t="s">
        <v>314</v>
      </c>
      <c r="O13">
        <v>2.8288189011085798</v>
      </c>
      <c r="P13">
        <v>122.404734092962</v>
      </c>
      <c r="R13">
        <v>2.8348136556983201</v>
      </c>
      <c r="S13">
        <v>104.881317082846</v>
      </c>
    </row>
    <row r="14" spans="1:19" x14ac:dyDescent="0.25">
      <c r="C14" t="s">
        <v>217</v>
      </c>
      <c r="D14" t="s">
        <v>193</v>
      </c>
      <c r="E14" t="s">
        <v>218</v>
      </c>
      <c r="G14" t="s">
        <v>258</v>
      </c>
      <c r="H14" t="s">
        <v>259</v>
      </c>
      <c r="I14">
        <f t="shared" si="0"/>
        <v>6.6209640094329201</v>
      </c>
      <c r="J14">
        <v>87.086152557688393</v>
      </c>
      <c r="K14">
        <f t="shared" si="1"/>
        <v>13.062393934718799</v>
      </c>
      <c r="L14" t="s">
        <v>195</v>
      </c>
      <c r="M14" t="s">
        <v>314</v>
      </c>
      <c r="O14">
        <v>5.6209640094329201</v>
      </c>
      <c r="P14">
        <v>87.086152557688393</v>
      </c>
      <c r="R14">
        <v>5.6519956802503604</v>
      </c>
      <c r="S14">
        <v>74.023758622969595</v>
      </c>
    </row>
    <row r="15" spans="1:19" x14ac:dyDescent="0.25">
      <c r="C15" t="s">
        <v>217</v>
      </c>
      <c r="D15" t="s">
        <v>193</v>
      </c>
      <c r="E15" t="s">
        <v>218</v>
      </c>
      <c r="G15" t="s">
        <v>258</v>
      </c>
      <c r="H15" t="s">
        <v>259</v>
      </c>
      <c r="I15">
        <f t="shared" si="0"/>
        <v>9.6782888501972497</v>
      </c>
      <c r="J15">
        <v>60.143477398452802</v>
      </c>
      <c r="K15">
        <f t="shared" si="1"/>
        <v>16.351795120446106</v>
      </c>
      <c r="L15" t="s">
        <v>195</v>
      </c>
      <c r="M15" t="s">
        <v>314</v>
      </c>
      <c r="O15">
        <v>8.6782888501972497</v>
      </c>
      <c r="P15">
        <v>60.143477398452802</v>
      </c>
      <c r="R15">
        <v>8.6102307539726208</v>
      </c>
      <c r="S15">
        <v>43.791682278006697</v>
      </c>
    </row>
    <row r="16" spans="1:19" x14ac:dyDescent="0.25">
      <c r="C16" t="s">
        <v>217</v>
      </c>
      <c r="D16" t="s">
        <v>193</v>
      </c>
      <c r="E16" t="s">
        <v>218</v>
      </c>
      <c r="G16" t="s">
        <v>258</v>
      </c>
      <c r="H16" t="s">
        <v>259</v>
      </c>
      <c r="I16">
        <f t="shared" si="0"/>
        <v>12.8540982522645</v>
      </c>
      <c r="J16">
        <v>43.3262072157451</v>
      </c>
      <c r="K16">
        <f t="shared" si="1"/>
        <v>20.227007251008398</v>
      </c>
      <c r="L16" t="s">
        <v>195</v>
      </c>
      <c r="M16" t="s">
        <v>314</v>
      </c>
      <c r="O16">
        <v>11.8540982522645</v>
      </c>
      <c r="P16">
        <v>43.3262072157451</v>
      </c>
      <c r="R16">
        <v>11.723976814405001</v>
      </c>
      <c r="S16">
        <v>23.099199964736702</v>
      </c>
    </row>
    <row r="17" spans="3:19" x14ac:dyDescent="0.25">
      <c r="C17" t="s">
        <v>217</v>
      </c>
      <c r="D17" t="s">
        <v>193</v>
      </c>
      <c r="E17" t="s">
        <v>218</v>
      </c>
      <c r="G17" t="s">
        <v>258</v>
      </c>
      <c r="H17" t="s">
        <v>259</v>
      </c>
      <c r="I17">
        <f t="shared" si="0"/>
        <v>25.447314482181</v>
      </c>
      <c r="J17">
        <v>22.369250435280801</v>
      </c>
      <c r="K17">
        <f t="shared" si="1"/>
        <v>9.5237255636612979</v>
      </c>
      <c r="L17" t="s">
        <v>195</v>
      </c>
      <c r="M17" t="s">
        <v>314</v>
      </c>
      <c r="O17">
        <v>24.447314482181</v>
      </c>
      <c r="P17">
        <v>22.369250435280801</v>
      </c>
      <c r="R17">
        <v>24.531593679060201</v>
      </c>
      <c r="S17">
        <v>31.892975998942099</v>
      </c>
    </row>
    <row r="18" spans="3:19" x14ac:dyDescent="0.25">
      <c r="C18" t="s">
        <v>217</v>
      </c>
      <c r="D18" t="s">
        <v>193</v>
      </c>
      <c r="E18" t="s">
        <v>218</v>
      </c>
      <c r="G18" t="s">
        <v>258</v>
      </c>
      <c r="H18" t="s">
        <v>259</v>
      </c>
      <c r="I18">
        <f t="shared" si="0"/>
        <v>37.515108103938402</v>
      </c>
      <c r="J18">
        <v>12.5823727767614</v>
      </c>
      <c r="K18">
        <f t="shared" si="1"/>
        <v>11.914574747096299</v>
      </c>
      <c r="L18" t="s">
        <v>195</v>
      </c>
      <c r="M18" t="s">
        <v>314</v>
      </c>
      <c r="O18">
        <v>36.515108103938402</v>
      </c>
      <c r="P18">
        <v>12.5823727767614</v>
      </c>
      <c r="R18">
        <v>36.664976968681799</v>
      </c>
      <c r="S18">
        <v>24.496947523857699</v>
      </c>
    </row>
    <row r="19" spans="3:19" x14ac:dyDescent="0.25">
      <c r="C19" t="s">
        <v>217</v>
      </c>
      <c r="D19" t="s">
        <v>193</v>
      </c>
      <c r="E19" t="s">
        <v>218</v>
      </c>
      <c r="G19" t="s">
        <v>258</v>
      </c>
      <c r="H19" t="s">
        <v>259</v>
      </c>
      <c r="I19">
        <f t="shared" si="0"/>
        <v>49.601591254710897</v>
      </c>
      <c r="J19">
        <v>9.9283714984683193</v>
      </c>
      <c r="K19">
        <f t="shared" si="1"/>
        <v>7.6710819209661807</v>
      </c>
      <c r="L19" t="s">
        <v>195</v>
      </c>
      <c r="M19" t="s">
        <v>314</v>
      </c>
      <c r="O19">
        <v>48.601591254710897</v>
      </c>
      <c r="P19">
        <v>9.9283714984683193</v>
      </c>
      <c r="R19">
        <v>48.369558988825901</v>
      </c>
      <c r="S19">
        <v>17.5994534194345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94DB1-7C03-4E70-A363-5E7BDCF5C185}">
  <dimension ref="A1:F83"/>
  <sheetViews>
    <sheetView workbookViewId="0">
      <selection activeCell="B1" sqref="B1:C83"/>
    </sheetView>
  </sheetViews>
  <sheetFormatPr defaultColWidth="10.5703125" defaultRowHeight="15" x14ac:dyDescent="0.25"/>
  <cols>
    <col min="1" max="1" width="23.140625" bestFit="1" customWidth="1"/>
    <col min="2" max="2" width="12" bestFit="1" customWidth="1"/>
    <col min="3" max="3" width="21.28515625" bestFit="1" customWidth="1"/>
    <col min="4" max="4" width="25.140625" style="2" bestFit="1" customWidth="1"/>
    <col min="5" max="6" width="11.42578125" style="2"/>
  </cols>
  <sheetData>
    <row r="1" spans="1:6" x14ac:dyDescent="0.25">
      <c r="A1" t="s">
        <v>2</v>
      </c>
      <c r="B1" t="s">
        <v>14</v>
      </c>
      <c r="C1" t="s">
        <v>7</v>
      </c>
      <c r="D1" s="2" t="s">
        <v>13</v>
      </c>
      <c r="E1" s="2" t="s">
        <v>135</v>
      </c>
      <c r="F1" s="2" t="s">
        <v>7</v>
      </c>
    </row>
    <row r="2" spans="1:6" x14ac:dyDescent="0.25">
      <c r="A2" t="s">
        <v>12</v>
      </c>
      <c r="B2">
        <v>1E-3</v>
      </c>
      <c r="C2">
        <v>0.38666666666666649</v>
      </c>
      <c r="D2" s="2">
        <v>7.7333333333333298</v>
      </c>
      <c r="E2" s="2">
        <v>5</v>
      </c>
      <c r="F2" s="2">
        <f>D2*E2/100</f>
        <v>0.38666666666666649</v>
      </c>
    </row>
    <row r="3" spans="1:6" x14ac:dyDescent="0.25">
      <c r="A3" t="s">
        <v>12</v>
      </c>
      <c r="B3">
        <v>2E-3</v>
      </c>
      <c r="C3">
        <v>0.34166666666666651</v>
      </c>
      <c r="D3" s="2">
        <v>6.8333333333333304</v>
      </c>
      <c r="E3" s="2">
        <v>5</v>
      </c>
      <c r="F3" s="2">
        <f t="shared" ref="F3:F66" si="0">D3*E3/100</f>
        <v>0.34166666666666651</v>
      </c>
    </row>
    <row r="4" spans="1:6" x14ac:dyDescent="0.25">
      <c r="A4" t="s">
        <v>12</v>
      </c>
      <c r="B4">
        <v>3.0000000000000001E-3</v>
      </c>
      <c r="C4">
        <v>0.33333333333333298</v>
      </c>
      <c r="D4" s="2">
        <v>6.6666666666666599</v>
      </c>
      <c r="E4" s="2">
        <v>5</v>
      </c>
      <c r="F4" s="2">
        <f t="shared" si="0"/>
        <v>0.33333333333333298</v>
      </c>
    </row>
    <row r="5" spans="1:6" x14ac:dyDescent="0.25">
      <c r="A5" t="s">
        <v>12</v>
      </c>
      <c r="B5">
        <v>4.0000000000000001E-3</v>
      </c>
      <c r="C5">
        <v>0.32</v>
      </c>
      <c r="D5" s="2">
        <v>6.4</v>
      </c>
      <c r="E5" s="2">
        <v>5</v>
      </c>
      <c r="F5" s="2">
        <f t="shared" si="0"/>
        <v>0.32</v>
      </c>
    </row>
    <row r="6" spans="1:6" x14ac:dyDescent="0.25">
      <c r="A6" t="s">
        <v>12</v>
      </c>
      <c r="B6">
        <v>5.0000000000000001E-3</v>
      </c>
      <c r="C6">
        <v>0.31166666666666648</v>
      </c>
      <c r="D6" s="2">
        <v>6.2333333333333298</v>
      </c>
      <c r="E6" s="2">
        <v>5</v>
      </c>
      <c r="F6" s="2">
        <f t="shared" si="0"/>
        <v>0.31166666666666648</v>
      </c>
    </row>
    <row r="7" spans="1:6" x14ac:dyDescent="0.25">
      <c r="A7" t="s">
        <v>12</v>
      </c>
      <c r="B7">
        <v>6.0000000000000001E-3</v>
      </c>
      <c r="C7">
        <v>0.30499999999999999</v>
      </c>
      <c r="D7" s="2">
        <v>6.1</v>
      </c>
      <c r="E7" s="2">
        <v>5</v>
      </c>
      <c r="F7" s="2">
        <f t="shared" si="0"/>
        <v>0.30499999999999999</v>
      </c>
    </row>
    <row r="8" spans="1:6" x14ac:dyDescent="0.25">
      <c r="A8" t="s">
        <v>12</v>
      </c>
      <c r="B8">
        <v>0.56477075643705199</v>
      </c>
      <c r="C8">
        <v>1.5707964601769899E-2</v>
      </c>
      <c r="D8" s="2">
        <v>0.314159292035398</v>
      </c>
      <c r="E8" s="2">
        <v>5</v>
      </c>
      <c r="F8" s="2">
        <f t="shared" si="0"/>
        <v>1.5707964601769899E-2</v>
      </c>
    </row>
    <row r="9" spans="1:6" x14ac:dyDescent="0.25">
      <c r="A9" t="s">
        <v>12</v>
      </c>
      <c r="B9">
        <v>0.58033530484280105</v>
      </c>
      <c r="C9">
        <v>1.3384955752212348E-2</v>
      </c>
      <c r="D9" s="2">
        <v>0.26769911504424698</v>
      </c>
      <c r="E9" s="2">
        <v>5</v>
      </c>
      <c r="F9" s="2">
        <f t="shared" si="0"/>
        <v>1.3384955752212348E-2</v>
      </c>
    </row>
    <row r="10" spans="1:6" x14ac:dyDescent="0.25">
      <c r="A10" t="s">
        <v>12</v>
      </c>
      <c r="B10">
        <v>0.60405271193726695</v>
      </c>
      <c r="C10">
        <v>9.8451327433627996E-3</v>
      </c>
      <c r="D10" s="2">
        <v>0.196902654867256</v>
      </c>
      <c r="E10" s="2">
        <v>5</v>
      </c>
      <c r="F10" s="2">
        <f t="shared" si="0"/>
        <v>9.8451327433627996E-3</v>
      </c>
    </row>
    <row r="11" spans="1:6" x14ac:dyDescent="0.25">
      <c r="A11" t="s">
        <v>12</v>
      </c>
      <c r="B11">
        <v>0.85827366923111004</v>
      </c>
      <c r="C11">
        <v>2.19026548672566E-2</v>
      </c>
      <c r="D11" s="2">
        <v>0.43805309734513198</v>
      </c>
      <c r="E11" s="2">
        <v>5</v>
      </c>
      <c r="F11" s="2">
        <f t="shared" si="0"/>
        <v>2.19026548672566E-2</v>
      </c>
    </row>
    <row r="12" spans="1:6" x14ac:dyDescent="0.25">
      <c r="A12" t="s">
        <v>12</v>
      </c>
      <c r="B12">
        <v>1.18957619958198</v>
      </c>
      <c r="C12">
        <v>2.2455752212389348E-2</v>
      </c>
      <c r="D12" s="2">
        <v>0.44911504424778698</v>
      </c>
      <c r="E12" s="2">
        <v>5</v>
      </c>
      <c r="F12" s="2">
        <f t="shared" si="0"/>
        <v>2.2455752212389348E-2</v>
      </c>
    </row>
    <row r="13" spans="1:6" x14ac:dyDescent="0.25">
      <c r="A13" t="s">
        <v>12</v>
      </c>
      <c r="B13">
        <v>1.90702776418968</v>
      </c>
      <c r="C13">
        <v>1.5376106194690251E-2</v>
      </c>
      <c r="D13" s="2">
        <v>0.30752212389380501</v>
      </c>
      <c r="E13" s="2">
        <v>5</v>
      </c>
      <c r="F13" s="2">
        <f t="shared" si="0"/>
        <v>1.5376106194690251E-2</v>
      </c>
    </row>
    <row r="14" spans="1:6" x14ac:dyDescent="0.25">
      <c r="A14" t="s">
        <v>12</v>
      </c>
      <c r="B14">
        <v>1.91147477801989</v>
      </c>
      <c r="C14">
        <v>1.4712389380530948E-2</v>
      </c>
      <c r="D14" s="2">
        <v>0.29424778761061898</v>
      </c>
      <c r="E14" s="2">
        <v>5</v>
      </c>
      <c r="F14" s="2">
        <f t="shared" si="0"/>
        <v>1.4712389380530948E-2</v>
      </c>
    </row>
    <row r="15" spans="1:6" x14ac:dyDescent="0.25">
      <c r="A15" t="s">
        <v>12</v>
      </c>
      <c r="B15">
        <v>2.6155853011369401</v>
      </c>
      <c r="C15">
        <v>9.6238938053097006E-3</v>
      </c>
      <c r="D15" s="2">
        <v>0.19247787610619399</v>
      </c>
      <c r="E15" s="2">
        <v>5</v>
      </c>
      <c r="F15" s="2">
        <f t="shared" si="0"/>
        <v>9.6238938053097006E-3</v>
      </c>
    </row>
    <row r="16" spans="1:6" x14ac:dyDescent="0.25">
      <c r="A16" t="s">
        <v>12</v>
      </c>
      <c r="B16">
        <v>2.62966751159929</v>
      </c>
      <c r="C16">
        <v>7.5221238938053001E-3</v>
      </c>
      <c r="D16" s="2">
        <v>0.15044247787610601</v>
      </c>
      <c r="E16" s="2">
        <v>5</v>
      </c>
      <c r="F16" s="2">
        <f t="shared" si="0"/>
        <v>7.5221238938053001E-3</v>
      </c>
    </row>
    <row r="17" spans="1:6" x14ac:dyDescent="0.25">
      <c r="A17" t="s">
        <v>12</v>
      </c>
      <c r="B17">
        <v>2.9076058759876098</v>
      </c>
      <c r="C17">
        <v>1.6039823008849551E-2</v>
      </c>
      <c r="D17" s="2">
        <v>0.32079646017699098</v>
      </c>
      <c r="E17" s="2">
        <v>5</v>
      </c>
      <c r="F17" s="2">
        <f t="shared" si="0"/>
        <v>1.6039823008849551E-2</v>
      </c>
    </row>
    <row r="18" spans="1:6" x14ac:dyDescent="0.25">
      <c r="A18" t="s">
        <v>12</v>
      </c>
      <c r="B18">
        <v>3.2885667274425101</v>
      </c>
      <c r="C18">
        <v>9.1814159292035007E-3</v>
      </c>
      <c r="D18" s="2">
        <v>0.18362831858407</v>
      </c>
      <c r="E18" s="2">
        <v>5</v>
      </c>
      <c r="F18" s="2">
        <f t="shared" si="0"/>
        <v>9.1814159292035007E-3</v>
      </c>
    </row>
    <row r="19" spans="1:6" x14ac:dyDescent="0.25">
      <c r="A19" t="s">
        <v>12</v>
      </c>
      <c r="B19">
        <v>3.3026489379048498</v>
      </c>
      <c r="C19">
        <v>7.0796460176990993E-3</v>
      </c>
      <c r="D19" s="2">
        <v>0.14159292035398199</v>
      </c>
      <c r="E19" s="2">
        <v>5</v>
      </c>
      <c r="F19" s="2">
        <f t="shared" si="0"/>
        <v>7.0796460176990993E-3</v>
      </c>
    </row>
    <row r="20" spans="1:6" x14ac:dyDescent="0.25">
      <c r="A20" t="s">
        <v>12</v>
      </c>
      <c r="B20">
        <v>3.5954106817272198</v>
      </c>
      <c r="C20">
        <v>1.3384955752212348E-2</v>
      </c>
      <c r="D20" s="2">
        <v>0.26769911504424698</v>
      </c>
      <c r="E20" s="2">
        <v>5</v>
      </c>
      <c r="F20" s="2">
        <f t="shared" si="0"/>
        <v>1.3384955752212348E-2</v>
      </c>
    </row>
    <row r="21" spans="1:6" x14ac:dyDescent="0.25">
      <c r="A21" t="s">
        <v>12</v>
      </c>
      <c r="B21">
        <v>3.63988082002935</v>
      </c>
      <c r="C21">
        <v>6.7477876106194499E-3</v>
      </c>
      <c r="D21" s="2">
        <v>0.13495575221238901</v>
      </c>
      <c r="E21" s="2">
        <v>5</v>
      </c>
      <c r="F21" s="2">
        <f t="shared" si="0"/>
        <v>6.7477876106194499E-3</v>
      </c>
    </row>
    <row r="22" spans="1:6" x14ac:dyDescent="0.25">
      <c r="A22" t="s">
        <v>12</v>
      </c>
      <c r="B22">
        <v>3.9200426913327702</v>
      </c>
      <c r="C22">
        <v>1.4933628318584049E-2</v>
      </c>
      <c r="D22" s="2">
        <v>0.29867256637168099</v>
      </c>
      <c r="E22" s="2">
        <v>5</v>
      </c>
      <c r="F22" s="2">
        <f t="shared" si="0"/>
        <v>1.4933628318584049E-2</v>
      </c>
    </row>
    <row r="23" spans="1:6" x14ac:dyDescent="0.25">
      <c r="A23" t="s">
        <v>12</v>
      </c>
      <c r="B23">
        <v>3.94820711225745</v>
      </c>
      <c r="C23">
        <v>1.0730088495575201E-2</v>
      </c>
      <c r="D23" s="2">
        <v>0.21460176991150401</v>
      </c>
      <c r="E23" s="2">
        <v>5</v>
      </c>
      <c r="F23" s="2">
        <f t="shared" si="0"/>
        <v>1.0730088495575201E-2</v>
      </c>
    </row>
    <row r="24" spans="1:6" x14ac:dyDescent="0.25">
      <c r="A24" t="s">
        <v>12</v>
      </c>
      <c r="B24">
        <v>6.30438327329865</v>
      </c>
      <c r="C24">
        <v>9.0707964601769494E-3</v>
      </c>
      <c r="D24" s="2">
        <v>0.18141592920353899</v>
      </c>
      <c r="E24" s="2">
        <v>5</v>
      </c>
      <c r="F24" s="2">
        <f t="shared" si="0"/>
        <v>9.0707964601769494E-3</v>
      </c>
    </row>
    <row r="25" spans="1:6" x14ac:dyDescent="0.25">
      <c r="A25" t="s">
        <v>12</v>
      </c>
      <c r="B25">
        <v>6.3199478217043898</v>
      </c>
      <c r="C25">
        <v>6.7477876106194499E-3</v>
      </c>
      <c r="D25" s="2">
        <v>0.13495575221238901</v>
      </c>
      <c r="E25" s="2">
        <v>5</v>
      </c>
      <c r="F25" s="2">
        <f t="shared" si="0"/>
        <v>6.7477876106194499E-3</v>
      </c>
    </row>
    <row r="26" spans="1:6" x14ac:dyDescent="0.25">
      <c r="A26" t="s">
        <v>12</v>
      </c>
      <c r="B26">
        <v>6.6164154103852502</v>
      </c>
      <c r="C26">
        <v>1.2500000000000001E-2</v>
      </c>
      <c r="D26" s="2">
        <v>0.25</v>
      </c>
      <c r="E26" s="2">
        <v>5</v>
      </c>
      <c r="F26" s="2">
        <f t="shared" si="0"/>
        <v>1.2500000000000001E-2</v>
      </c>
    </row>
    <row r="27" spans="1:6" x14ac:dyDescent="0.25">
      <c r="A27" t="s">
        <v>12</v>
      </c>
      <c r="B27">
        <v>10.325224944782899</v>
      </c>
      <c r="C27">
        <v>8.9601769911503999E-3</v>
      </c>
      <c r="D27" s="2">
        <v>0.17920353982300799</v>
      </c>
      <c r="E27" s="2">
        <v>5</v>
      </c>
      <c r="F27" s="2">
        <f t="shared" si="0"/>
        <v>8.9601769911503999E-3</v>
      </c>
    </row>
    <row r="28" spans="1:6" x14ac:dyDescent="0.25">
      <c r="A28" t="s">
        <v>12</v>
      </c>
      <c r="B28">
        <v>10.663197995879001</v>
      </c>
      <c r="C28">
        <v>8.5176991150442E-3</v>
      </c>
      <c r="D28" s="2">
        <v>0.170353982300884</v>
      </c>
      <c r="E28" s="2">
        <v>5</v>
      </c>
      <c r="F28" s="2">
        <f t="shared" si="0"/>
        <v>8.5176991150442E-3</v>
      </c>
    </row>
    <row r="29" spans="1:6" x14ac:dyDescent="0.25">
      <c r="A29" t="s">
        <v>12</v>
      </c>
      <c r="B29">
        <v>11.3132031840619</v>
      </c>
      <c r="C29">
        <v>1.1504424778761051E-2</v>
      </c>
      <c r="D29" s="2">
        <v>0.23008849557522101</v>
      </c>
      <c r="E29" s="2">
        <v>5</v>
      </c>
      <c r="F29" s="2">
        <f t="shared" si="0"/>
        <v>1.1504424778761051E-2</v>
      </c>
    </row>
    <row r="30" spans="1:6" x14ac:dyDescent="0.25">
      <c r="A30" t="s">
        <v>12</v>
      </c>
      <c r="B30">
        <v>11.3280265634959</v>
      </c>
      <c r="C30">
        <v>9.2920353982300502E-3</v>
      </c>
      <c r="D30" s="2">
        <v>0.185840707964601</v>
      </c>
      <c r="E30" s="2">
        <v>5</v>
      </c>
      <c r="F30" s="2">
        <f t="shared" si="0"/>
        <v>9.2920353982300502E-3</v>
      </c>
    </row>
    <row r="31" spans="1:6" x14ac:dyDescent="0.25">
      <c r="A31" t="s">
        <v>12</v>
      </c>
      <c r="B31">
        <v>11.335438253212899</v>
      </c>
      <c r="C31">
        <v>8.1858407079645513E-3</v>
      </c>
      <c r="D31" s="2">
        <v>0.16371681415929101</v>
      </c>
      <c r="E31" s="2">
        <v>5</v>
      </c>
      <c r="F31" s="2">
        <f t="shared" si="0"/>
        <v>8.1858407079645513E-3</v>
      </c>
    </row>
    <row r="32" spans="1:6" x14ac:dyDescent="0.25">
      <c r="A32" t="s">
        <v>12</v>
      </c>
      <c r="B32">
        <v>11.6808229940261</v>
      </c>
      <c r="C32">
        <v>6.6371681415928994E-3</v>
      </c>
      <c r="D32" s="2">
        <v>0.132743362831858</v>
      </c>
      <c r="E32" s="2">
        <v>5</v>
      </c>
      <c r="F32" s="2">
        <f t="shared" si="0"/>
        <v>6.6371681415928994E-3</v>
      </c>
    </row>
    <row r="33" spans="1:6" x14ac:dyDescent="0.25">
      <c r="A33" t="s">
        <v>12</v>
      </c>
      <c r="B33">
        <v>15.010154014912301</v>
      </c>
      <c r="C33">
        <v>9.7345132743362501E-3</v>
      </c>
      <c r="D33" s="2">
        <v>0.19469026548672499</v>
      </c>
      <c r="E33" s="2">
        <v>5</v>
      </c>
      <c r="F33" s="2">
        <f t="shared" si="0"/>
        <v>9.7345132743362501E-3</v>
      </c>
    </row>
    <row r="34" spans="1:6" x14ac:dyDescent="0.25">
      <c r="A34" t="s">
        <v>12</v>
      </c>
      <c r="B34">
        <v>15.029424408176499</v>
      </c>
      <c r="C34">
        <v>6.8584070796460003E-3</v>
      </c>
      <c r="D34" s="2">
        <v>0.13716814159292001</v>
      </c>
      <c r="E34" s="2">
        <v>5</v>
      </c>
      <c r="F34" s="2">
        <f t="shared" si="0"/>
        <v>6.8584070796460003E-3</v>
      </c>
    </row>
    <row r="35" spans="1:6" x14ac:dyDescent="0.25">
      <c r="A35" t="s">
        <v>12</v>
      </c>
      <c r="B35">
        <v>16.030743688946199</v>
      </c>
      <c r="C35">
        <v>7.4115044247787497E-3</v>
      </c>
      <c r="D35" s="2">
        <v>0.14823008849557501</v>
      </c>
      <c r="E35" s="2">
        <v>5</v>
      </c>
      <c r="F35" s="2">
        <f t="shared" si="0"/>
        <v>7.4115044247787497E-3</v>
      </c>
    </row>
    <row r="36" spans="1:6" x14ac:dyDescent="0.25">
      <c r="A36" t="s">
        <v>12</v>
      </c>
      <c r="B36">
        <v>16.044825899408501</v>
      </c>
      <c r="C36">
        <v>5.3097345132742998E-3</v>
      </c>
      <c r="D36" s="2">
        <v>0.106194690265486</v>
      </c>
      <c r="E36" s="2">
        <v>5</v>
      </c>
      <c r="F36" s="2">
        <f t="shared" si="0"/>
        <v>5.3097345132742998E-3</v>
      </c>
    </row>
    <row r="37" spans="1:6" x14ac:dyDescent="0.25">
      <c r="A37" t="s">
        <v>12</v>
      </c>
      <c r="B37">
        <v>18.355049584204199</v>
      </c>
      <c r="C37">
        <v>1.05088495575221E-2</v>
      </c>
      <c r="D37" s="2">
        <v>0.210176991150442</v>
      </c>
      <c r="E37" s="2">
        <v>5</v>
      </c>
      <c r="F37" s="2">
        <f t="shared" si="0"/>
        <v>1.05088495575221E-2</v>
      </c>
    </row>
    <row r="38" spans="1:6" x14ac:dyDescent="0.25">
      <c r="A38" t="s">
        <v>12</v>
      </c>
      <c r="B38">
        <v>18.719704718281601</v>
      </c>
      <c r="C38">
        <v>6.0840707964601492E-3</v>
      </c>
      <c r="D38" s="2">
        <v>0.12168141592920299</v>
      </c>
      <c r="E38" s="2">
        <v>5</v>
      </c>
      <c r="F38" s="2">
        <f t="shared" si="0"/>
        <v>6.0840707964601492E-3</v>
      </c>
    </row>
    <row r="39" spans="1:6" x14ac:dyDescent="0.25">
      <c r="A39" t="s">
        <v>12</v>
      </c>
      <c r="B39">
        <v>19.388239130757</v>
      </c>
      <c r="C39">
        <v>6.3053097345132491E-3</v>
      </c>
      <c r="D39" s="2">
        <v>0.12610619469026499</v>
      </c>
      <c r="E39" s="2">
        <v>5</v>
      </c>
      <c r="F39" s="2">
        <f t="shared" si="0"/>
        <v>6.3053097345132491E-3</v>
      </c>
    </row>
    <row r="40" spans="1:6" x14ac:dyDescent="0.25">
      <c r="A40" t="s">
        <v>12</v>
      </c>
      <c r="B40">
        <v>24.417070603756201</v>
      </c>
      <c r="C40">
        <v>5.7522123893804997E-3</v>
      </c>
      <c r="D40" s="2">
        <v>0.11504424778760999</v>
      </c>
      <c r="E40" s="2">
        <v>5</v>
      </c>
      <c r="F40" s="2">
        <f t="shared" si="0"/>
        <v>5.7522123893804997E-3</v>
      </c>
    </row>
    <row r="41" spans="1:6" x14ac:dyDescent="0.25">
      <c r="A41" t="s">
        <v>12</v>
      </c>
      <c r="B41">
        <v>24.746149627192001</v>
      </c>
      <c r="C41">
        <v>6.6371681415928994E-3</v>
      </c>
      <c r="D41" s="2">
        <v>0.132743362831858</v>
      </c>
      <c r="E41" s="2">
        <v>5</v>
      </c>
      <c r="F41" s="2">
        <f t="shared" si="0"/>
        <v>6.6371681415928994E-3</v>
      </c>
    </row>
    <row r="42" spans="1:6" x14ac:dyDescent="0.25">
      <c r="A42" t="s">
        <v>12</v>
      </c>
      <c r="B42">
        <v>24.755784823824101</v>
      </c>
      <c r="C42">
        <v>5.1991150442477494E-3</v>
      </c>
      <c r="D42" s="2">
        <v>0.103982300884955</v>
      </c>
      <c r="E42" s="2">
        <v>5</v>
      </c>
      <c r="F42" s="2">
        <f t="shared" si="0"/>
        <v>5.1991150442477494E-3</v>
      </c>
    </row>
    <row r="43" spans="1:6" x14ac:dyDescent="0.25">
      <c r="A43" t="s">
        <v>12</v>
      </c>
      <c r="B43">
        <v>26.090630141859702</v>
      </c>
      <c r="C43">
        <v>5.9734513274335996E-3</v>
      </c>
      <c r="D43" s="2">
        <v>0.119469026548672</v>
      </c>
      <c r="E43" s="2">
        <v>5</v>
      </c>
      <c r="F43" s="2">
        <f t="shared" si="0"/>
        <v>5.9734513274335996E-3</v>
      </c>
    </row>
    <row r="44" spans="1:6" x14ac:dyDescent="0.25">
      <c r="A44" t="s">
        <v>12</v>
      </c>
      <c r="B44">
        <v>26.4352737137012</v>
      </c>
      <c r="C44">
        <v>4.5353982300884894E-3</v>
      </c>
      <c r="D44" s="2">
        <v>9.0707964601769803E-2</v>
      </c>
      <c r="E44" s="2">
        <v>5</v>
      </c>
      <c r="F44" s="2">
        <f t="shared" si="0"/>
        <v>4.5353982300884894E-3</v>
      </c>
    </row>
    <row r="45" spans="1:6" x14ac:dyDescent="0.25">
      <c r="A45" t="s">
        <v>12</v>
      </c>
      <c r="B45">
        <v>26.7561998784482</v>
      </c>
      <c r="C45">
        <v>6.6371681415928994E-3</v>
      </c>
      <c r="D45" s="2">
        <v>0.132743362831858</v>
      </c>
      <c r="E45" s="2">
        <v>5</v>
      </c>
      <c r="F45" s="2">
        <f t="shared" si="0"/>
        <v>6.6371681415928994E-3</v>
      </c>
    </row>
    <row r="46" spans="1:6" x14ac:dyDescent="0.25">
      <c r="A46" t="s">
        <v>12</v>
      </c>
      <c r="B46">
        <v>36.481077956152397</v>
      </c>
      <c r="C46">
        <v>5.1991150442477494E-3</v>
      </c>
      <c r="D46" s="2">
        <v>0.103982300884955</v>
      </c>
      <c r="E46" s="2">
        <v>5</v>
      </c>
      <c r="F46" s="2">
        <f t="shared" si="0"/>
        <v>5.1991150442477494E-3</v>
      </c>
    </row>
    <row r="47" spans="1:6" x14ac:dyDescent="0.25">
      <c r="A47" t="s">
        <v>12</v>
      </c>
      <c r="B47">
        <v>37.157024058344803</v>
      </c>
      <c r="C47">
        <v>4.3141592920353999E-3</v>
      </c>
      <c r="D47" s="2">
        <v>8.6283185840708002E-2</v>
      </c>
      <c r="E47" s="2">
        <v>5</v>
      </c>
      <c r="F47" s="2">
        <f t="shared" si="0"/>
        <v>4.3141592920353999E-3</v>
      </c>
    </row>
    <row r="48" spans="1:6" x14ac:dyDescent="0.25">
      <c r="A48" t="s">
        <v>12</v>
      </c>
      <c r="B48">
        <v>39.815597159840401</v>
      </c>
      <c r="C48">
        <v>7.5221238938053001E-3</v>
      </c>
      <c r="D48" s="2">
        <v>0.15044247787610601</v>
      </c>
      <c r="E48" s="2">
        <v>5</v>
      </c>
      <c r="F48" s="2">
        <f t="shared" si="0"/>
        <v>7.5221238938053001E-3</v>
      </c>
    </row>
    <row r="49" spans="1:6" x14ac:dyDescent="0.25">
      <c r="A49" t="s">
        <v>12</v>
      </c>
      <c r="B49">
        <v>40.177287618031102</v>
      </c>
      <c r="C49">
        <v>3.5398230088495497E-3</v>
      </c>
      <c r="D49" s="2">
        <v>7.0796460176990997E-2</v>
      </c>
      <c r="E49" s="2">
        <v>5</v>
      </c>
      <c r="F49" s="2">
        <f t="shared" si="0"/>
        <v>3.5398230088495497E-3</v>
      </c>
    </row>
    <row r="50" spans="1:6" x14ac:dyDescent="0.25">
      <c r="A50" t="s">
        <v>12</v>
      </c>
      <c r="B50">
        <v>45.192036880567997</v>
      </c>
      <c r="C50">
        <v>5.088495575221199E-3</v>
      </c>
      <c r="D50" s="2">
        <v>0.10176991150442399</v>
      </c>
      <c r="E50" s="2">
        <v>5</v>
      </c>
      <c r="F50" s="2">
        <f t="shared" si="0"/>
        <v>5.088495575221199E-3</v>
      </c>
    </row>
    <row r="51" spans="1:6" x14ac:dyDescent="0.25">
      <c r="A51" t="s">
        <v>12</v>
      </c>
      <c r="B51">
        <v>45.850936096411203</v>
      </c>
      <c r="C51">
        <v>6.7477876106194499E-3</v>
      </c>
      <c r="D51" s="2">
        <v>0.13495575221238901</v>
      </c>
      <c r="E51" s="2">
        <v>5</v>
      </c>
      <c r="F51" s="2">
        <f t="shared" si="0"/>
        <v>6.7477876106194499E-3</v>
      </c>
    </row>
    <row r="52" spans="1:6" x14ac:dyDescent="0.25">
      <c r="A52" t="s">
        <v>12</v>
      </c>
      <c r="B52">
        <v>49.891048161159702</v>
      </c>
      <c r="C52">
        <v>3.7610619469026396E-3</v>
      </c>
      <c r="D52" s="2">
        <v>7.5221238938052798E-2</v>
      </c>
      <c r="E52" s="2">
        <v>5</v>
      </c>
      <c r="F52" s="2">
        <f t="shared" si="0"/>
        <v>3.7610619469026396E-3</v>
      </c>
    </row>
    <row r="53" spans="1:6" x14ac:dyDescent="0.25">
      <c r="A53" t="s">
        <v>12</v>
      </c>
      <c r="B53">
        <v>49.901424526763599</v>
      </c>
      <c r="C53">
        <v>2.2123893805309752E-3</v>
      </c>
      <c r="D53" s="2">
        <v>4.4247787610619503E-2</v>
      </c>
      <c r="E53" s="2">
        <v>5</v>
      </c>
      <c r="F53" s="2">
        <f t="shared" si="0"/>
        <v>2.2123893805309752E-3</v>
      </c>
    </row>
    <row r="54" spans="1:6" x14ac:dyDescent="0.25">
      <c r="A54" t="s">
        <v>12</v>
      </c>
      <c r="B54">
        <v>64.970872059412002</v>
      </c>
      <c r="C54">
        <v>3.0973451327433554E-3</v>
      </c>
      <c r="D54" s="2">
        <v>6.1946902654867103E-2</v>
      </c>
      <c r="E54" s="2">
        <v>5</v>
      </c>
      <c r="F54" s="2">
        <f t="shared" si="0"/>
        <v>3.0973451327433554E-3</v>
      </c>
    </row>
    <row r="55" spans="1:6" x14ac:dyDescent="0.25">
      <c r="A55" t="s">
        <v>12</v>
      </c>
      <c r="B55">
        <v>65.311068617423302</v>
      </c>
      <c r="C55">
        <v>2.3230088495575147E-3</v>
      </c>
      <c r="D55" s="2">
        <v>4.64601769911503E-2</v>
      </c>
      <c r="E55" s="2">
        <v>5</v>
      </c>
      <c r="F55" s="2">
        <f t="shared" si="0"/>
        <v>2.3230088495575147E-3</v>
      </c>
    </row>
    <row r="56" spans="1:6" x14ac:dyDescent="0.25">
      <c r="A56" t="s">
        <v>12</v>
      </c>
      <c r="B56">
        <v>69.9915506737226</v>
      </c>
      <c r="C56">
        <v>3.7610619469026396E-3</v>
      </c>
      <c r="D56" s="2">
        <v>7.5221238938052798E-2</v>
      </c>
      <c r="E56" s="2">
        <v>5</v>
      </c>
      <c r="F56" s="2">
        <f t="shared" si="0"/>
        <v>3.7610619469026396E-3</v>
      </c>
    </row>
    <row r="57" spans="1:6" x14ac:dyDescent="0.25">
      <c r="A57" t="s">
        <v>12</v>
      </c>
      <c r="B57">
        <v>69.998221194467902</v>
      </c>
      <c r="C57">
        <v>2.7654867256637098E-3</v>
      </c>
      <c r="D57" s="2">
        <v>5.53097345132742E-2</v>
      </c>
      <c r="E57" s="2">
        <v>5</v>
      </c>
      <c r="F57" s="2">
        <f t="shared" si="0"/>
        <v>2.7654867256637098E-3</v>
      </c>
    </row>
    <row r="58" spans="1:6" x14ac:dyDescent="0.25">
      <c r="A58" t="s">
        <v>12</v>
      </c>
      <c r="B58">
        <v>75.012970457004698</v>
      </c>
      <c r="C58">
        <v>4.3141592920353999E-3</v>
      </c>
      <c r="D58" s="2">
        <v>8.6283185840708002E-2</v>
      </c>
      <c r="E58" s="2">
        <v>5</v>
      </c>
      <c r="F58" s="2">
        <f t="shared" si="0"/>
        <v>4.3141592920353999E-3</v>
      </c>
    </row>
    <row r="59" spans="1:6" x14ac:dyDescent="0.25">
      <c r="A59" t="s">
        <v>12</v>
      </c>
      <c r="B59">
        <v>75.352425846044298</v>
      </c>
      <c r="C59">
        <v>3.6504424778761001E-3</v>
      </c>
      <c r="D59" s="2">
        <v>7.3008849557522001E-2</v>
      </c>
      <c r="E59" s="2">
        <v>5</v>
      </c>
      <c r="F59" s="2">
        <f t="shared" si="0"/>
        <v>3.6504424778761001E-3</v>
      </c>
    </row>
    <row r="60" spans="1:6" x14ac:dyDescent="0.25">
      <c r="A60" t="s">
        <v>12</v>
      </c>
      <c r="B60">
        <v>100.479536324691</v>
      </c>
      <c r="C60">
        <v>3.4292035398230001E-3</v>
      </c>
      <c r="D60" s="2">
        <v>6.8584070796460006E-2</v>
      </c>
      <c r="E60" s="2">
        <v>5</v>
      </c>
      <c r="F60" s="2">
        <f t="shared" si="0"/>
        <v>3.4292035398230001E-3</v>
      </c>
    </row>
    <row r="61" spans="1:6" x14ac:dyDescent="0.25">
      <c r="A61" t="s">
        <v>12</v>
      </c>
      <c r="B61">
        <v>100.49287736618101</v>
      </c>
      <c r="C61">
        <v>1.4380530973451249E-3</v>
      </c>
      <c r="D61" s="2">
        <v>2.8761061946902498E-2</v>
      </c>
      <c r="E61" s="2">
        <v>5</v>
      </c>
      <c r="F61" s="2">
        <f t="shared" si="0"/>
        <v>1.4380530973451249E-3</v>
      </c>
    </row>
    <row r="62" spans="1:6" x14ac:dyDescent="0.25">
      <c r="A62" t="s">
        <v>12</v>
      </c>
      <c r="B62">
        <v>110.194779205763</v>
      </c>
      <c r="C62">
        <v>3.4292035398230001E-3</v>
      </c>
      <c r="D62" s="2">
        <v>6.8584070796460006E-2</v>
      </c>
      <c r="E62" s="2">
        <v>5</v>
      </c>
      <c r="F62" s="2">
        <f t="shared" si="0"/>
        <v>3.4292035398230001E-3</v>
      </c>
    </row>
    <row r="63" spans="1:6" x14ac:dyDescent="0.25">
      <c r="A63" t="s">
        <v>12</v>
      </c>
      <c r="B63">
        <v>110.52311706022699</v>
      </c>
      <c r="C63">
        <v>4.4247787610619503E-3</v>
      </c>
      <c r="D63" s="2">
        <v>8.8495575221239006E-2</v>
      </c>
      <c r="E63" s="2">
        <v>5</v>
      </c>
      <c r="F63" s="2">
        <f t="shared" si="0"/>
        <v>4.4247787610619503E-3</v>
      </c>
    </row>
    <row r="64" spans="1:6" x14ac:dyDescent="0.25">
      <c r="A64" t="s">
        <v>12</v>
      </c>
      <c r="B64">
        <v>150.40319592060601</v>
      </c>
      <c r="C64">
        <v>2.3230088495575147E-3</v>
      </c>
      <c r="D64" s="2">
        <v>4.64601769911503E-2</v>
      </c>
      <c r="E64" s="2">
        <v>5</v>
      </c>
      <c r="F64" s="2">
        <f t="shared" si="0"/>
        <v>2.3230088495575147E-3</v>
      </c>
    </row>
    <row r="65" spans="1:6" x14ac:dyDescent="0.25">
      <c r="A65" t="s">
        <v>12</v>
      </c>
      <c r="B65">
        <v>150.408384103407</v>
      </c>
      <c r="C65">
        <v>1.5486725663716749E-3</v>
      </c>
      <c r="D65" s="2">
        <v>3.09734513274335E-2</v>
      </c>
      <c r="E65" s="2">
        <v>5</v>
      </c>
      <c r="F65" s="2">
        <f t="shared" si="0"/>
        <v>1.5486725663716749E-3</v>
      </c>
    </row>
    <row r="66" spans="1:6" x14ac:dyDescent="0.25">
      <c r="A66" t="s">
        <v>12</v>
      </c>
      <c r="B66">
        <v>200.65371103304099</v>
      </c>
      <c r="C66">
        <v>2.4336283185840647E-3</v>
      </c>
      <c r="D66" s="2">
        <v>4.8672566371681297E-2</v>
      </c>
      <c r="E66" s="2">
        <v>5</v>
      </c>
      <c r="F66" s="2">
        <f t="shared" si="0"/>
        <v>2.4336283185840647E-3</v>
      </c>
    </row>
    <row r="67" spans="1:6" x14ac:dyDescent="0.25">
      <c r="A67" t="s">
        <v>12</v>
      </c>
      <c r="B67">
        <v>226.564268091342</v>
      </c>
      <c r="C67">
        <v>2.5386313465783649E-3</v>
      </c>
      <c r="D67" s="2">
        <v>5.0772626931567297E-2</v>
      </c>
      <c r="E67" s="2">
        <v>5</v>
      </c>
      <c r="F67" s="2">
        <f t="shared" ref="F67:F83" si="1">D67*E67/100</f>
        <v>2.5386313465783649E-3</v>
      </c>
    </row>
    <row r="68" spans="1:6" x14ac:dyDescent="0.25">
      <c r="A68" t="s">
        <v>12</v>
      </c>
      <c r="B68">
        <v>236.72250357096399</v>
      </c>
      <c r="C68">
        <v>1.986754966887415E-3</v>
      </c>
      <c r="D68" s="2">
        <v>3.9735099337748297E-2</v>
      </c>
      <c r="E68" s="2">
        <v>5</v>
      </c>
      <c r="F68" s="2">
        <f t="shared" si="1"/>
        <v>1.986754966887415E-3</v>
      </c>
    </row>
    <row r="69" spans="1:6" x14ac:dyDescent="0.25">
      <c r="A69" t="s">
        <v>12</v>
      </c>
      <c r="B69">
        <v>300.61773053592202</v>
      </c>
      <c r="C69">
        <v>1.76600441501102E-3</v>
      </c>
      <c r="D69" s="2">
        <v>3.5320088300220397E-2</v>
      </c>
      <c r="E69" s="2">
        <v>5</v>
      </c>
      <c r="F69" s="2">
        <f t="shared" si="1"/>
        <v>1.76600441501102E-3</v>
      </c>
    </row>
    <row r="70" spans="1:6" x14ac:dyDescent="0.25">
      <c r="A70" t="s">
        <v>12</v>
      </c>
      <c r="B70">
        <v>300.67709202886402</v>
      </c>
      <c r="C70">
        <v>1.3245033112582699E-3</v>
      </c>
      <c r="D70" s="2">
        <v>2.64900662251654E-2</v>
      </c>
      <c r="E70" s="2">
        <v>5</v>
      </c>
      <c r="F70" s="2">
        <f t="shared" si="1"/>
        <v>1.3245033112582699E-3</v>
      </c>
    </row>
    <row r="71" spans="1:6" x14ac:dyDescent="0.25">
      <c r="A71" t="s">
        <v>12</v>
      </c>
      <c r="B71">
        <v>334.21633554083797</v>
      </c>
      <c r="C71">
        <v>1.8763796909492098E-3</v>
      </c>
      <c r="D71" s="2">
        <v>3.7527593818984198E-2</v>
      </c>
      <c r="E71" s="2">
        <v>5</v>
      </c>
      <c r="F71" s="2">
        <f t="shared" si="1"/>
        <v>1.8763796909492098E-3</v>
      </c>
    </row>
    <row r="72" spans="1:6" x14ac:dyDescent="0.25">
      <c r="A72" t="s">
        <v>12</v>
      </c>
      <c r="B72">
        <v>340.99838610940998</v>
      </c>
      <c r="C72">
        <v>1.43487858719646E-3</v>
      </c>
      <c r="D72" s="2">
        <v>2.8697571743929201E-2</v>
      </c>
      <c r="E72" s="2">
        <v>5</v>
      </c>
      <c r="F72" s="2">
        <f t="shared" si="1"/>
        <v>1.43487858719646E-3</v>
      </c>
    </row>
    <row r="73" spans="1:6" x14ac:dyDescent="0.25">
      <c r="A73" t="s">
        <v>12</v>
      </c>
      <c r="B73">
        <v>361.166453336301</v>
      </c>
      <c r="C73">
        <v>1.43487858719646E-3</v>
      </c>
      <c r="D73" s="2">
        <v>2.8697571743929201E-2</v>
      </c>
      <c r="E73" s="2">
        <v>5</v>
      </c>
      <c r="F73" s="2">
        <f t="shared" si="1"/>
        <v>1.43487858719646E-3</v>
      </c>
    </row>
    <row r="74" spans="1:6" x14ac:dyDescent="0.25">
      <c r="A74" t="s">
        <v>12</v>
      </c>
      <c r="B74">
        <v>361.24065520247802</v>
      </c>
      <c r="C74">
        <v>8.8300220750550998E-4</v>
      </c>
      <c r="D74" s="2">
        <v>1.7660044150110198E-2</v>
      </c>
      <c r="E74" s="2">
        <v>5</v>
      </c>
      <c r="F74" s="2">
        <f t="shared" si="1"/>
        <v>8.8300220750550998E-4</v>
      </c>
    </row>
    <row r="75" spans="1:6" x14ac:dyDescent="0.25">
      <c r="A75" t="s">
        <v>12</v>
      </c>
      <c r="B75">
        <v>398.21544511844399</v>
      </c>
      <c r="C75">
        <v>8.8300220750550998E-4</v>
      </c>
      <c r="D75" s="2">
        <v>1.7660044150110198E-2</v>
      </c>
      <c r="E75" s="2">
        <v>5</v>
      </c>
      <c r="F75" s="2">
        <f t="shared" si="1"/>
        <v>8.8300220750550998E-4</v>
      </c>
    </row>
    <row r="76" spans="1:6" x14ac:dyDescent="0.25">
      <c r="A76" t="s">
        <v>12</v>
      </c>
      <c r="B76">
        <v>401.502587790083</v>
      </c>
      <c r="C76">
        <v>1.43487858719646E-3</v>
      </c>
      <c r="D76" s="2">
        <v>2.8697571743929201E-2</v>
      </c>
      <c r="E76" s="2">
        <v>5</v>
      </c>
      <c r="F76" s="2">
        <f t="shared" si="1"/>
        <v>1.43487858719646E-3</v>
      </c>
    </row>
    <row r="77" spans="1:6" x14ac:dyDescent="0.25">
      <c r="A77" t="s">
        <v>12</v>
      </c>
      <c r="B77">
        <v>425.031999554788</v>
      </c>
      <c r="C77">
        <v>1.43487858719646E-3</v>
      </c>
      <c r="D77" s="2">
        <v>2.8697571743929201E-2</v>
      </c>
      <c r="E77" s="2">
        <v>5</v>
      </c>
      <c r="F77" s="2">
        <f t="shared" si="1"/>
        <v>1.43487858719646E-3</v>
      </c>
    </row>
    <row r="78" spans="1:6" x14ac:dyDescent="0.25">
      <c r="A78" t="s">
        <v>12</v>
      </c>
      <c r="B78">
        <v>502.37260467100702</v>
      </c>
      <c r="C78">
        <v>1.2141280353200798E-3</v>
      </c>
      <c r="D78" s="2">
        <v>2.4282560706401599E-2</v>
      </c>
      <c r="E78" s="2">
        <v>5</v>
      </c>
      <c r="F78" s="2">
        <f t="shared" si="1"/>
        <v>1.2141280353200798E-3</v>
      </c>
    </row>
    <row r="79" spans="1:6" x14ac:dyDescent="0.25">
      <c r="A79" t="s">
        <v>12</v>
      </c>
      <c r="B79">
        <v>542.69389875155298</v>
      </c>
      <c r="C79">
        <v>1.3245033112582699E-3</v>
      </c>
      <c r="D79" s="2">
        <v>2.64900662251654E-2</v>
      </c>
      <c r="E79" s="2">
        <v>5</v>
      </c>
      <c r="F79" s="2">
        <f t="shared" si="1"/>
        <v>1.3245033112582699E-3</v>
      </c>
    </row>
    <row r="80" spans="1:6" x14ac:dyDescent="0.25">
      <c r="A80" t="s">
        <v>12</v>
      </c>
      <c r="B80">
        <v>549.47594932012498</v>
      </c>
      <c r="C80">
        <v>8.8300220750550998E-4</v>
      </c>
      <c r="D80" s="2">
        <v>1.7660044150110198E-2</v>
      </c>
      <c r="E80" s="2">
        <v>5</v>
      </c>
      <c r="F80" s="2">
        <f t="shared" si="1"/>
        <v>8.8300220750550998E-4</v>
      </c>
    </row>
    <row r="81" spans="1:6" x14ac:dyDescent="0.25">
      <c r="A81" t="s">
        <v>12</v>
      </c>
      <c r="B81">
        <v>599.88127701411599</v>
      </c>
      <c r="C81">
        <v>9.9337748344369993E-4</v>
      </c>
      <c r="D81" s="2">
        <v>1.9867549668874E-2</v>
      </c>
      <c r="E81" s="2">
        <v>5</v>
      </c>
      <c r="F81" s="2">
        <f t="shared" si="1"/>
        <v>9.9337748344369993E-4</v>
      </c>
    </row>
    <row r="82" spans="1:6" x14ac:dyDescent="0.25">
      <c r="A82" t="s">
        <v>12</v>
      </c>
      <c r="B82">
        <v>603.13873893928405</v>
      </c>
      <c r="C82">
        <v>1.76600441501102E-3</v>
      </c>
      <c r="D82" s="2">
        <v>3.5320088300220397E-2</v>
      </c>
      <c r="E82" s="2">
        <v>5</v>
      </c>
      <c r="F82" s="2">
        <f t="shared" si="1"/>
        <v>1.76600441501102E-3</v>
      </c>
    </row>
    <row r="83" spans="1:6" x14ac:dyDescent="0.25">
      <c r="A83" t="s">
        <v>12</v>
      </c>
      <c r="B83">
        <v>633.50956276550301</v>
      </c>
      <c r="C83">
        <v>8.8300220750550998E-4</v>
      </c>
      <c r="D83" s="2">
        <v>1.7660044150110198E-2</v>
      </c>
      <c r="E83" s="2">
        <v>5</v>
      </c>
      <c r="F83" s="2">
        <f t="shared" si="1"/>
        <v>8.8300220750550998E-4</v>
      </c>
    </row>
  </sheetData>
  <phoneticPr fontId="2" type="noConversion"/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27E2C-F7A7-41F1-87B4-4D206C8CAAD1}">
  <dimension ref="A1:M51"/>
  <sheetViews>
    <sheetView workbookViewId="0">
      <selection activeCell="I2" sqref="I2"/>
    </sheetView>
  </sheetViews>
  <sheetFormatPr defaultRowHeight="15" x14ac:dyDescent="0.25"/>
  <sheetData>
    <row r="1" spans="1:13" x14ac:dyDescent="0.25">
      <c r="A1" s="22" t="s">
        <v>174</v>
      </c>
      <c r="B1" s="22" t="s">
        <v>175</v>
      </c>
      <c r="C1" s="22" t="s">
        <v>176</v>
      </c>
      <c r="D1" s="22" t="s">
        <v>177</v>
      </c>
      <c r="E1" s="22" t="s">
        <v>178</v>
      </c>
      <c r="F1" s="22" t="s">
        <v>179</v>
      </c>
      <c r="G1" s="22" t="s">
        <v>180</v>
      </c>
      <c r="H1" s="22" t="s">
        <v>181</v>
      </c>
      <c r="I1" s="22" t="s">
        <v>0</v>
      </c>
      <c r="J1" s="23" t="s">
        <v>199</v>
      </c>
      <c r="K1" s="22" t="s">
        <v>200</v>
      </c>
      <c r="L1" s="22" t="s">
        <v>182</v>
      </c>
      <c r="M1" t="s">
        <v>183</v>
      </c>
    </row>
    <row r="2" spans="1:13" x14ac:dyDescent="0.25">
      <c r="C2" t="s">
        <v>217</v>
      </c>
      <c r="D2" t="s">
        <v>193</v>
      </c>
      <c r="E2" t="s">
        <v>218</v>
      </c>
      <c r="G2" t="s">
        <v>226</v>
      </c>
      <c r="H2" t="s">
        <v>219</v>
      </c>
      <c r="I2">
        <v>0.49949452237224534</v>
      </c>
      <c r="J2">
        <v>0.486036180533574</v>
      </c>
      <c r="L2" t="s">
        <v>223</v>
      </c>
      <c r="M2" t="s">
        <v>228</v>
      </c>
    </row>
    <row r="3" spans="1:13" x14ac:dyDescent="0.25">
      <c r="C3" t="s">
        <v>217</v>
      </c>
      <c r="D3" t="s">
        <v>193</v>
      </c>
      <c r="E3" t="s">
        <v>218</v>
      </c>
      <c r="G3" t="s">
        <v>226</v>
      </c>
      <c r="H3" t="s">
        <v>219</v>
      </c>
      <c r="I3">
        <v>0.59600186637893371</v>
      </c>
      <c r="J3">
        <v>211.425738531977</v>
      </c>
      <c r="L3" t="s">
        <v>223</v>
      </c>
      <c r="M3" t="s">
        <v>228</v>
      </c>
    </row>
    <row r="4" spans="1:13" x14ac:dyDescent="0.25">
      <c r="C4" t="s">
        <v>217</v>
      </c>
      <c r="D4" t="s">
        <v>193</v>
      </c>
      <c r="E4" t="s">
        <v>218</v>
      </c>
      <c r="G4" t="s">
        <v>226</v>
      </c>
      <c r="H4" t="s">
        <v>219</v>
      </c>
      <c r="I4">
        <v>0.66797410399229995</v>
      </c>
      <c r="J4">
        <v>470.26916683678002</v>
      </c>
      <c r="L4" t="s">
        <v>223</v>
      </c>
      <c r="M4" t="s">
        <v>228</v>
      </c>
    </row>
    <row r="5" spans="1:13" x14ac:dyDescent="0.25">
      <c r="C5" t="s">
        <v>217</v>
      </c>
      <c r="D5" t="s">
        <v>193</v>
      </c>
      <c r="E5" t="s">
        <v>218</v>
      </c>
      <c r="G5" t="s">
        <v>226</v>
      </c>
      <c r="H5" t="s">
        <v>219</v>
      </c>
      <c r="I5">
        <v>0.75124182244126203</v>
      </c>
      <c r="J5">
        <v>944.77656916780904</v>
      </c>
      <c r="L5" t="s">
        <v>223</v>
      </c>
      <c r="M5" t="s">
        <v>228</v>
      </c>
    </row>
    <row r="6" spans="1:13" x14ac:dyDescent="0.25">
      <c r="C6" t="s">
        <v>217</v>
      </c>
      <c r="D6" t="s">
        <v>193</v>
      </c>
      <c r="E6" t="s">
        <v>218</v>
      </c>
      <c r="G6" t="s">
        <v>226</v>
      </c>
      <c r="H6" t="s">
        <v>219</v>
      </c>
      <c r="I6">
        <v>0.83414015339301795</v>
      </c>
      <c r="J6">
        <v>1510.3379895599401</v>
      </c>
      <c r="L6" t="s">
        <v>223</v>
      </c>
      <c r="M6" t="s">
        <v>228</v>
      </c>
    </row>
    <row r="7" spans="1:13" x14ac:dyDescent="0.25">
      <c r="C7" t="s">
        <v>217</v>
      </c>
      <c r="D7" t="s">
        <v>193</v>
      </c>
      <c r="E7" t="s">
        <v>218</v>
      </c>
      <c r="G7" t="s">
        <v>226</v>
      </c>
      <c r="H7" t="s">
        <v>219</v>
      </c>
      <c r="I7">
        <v>1.0012782751548022</v>
      </c>
      <c r="J7">
        <v>2310.7909752802002</v>
      </c>
      <c r="L7" t="s">
        <v>223</v>
      </c>
      <c r="M7" t="s">
        <v>228</v>
      </c>
    </row>
    <row r="8" spans="1:13" x14ac:dyDescent="0.25">
      <c r="C8" t="s">
        <v>217</v>
      </c>
      <c r="D8" t="s">
        <v>193</v>
      </c>
      <c r="E8" t="s">
        <v>218</v>
      </c>
      <c r="G8" t="s">
        <v>226</v>
      </c>
      <c r="H8" t="s">
        <v>219</v>
      </c>
      <c r="I8">
        <v>1.1705549561109319</v>
      </c>
      <c r="J8">
        <v>2584.0891195940599</v>
      </c>
      <c r="L8" t="s">
        <v>223</v>
      </c>
      <c r="M8" t="s">
        <v>228</v>
      </c>
    </row>
    <row r="9" spans="1:13" x14ac:dyDescent="0.25">
      <c r="C9" t="s">
        <v>217</v>
      </c>
      <c r="D9" t="s">
        <v>193</v>
      </c>
      <c r="E9" t="s">
        <v>218</v>
      </c>
      <c r="G9" t="s">
        <v>226</v>
      </c>
      <c r="H9" t="s">
        <v>219</v>
      </c>
      <c r="I9">
        <v>1.4863229418797919</v>
      </c>
      <c r="J9">
        <v>2747.2806275699099</v>
      </c>
      <c r="L9" t="s">
        <v>223</v>
      </c>
      <c r="M9" t="s">
        <v>228</v>
      </c>
    </row>
    <row r="10" spans="1:13" x14ac:dyDescent="0.25">
      <c r="C10" t="s">
        <v>217</v>
      </c>
      <c r="D10" t="s">
        <v>193</v>
      </c>
      <c r="E10" t="s">
        <v>218</v>
      </c>
      <c r="G10" t="s">
        <v>226</v>
      </c>
      <c r="H10" t="s">
        <v>219</v>
      </c>
      <c r="I10">
        <v>1.6811845673791901</v>
      </c>
      <c r="J10">
        <v>2713.8899419672798</v>
      </c>
      <c r="L10" t="s">
        <v>223</v>
      </c>
      <c r="M10" t="s">
        <v>228</v>
      </c>
    </row>
    <row r="11" spans="1:13" x14ac:dyDescent="0.25">
      <c r="C11" t="s">
        <v>217</v>
      </c>
      <c r="D11" t="s">
        <v>193</v>
      </c>
      <c r="E11" t="s">
        <v>218</v>
      </c>
      <c r="G11" t="s">
        <v>226</v>
      </c>
      <c r="H11" t="s">
        <v>219</v>
      </c>
      <c r="I11">
        <v>1.8519971226658101</v>
      </c>
      <c r="J11">
        <v>2608.59506381655</v>
      </c>
      <c r="L11" t="s">
        <v>223</v>
      </c>
      <c r="M11" t="s">
        <v>228</v>
      </c>
    </row>
    <row r="12" spans="1:13" x14ac:dyDescent="0.25">
      <c r="C12" t="s">
        <v>217</v>
      </c>
      <c r="D12" t="s">
        <v>193</v>
      </c>
      <c r="E12" t="s">
        <v>218</v>
      </c>
      <c r="G12" t="s">
        <v>226</v>
      </c>
      <c r="H12" t="s">
        <v>219</v>
      </c>
      <c r="I12">
        <v>1.9985467518202</v>
      </c>
      <c r="J12">
        <v>2484.1114772583601</v>
      </c>
      <c r="L12" t="s">
        <v>223</v>
      </c>
      <c r="M12" t="s">
        <v>228</v>
      </c>
    </row>
    <row r="13" spans="1:13" x14ac:dyDescent="0.25">
      <c r="C13" t="s">
        <v>217</v>
      </c>
      <c r="D13" t="s">
        <v>193</v>
      </c>
      <c r="E13" t="s">
        <v>218</v>
      </c>
      <c r="G13" t="s">
        <v>226</v>
      </c>
      <c r="H13" t="s">
        <v>219</v>
      </c>
      <c r="I13">
        <v>2.18160741885626</v>
      </c>
      <c r="J13">
        <v>2359.6570528710099</v>
      </c>
      <c r="L13" t="s">
        <v>223</v>
      </c>
      <c r="M13" t="s">
        <v>228</v>
      </c>
    </row>
    <row r="14" spans="1:13" x14ac:dyDescent="0.25">
      <c r="C14" t="s">
        <v>217</v>
      </c>
      <c r="D14" t="s">
        <v>193</v>
      </c>
      <c r="E14" t="s">
        <v>218</v>
      </c>
      <c r="G14" t="s">
        <v>226</v>
      </c>
      <c r="H14" t="s">
        <v>219</v>
      </c>
      <c r="I14">
        <v>2.3281376065634301</v>
      </c>
      <c r="J14">
        <v>2239.9657830528899</v>
      </c>
      <c r="L14" t="s">
        <v>223</v>
      </c>
      <c r="M14" t="s">
        <v>228</v>
      </c>
    </row>
    <row r="15" spans="1:13" x14ac:dyDescent="0.25">
      <c r="C15" t="s">
        <v>217</v>
      </c>
      <c r="D15" t="s">
        <v>193</v>
      </c>
      <c r="E15" t="s">
        <v>218</v>
      </c>
      <c r="G15" t="s">
        <v>226</v>
      </c>
      <c r="H15" t="s">
        <v>219</v>
      </c>
      <c r="I15">
        <v>2.5235241511378099</v>
      </c>
      <c r="J15">
        <v>2077.18254546868</v>
      </c>
      <c r="L15" t="s">
        <v>223</v>
      </c>
      <c r="M15" t="s">
        <v>228</v>
      </c>
    </row>
    <row r="16" spans="1:13" x14ac:dyDescent="0.25">
      <c r="C16" t="s">
        <v>217</v>
      </c>
      <c r="D16" t="s">
        <v>193</v>
      </c>
      <c r="E16" t="s">
        <v>218</v>
      </c>
      <c r="G16" t="s">
        <v>226</v>
      </c>
      <c r="H16" t="s">
        <v>219</v>
      </c>
      <c r="I16">
        <v>2.7676309624488402</v>
      </c>
      <c r="J16">
        <v>1904.8535572988001</v>
      </c>
      <c r="L16" t="s">
        <v>223</v>
      </c>
      <c r="M16" t="s">
        <v>228</v>
      </c>
    </row>
    <row r="17" spans="3:13" x14ac:dyDescent="0.25">
      <c r="C17" t="s">
        <v>217</v>
      </c>
      <c r="D17" t="s">
        <v>193</v>
      </c>
      <c r="E17" t="s">
        <v>218</v>
      </c>
      <c r="G17" t="s">
        <v>226</v>
      </c>
      <c r="H17" t="s">
        <v>219</v>
      </c>
      <c r="I17">
        <v>2.9997424008243101</v>
      </c>
      <c r="J17">
        <v>1689.3839977447899</v>
      </c>
      <c r="L17" t="s">
        <v>223</v>
      </c>
      <c r="M17" t="s">
        <v>228</v>
      </c>
    </row>
    <row r="18" spans="3:13" x14ac:dyDescent="0.25">
      <c r="C18" t="s">
        <v>217</v>
      </c>
      <c r="D18" t="s">
        <v>193</v>
      </c>
      <c r="E18" t="s">
        <v>218</v>
      </c>
      <c r="G18" t="s">
        <v>226</v>
      </c>
      <c r="H18" t="s">
        <v>219</v>
      </c>
      <c r="I18">
        <v>3.4883254109435899</v>
      </c>
      <c r="J18">
        <v>1253.6720033439201</v>
      </c>
      <c r="L18" t="s">
        <v>223</v>
      </c>
      <c r="M18" t="s">
        <v>228</v>
      </c>
    </row>
    <row r="19" spans="3:13" x14ac:dyDescent="0.25">
      <c r="C19" t="s">
        <v>217</v>
      </c>
      <c r="D19" t="s">
        <v>193</v>
      </c>
      <c r="E19" t="s">
        <v>218</v>
      </c>
      <c r="G19" t="s">
        <v>226</v>
      </c>
      <c r="H19" t="s">
        <v>219</v>
      </c>
      <c r="I19">
        <v>3.9883594334762198</v>
      </c>
      <c r="J19">
        <v>995.28544904882699</v>
      </c>
      <c r="L19" t="s">
        <v>223</v>
      </c>
      <c r="M19" t="s">
        <v>228</v>
      </c>
    </row>
    <row r="20" spans="3:13" x14ac:dyDescent="0.25">
      <c r="C20" t="s">
        <v>217</v>
      </c>
      <c r="D20" t="s">
        <v>193</v>
      </c>
      <c r="E20" t="s">
        <v>218</v>
      </c>
      <c r="G20" t="s">
        <v>226</v>
      </c>
      <c r="H20" t="s">
        <v>219</v>
      </c>
      <c r="I20">
        <v>4.5127730308244098</v>
      </c>
      <c r="J20">
        <v>727.33370272083096</v>
      </c>
      <c r="L20" t="s">
        <v>223</v>
      </c>
      <c r="M20" t="s">
        <v>228</v>
      </c>
    </row>
    <row r="21" spans="3:13" x14ac:dyDescent="0.25">
      <c r="C21" t="s">
        <v>217</v>
      </c>
      <c r="D21" t="s">
        <v>193</v>
      </c>
      <c r="E21" t="s">
        <v>218</v>
      </c>
      <c r="G21" t="s">
        <v>226</v>
      </c>
      <c r="H21" t="s">
        <v>219</v>
      </c>
      <c r="I21">
        <v>4.9514304044793001</v>
      </c>
      <c r="J21">
        <v>598.29109678924499</v>
      </c>
      <c r="L21" t="s">
        <v>223</v>
      </c>
      <c r="M21" t="s">
        <v>228</v>
      </c>
    </row>
    <row r="22" spans="3:13" x14ac:dyDescent="0.25">
      <c r="C22" t="s">
        <v>217</v>
      </c>
      <c r="D22" t="s">
        <v>193</v>
      </c>
      <c r="E22" t="s">
        <v>218</v>
      </c>
      <c r="G22" t="s">
        <v>226</v>
      </c>
      <c r="H22" t="s">
        <v>219</v>
      </c>
      <c r="I22">
        <v>5.4873338971352998</v>
      </c>
      <c r="J22">
        <v>498.08015708689402</v>
      </c>
      <c r="L22" t="s">
        <v>223</v>
      </c>
      <c r="M22" t="s">
        <v>228</v>
      </c>
    </row>
    <row r="23" spans="3:13" x14ac:dyDescent="0.25">
      <c r="C23" t="s">
        <v>217</v>
      </c>
      <c r="D23" t="s">
        <v>193</v>
      </c>
      <c r="E23" t="s">
        <v>218</v>
      </c>
      <c r="G23" t="s">
        <v>226</v>
      </c>
      <c r="H23" t="s">
        <v>219</v>
      </c>
      <c r="I23">
        <v>6.4860410408950804</v>
      </c>
      <c r="J23">
        <v>316.769220300759</v>
      </c>
      <c r="L23" t="s">
        <v>223</v>
      </c>
      <c r="M23" t="s">
        <v>228</v>
      </c>
    </row>
    <row r="24" spans="3:13" x14ac:dyDescent="0.25">
      <c r="C24" t="s">
        <v>217</v>
      </c>
      <c r="D24" t="s">
        <v>193</v>
      </c>
      <c r="E24" t="s">
        <v>218</v>
      </c>
      <c r="G24" t="s">
        <v>226</v>
      </c>
      <c r="H24" t="s">
        <v>219</v>
      </c>
      <c r="I24">
        <v>8.4947702506974601</v>
      </c>
      <c r="J24">
        <v>165.019004014659</v>
      </c>
      <c r="L24" t="s">
        <v>223</v>
      </c>
      <c r="M24" t="s">
        <v>228</v>
      </c>
    </row>
    <row r="25" spans="3:13" x14ac:dyDescent="0.25">
      <c r="C25" t="s">
        <v>217</v>
      </c>
      <c r="D25" t="s">
        <v>193</v>
      </c>
      <c r="E25" t="s">
        <v>218</v>
      </c>
      <c r="G25" t="s">
        <v>226</v>
      </c>
      <c r="H25" t="s">
        <v>219</v>
      </c>
      <c r="I25">
        <v>10.5519086640809</v>
      </c>
      <c r="J25">
        <v>80.400104983815694</v>
      </c>
      <c r="L25" t="s">
        <v>223</v>
      </c>
      <c r="M25" t="s">
        <v>228</v>
      </c>
    </row>
    <row r="26" spans="3:13" x14ac:dyDescent="0.25">
      <c r="C26" t="s">
        <v>217</v>
      </c>
      <c r="D26" t="s">
        <v>193</v>
      </c>
      <c r="E26" t="s">
        <v>218</v>
      </c>
      <c r="G26" t="s">
        <v>226</v>
      </c>
      <c r="H26" t="s">
        <v>219</v>
      </c>
      <c r="I26">
        <v>12.5236213583739</v>
      </c>
      <c r="J26">
        <v>53.220961768394297</v>
      </c>
      <c r="L26" t="s">
        <v>223</v>
      </c>
      <c r="M26" t="s">
        <v>228</v>
      </c>
    </row>
    <row r="27" spans="3:13" x14ac:dyDescent="0.25">
      <c r="C27" t="s">
        <v>217</v>
      </c>
      <c r="D27" t="s">
        <v>193</v>
      </c>
      <c r="E27" t="s">
        <v>218</v>
      </c>
      <c r="G27" t="s">
        <v>226</v>
      </c>
      <c r="H27" t="s">
        <v>219</v>
      </c>
      <c r="I27">
        <v>0.49941675658336004</v>
      </c>
      <c r="J27">
        <v>19.655303140766499</v>
      </c>
      <c r="L27" t="s">
        <v>223</v>
      </c>
      <c r="M27" t="s">
        <v>229</v>
      </c>
    </row>
    <row r="28" spans="3:13" x14ac:dyDescent="0.25">
      <c r="C28" t="s">
        <v>217</v>
      </c>
      <c r="D28" t="s">
        <v>193</v>
      </c>
      <c r="E28" t="s">
        <v>218</v>
      </c>
      <c r="G28" t="s">
        <v>226</v>
      </c>
      <c r="H28" t="s">
        <v>219</v>
      </c>
      <c r="I28">
        <v>0.66945165398112105</v>
      </c>
      <c r="J28">
        <v>106.05309459236101</v>
      </c>
      <c r="L28" t="s">
        <v>223</v>
      </c>
      <c r="M28" t="s">
        <v>229</v>
      </c>
    </row>
    <row r="29" spans="3:13" x14ac:dyDescent="0.25">
      <c r="C29" t="s">
        <v>217</v>
      </c>
      <c r="D29" t="s">
        <v>193</v>
      </c>
      <c r="E29" t="s">
        <v>218</v>
      </c>
      <c r="G29" t="s">
        <v>226</v>
      </c>
      <c r="H29" t="s">
        <v>219</v>
      </c>
      <c r="I29">
        <v>0.75384697636891995</v>
      </c>
      <c r="J29">
        <v>302.606126000019</v>
      </c>
      <c r="L29" t="s">
        <v>223</v>
      </c>
      <c r="M29" t="s">
        <v>229</v>
      </c>
    </row>
    <row r="30" spans="3:13" x14ac:dyDescent="0.25">
      <c r="C30" t="s">
        <v>217</v>
      </c>
      <c r="D30" t="s">
        <v>193</v>
      </c>
      <c r="E30" t="s">
        <v>218</v>
      </c>
      <c r="G30" t="s">
        <v>226</v>
      </c>
      <c r="H30" t="s">
        <v>219</v>
      </c>
      <c r="I30">
        <v>0.89928844303169897</v>
      </c>
      <c r="J30">
        <v>451.28459362515002</v>
      </c>
      <c r="L30" t="s">
        <v>223</v>
      </c>
      <c r="M30" t="s">
        <v>229</v>
      </c>
    </row>
    <row r="31" spans="3:13" x14ac:dyDescent="0.25">
      <c r="C31" t="s">
        <v>217</v>
      </c>
      <c r="D31" t="s">
        <v>193</v>
      </c>
      <c r="E31" t="s">
        <v>218</v>
      </c>
      <c r="G31" t="s">
        <v>226</v>
      </c>
      <c r="H31" t="s">
        <v>219</v>
      </c>
      <c r="I31">
        <v>1.0201364789594929</v>
      </c>
      <c r="J31">
        <v>662.24373742381295</v>
      </c>
      <c r="L31" t="s">
        <v>223</v>
      </c>
      <c r="M31" t="s">
        <v>229</v>
      </c>
    </row>
    <row r="32" spans="3:13" x14ac:dyDescent="0.25">
      <c r="C32" t="s">
        <v>217</v>
      </c>
      <c r="D32" t="s">
        <v>193</v>
      </c>
      <c r="E32" t="s">
        <v>218</v>
      </c>
      <c r="G32" t="s">
        <v>226</v>
      </c>
      <c r="H32" t="s">
        <v>219</v>
      </c>
      <c r="I32">
        <v>1.153310392425611</v>
      </c>
      <c r="J32">
        <v>834.87406802562305</v>
      </c>
      <c r="L32" t="s">
        <v>223</v>
      </c>
      <c r="M32" t="s">
        <v>229</v>
      </c>
    </row>
    <row r="33" spans="3:13" x14ac:dyDescent="0.25">
      <c r="C33" t="s">
        <v>217</v>
      </c>
      <c r="D33" t="s">
        <v>193</v>
      </c>
      <c r="E33" t="s">
        <v>218</v>
      </c>
      <c r="G33" t="s">
        <v>226</v>
      </c>
      <c r="H33" t="s">
        <v>219</v>
      </c>
      <c r="I33">
        <v>1.359078669816181</v>
      </c>
      <c r="J33">
        <v>1112.9936912503699</v>
      </c>
      <c r="L33" t="s">
        <v>223</v>
      </c>
      <c r="M33" t="s">
        <v>229</v>
      </c>
    </row>
    <row r="34" spans="3:13" x14ac:dyDescent="0.25">
      <c r="C34" t="s">
        <v>217</v>
      </c>
      <c r="D34" t="s">
        <v>193</v>
      </c>
      <c r="E34" t="s">
        <v>218</v>
      </c>
      <c r="G34" t="s">
        <v>226</v>
      </c>
      <c r="H34" t="s">
        <v>219</v>
      </c>
      <c r="I34">
        <v>1.5041313075345299</v>
      </c>
      <c r="J34">
        <v>1357.51849367667</v>
      </c>
      <c r="L34" t="s">
        <v>223</v>
      </c>
      <c r="M34" t="s">
        <v>229</v>
      </c>
    </row>
    <row r="35" spans="3:13" x14ac:dyDescent="0.25">
      <c r="C35" t="s">
        <v>217</v>
      </c>
      <c r="D35" t="s">
        <v>193</v>
      </c>
      <c r="E35" t="s">
        <v>218</v>
      </c>
      <c r="G35" t="s">
        <v>226</v>
      </c>
      <c r="H35" t="s">
        <v>219</v>
      </c>
      <c r="I35">
        <v>1.67424397072118</v>
      </c>
      <c r="J35">
        <v>1424.7470181680301</v>
      </c>
      <c r="L35" t="s">
        <v>223</v>
      </c>
      <c r="M35" t="s">
        <v>229</v>
      </c>
    </row>
    <row r="36" spans="3:13" x14ac:dyDescent="0.25">
      <c r="C36" t="s">
        <v>217</v>
      </c>
      <c r="D36" t="s">
        <v>193</v>
      </c>
      <c r="E36" t="s">
        <v>218</v>
      </c>
      <c r="G36" t="s">
        <v>226</v>
      </c>
      <c r="H36" t="s">
        <v>219</v>
      </c>
      <c r="I36">
        <v>1.80757341576506</v>
      </c>
      <c r="J36">
        <v>1559.0388148493701</v>
      </c>
      <c r="L36" t="s">
        <v>223</v>
      </c>
      <c r="M36" t="s">
        <v>229</v>
      </c>
    </row>
    <row r="37" spans="3:13" x14ac:dyDescent="0.25">
      <c r="C37" t="s">
        <v>217</v>
      </c>
      <c r="D37" t="s">
        <v>193</v>
      </c>
      <c r="E37" t="s">
        <v>218</v>
      </c>
      <c r="G37" t="s">
        <v>226</v>
      </c>
      <c r="H37" t="s">
        <v>219</v>
      </c>
      <c r="I37">
        <v>1.9775694302683799</v>
      </c>
      <c r="J37">
        <v>1655.0212397810899</v>
      </c>
      <c r="L37" t="s">
        <v>223</v>
      </c>
      <c r="M37" t="s">
        <v>229</v>
      </c>
    </row>
    <row r="38" spans="3:13" x14ac:dyDescent="0.25">
      <c r="C38" t="s">
        <v>217</v>
      </c>
      <c r="D38" t="s">
        <v>193</v>
      </c>
      <c r="E38" t="s">
        <v>218</v>
      </c>
      <c r="G38" t="s">
        <v>226</v>
      </c>
      <c r="H38" t="s">
        <v>219</v>
      </c>
      <c r="I38">
        <v>2.1602412683600098</v>
      </c>
      <c r="J38">
        <v>1626.4131501949</v>
      </c>
      <c r="L38" t="s">
        <v>223</v>
      </c>
      <c r="M38" t="s">
        <v>229</v>
      </c>
    </row>
    <row r="39" spans="3:13" x14ac:dyDescent="0.25">
      <c r="C39" t="s">
        <v>217</v>
      </c>
      <c r="D39" t="s">
        <v>193</v>
      </c>
      <c r="E39" t="s">
        <v>218</v>
      </c>
      <c r="G39" t="s">
        <v>226</v>
      </c>
      <c r="H39" t="s">
        <v>219</v>
      </c>
      <c r="I39">
        <v>2.2938234522177803</v>
      </c>
      <c r="J39">
        <v>1698.4048292554901</v>
      </c>
      <c r="L39" t="s">
        <v>223</v>
      </c>
      <c r="M39" t="s">
        <v>229</v>
      </c>
    </row>
    <row r="40" spans="3:13" x14ac:dyDescent="0.25">
      <c r="C40" t="s">
        <v>217</v>
      </c>
      <c r="D40" t="s">
        <v>193</v>
      </c>
      <c r="E40" t="s">
        <v>218</v>
      </c>
      <c r="G40" t="s">
        <v>226</v>
      </c>
      <c r="H40" t="s">
        <v>219</v>
      </c>
      <c r="I40">
        <v>2.5250405840210699</v>
      </c>
      <c r="J40">
        <v>1703.3818397441501</v>
      </c>
      <c r="L40" t="s">
        <v>223</v>
      </c>
      <c r="M40" t="s">
        <v>229</v>
      </c>
    </row>
    <row r="41" spans="3:13" x14ac:dyDescent="0.25">
      <c r="C41" t="s">
        <v>217</v>
      </c>
      <c r="D41" t="s">
        <v>193</v>
      </c>
      <c r="E41" t="s">
        <v>218</v>
      </c>
      <c r="G41" t="s">
        <v>226</v>
      </c>
      <c r="H41" t="s">
        <v>219</v>
      </c>
      <c r="I41">
        <v>2.71988276807325</v>
      </c>
      <c r="J41">
        <v>1674.7834708815701</v>
      </c>
      <c r="L41" t="s">
        <v>223</v>
      </c>
      <c r="M41" t="s">
        <v>229</v>
      </c>
    </row>
    <row r="42" spans="3:13" x14ac:dyDescent="0.25">
      <c r="C42" t="s">
        <v>217</v>
      </c>
      <c r="D42" t="s">
        <v>193</v>
      </c>
      <c r="E42" t="s">
        <v>218</v>
      </c>
      <c r="G42" t="s">
        <v>226</v>
      </c>
      <c r="H42" t="s">
        <v>219</v>
      </c>
      <c r="I42">
        <v>2.9757322135059701</v>
      </c>
      <c r="J42">
        <v>1607.8951717165801</v>
      </c>
      <c r="L42" t="s">
        <v>223</v>
      </c>
      <c r="M42" t="s">
        <v>229</v>
      </c>
    </row>
    <row r="43" spans="3:13" x14ac:dyDescent="0.25">
      <c r="C43" t="s">
        <v>217</v>
      </c>
      <c r="D43" t="s">
        <v>193</v>
      </c>
      <c r="E43" t="s">
        <v>218</v>
      </c>
      <c r="G43" t="s">
        <v>226</v>
      </c>
      <c r="H43" t="s">
        <v>219</v>
      </c>
      <c r="I43">
        <v>3.53659852439415</v>
      </c>
      <c r="J43">
        <v>1354.34953777959</v>
      </c>
      <c r="L43" t="s">
        <v>223</v>
      </c>
      <c r="M43" t="s">
        <v>229</v>
      </c>
    </row>
    <row r="44" spans="3:13" x14ac:dyDescent="0.25">
      <c r="C44" t="s">
        <v>217</v>
      </c>
      <c r="D44" t="s">
        <v>193</v>
      </c>
      <c r="E44" t="s">
        <v>218</v>
      </c>
      <c r="G44" t="s">
        <v>226</v>
      </c>
      <c r="H44" t="s">
        <v>219</v>
      </c>
      <c r="I44">
        <v>3.9875817755873699</v>
      </c>
      <c r="J44">
        <v>1186.97811865115</v>
      </c>
      <c r="L44" t="s">
        <v>223</v>
      </c>
      <c r="M44" t="s">
        <v>229</v>
      </c>
    </row>
    <row r="45" spans="3:13" x14ac:dyDescent="0.25">
      <c r="C45" t="s">
        <v>217</v>
      </c>
      <c r="D45" t="s">
        <v>193</v>
      </c>
      <c r="E45" t="s">
        <v>218</v>
      </c>
      <c r="G45" t="s">
        <v>226</v>
      </c>
      <c r="H45" t="s">
        <v>219</v>
      </c>
      <c r="I45">
        <v>4.43879832414724</v>
      </c>
      <c r="J45">
        <v>962.098898642015</v>
      </c>
      <c r="L45" t="s">
        <v>223</v>
      </c>
      <c r="M45" t="s">
        <v>229</v>
      </c>
    </row>
    <row r="46" spans="3:13" x14ac:dyDescent="0.25">
      <c r="C46" t="s">
        <v>217</v>
      </c>
      <c r="D46" t="s">
        <v>193</v>
      </c>
      <c r="E46" t="s">
        <v>218</v>
      </c>
      <c r="G46" t="s">
        <v>226</v>
      </c>
      <c r="H46" t="s">
        <v>219</v>
      </c>
      <c r="I46">
        <v>4.9871832259193303</v>
      </c>
      <c r="J46">
        <v>785.22061182234404</v>
      </c>
      <c r="L46" t="s">
        <v>223</v>
      </c>
      <c r="M46" t="s">
        <v>229</v>
      </c>
    </row>
    <row r="47" spans="3:13" x14ac:dyDescent="0.25">
      <c r="C47" t="s">
        <v>217</v>
      </c>
      <c r="D47" t="s">
        <v>193</v>
      </c>
      <c r="E47" t="s">
        <v>218</v>
      </c>
      <c r="G47" t="s">
        <v>226</v>
      </c>
      <c r="H47" t="s">
        <v>219</v>
      </c>
      <c r="I47">
        <v>5.4625266104808796</v>
      </c>
      <c r="J47">
        <v>613.07631740106694</v>
      </c>
      <c r="L47" t="s">
        <v>223</v>
      </c>
      <c r="M47" t="s">
        <v>229</v>
      </c>
    </row>
    <row r="48" spans="3:13" x14ac:dyDescent="0.25">
      <c r="C48" t="s">
        <v>217</v>
      </c>
      <c r="D48" t="s">
        <v>193</v>
      </c>
      <c r="E48" t="s">
        <v>218</v>
      </c>
      <c r="G48" t="s">
        <v>226</v>
      </c>
      <c r="H48" t="s">
        <v>219</v>
      </c>
      <c r="I48">
        <v>6.4613892858184299</v>
      </c>
      <c r="J48">
        <v>393.426846694468</v>
      </c>
      <c r="L48" t="s">
        <v>223</v>
      </c>
      <c r="M48" t="s">
        <v>229</v>
      </c>
    </row>
    <row r="49" spans="3:13" x14ac:dyDescent="0.25">
      <c r="C49" t="s">
        <v>217</v>
      </c>
      <c r="D49" t="s">
        <v>193</v>
      </c>
      <c r="E49" t="s">
        <v>218</v>
      </c>
      <c r="G49" t="s">
        <v>226</v>
      </c>
      <c r="H49" t="s">
        <v>219</v>
      </c>
      <c r="I49">
        <v>8.5191109426185605</v>
      </c>
      <c r="J49">
        <v>165.03844546188</v>
      </c>
      <c r="L49" t="s">
        <v>223</v>
      </c>
      <c r="M49" t="s">
        <v>229</v>
      </c>
    </row>
    <row r="50" spans="3:13" x14ac:dyDescent="0.25">
      <c r="C50" t="s">
        <v>217</v>
      </c>
      <c r="D50" t="s">
        <v>193</v>
      </c>
      <c r="E50" t="s">
        <v>218</v>
      </c>
      <c r="G50" t="s">
        <v>226</v>
      </c>
      <c r="H50" t="s">
        <v>219</v>
      </c>
      <c r="I50">
        <v>10.539718876673099</v>
      </c>
      <c r="J50">
        <v>85.182701000262497</v>
      </c>
      <c r="L50" t="s">
        <v>223</v>
      </c>
      <c r="M50" t="s">
        <v>229</v>
      </c>
    </row>
    <row r="51" spans="3:13" x14ac:dyDescent="0.25">
      <c r="C51" t="s">
        <v>217</v>
      </c>
      <c r="D51" t="s">
        <v>193</v>
      </c>
      <c r="E51" t="s">
        <v>218</v>
      </c>
      <c r="G51" t="s">
        <v>226</v>
      </c>
      <c r="H51" t="s">
        <v>219</v>
      </c>
      <c r="I51">
        <v>12.560132396255501</v>
      </c>
      <c r="J51">
        <v>53.250123939226299</v>
      </c>
      <c r="L51" t="s">
        <v>223</v>
      </c>
      <c r="M51" t="s">
        <v>229</v>
      </c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1667A-9280-4E1B-9B1E-F5A18FEEF641}">
  <dimension ref="A1:S19"/>
  <sheetViews>
    <sheetView workbookViewId="0">
      <selection activeCell="J2" sqref="J2:J10"/>
    </sheetView>
  </sheetViews>
  <sheetFormatPr defaultRowHeight="15" x14ac:dyDescent="0.25"/>
  <cols>
    <col min="1" max="1" width="8.140625" bestFit="1" customWidth="1"/>
    <col min="2" max="2" width="9.5703125" bestFit="1" customWidth="1"/>
    <col min="3" max="3" width="22.5703125" bestFit="1" customWidth="1"/>
    <col min="4" max="4" width="13.42578125" bestFit="1" customWidth="1"/>
    <col min="5" max="5" width="7.7109375" bestFit="1" customWidth="1"/>
    <col min="6" max="6" width="7.5703125" bestFit="1" customWidth="1"/>
    <col min="7" max="7" width="19.140625" bestFit="1" customWidth="1"/>
    <col min="8" max="8" width="9.28515625" bestFit="1" customWidth="1"/>
    <col min="9" max="9" width="12.42578125" bestFit="1" customWidth="1"/>
    <col min="10" max="10" width="27.5703125" bestFit="1" customWidth="1"/>
    <col min="11" max="11" width="12.42578125" bestFit="1" customWidth="1"/>
    <col min="12" max="12" width="6.28515625" bestFit="1" customWidth="1"/>
    <col min="13" max="13" width="8.5703125" bestFit="1" customWidth="1"/>
    <col min="17" max="17" width="12" bestFit="1" customWidth="1"/>
  </cols>
  <sheetData>
    <row r="1" spans="1:19" x14ac:dyDescent="0.25">
      <c r="A1" s="22" t="s">
        <v>174</v>
      </c>
      <c r="B1" s="22" t="s">
        <v>175</v>
      </c>
      <c r="C1" s="22" t="s">
        <v>176</v>
      </c>
      <c r="D1" s="22" t="s">
        <v>177</v>
      </c>
      <c r="E1" s="22" t="s">
        <v>178</v>
      </c>
      <c r="F1" s="22" t="s">
        <v>179</v>
      </c>
      <c r="G1" s="22" t="s">
        <v>180</v>
      </c>
      <c r="H1" s="22" t="s">
        <v>181</v>
      </c>
      <c r="I1" s="22" t="s">
        <v>16</v>
      </c>
      <c r="J1" s="23" t="s">
        <v>199</v>
      </c>
      <c r="K1" s="22" t="s">
        <v>200</v>
      </c>
      <c r="L1" s="22" t="s">
        <v>182</v>
      </c>
      <c r="M1" t="s">
        <v>183</v>
      </c>
    </row>
    <row r="2" spans="1:19" x14ac:dyDescent="0.25">
      <c r="C2" t="s">
        <v>217</v>
      </c>
      <c r="D2" t="s">
        <v>193</v>
      </c>
      <c r="E2" t="s">
        <v>218</v>
      </c>
      <c r="G2" t="s">
        <v>273</v>
      </c>
      <c r="H2" t="s">
        <v>205</v>
      </c>
      <c r="I2">
        <f>O2</f>
        <v>1.0084760422072201</v>
      </c>
      <c r="J2">
        <f>P2*4.21/100</f>
        <v>4.2234361702127572</v>
      </c>
      <c r="K2">
        <f>Q2*2.6/100</f>
        <v>0.11617021276595801</v>
      </c>
      <c r="L2" t="s">
        <v>223</v>
      </c>
      <c r="M2" t="s">
        <v>205</v>
      </c>
      <c r="O2">
        <v>1.0084760422072201</v>
      </c>
      <c r="P2">
        <v>100.31914893617</v>
      </c>
      <c r="Q2">
        <f>ABS(S2-P2)</f>
        <v>4.4680851063830005</v>
      </c>
      <c r="R2">
        <v>1.04462895692786</v>
      </c>
      <c r="S2">
        <v>104.787234042553</v>
      </c>
    </row>
    <row r="3" spans="1:19" x14ac:dyDescent="0.25">
      <c r="C3" t="s">
        <v>217</v>
      </c>
      <c r="D3" t="s">
        <v>193</v>
      </c>
      <c r="E3" t="s">
        <v>218</v>
      </c>
      <c r="G3" t="s">
        <v>273</v>
      </c>
      <c r="H3" t="s">
        <v>205</v>
      </c>
      <c r="I3">
        <f t="shared" ref="I3:I19" si="0">O3</f>
        <v>2.0198495070056999</v>
      </c>
      <c r="J3">
        <f t="shared" ref="J3:J10" si="1">P3*4.21/100</f>
        <v>4.3913882978723038</v>
      </c>
      <c r="K3">
        <f t="shared" ref="K3:K10" si="2">Q3*2.6/100</f>
        <v>0.11202127659574808</v>
      </c>
      <c r="L3" t="s">
        <v>223</v>
      </c>
      <c r="M3" t="s">
        <v>205</v>
      </c>
      <c r="O3">
        <v>2.0198495070056999</v>
      </c>
      <c r="P3">
        <v>104.30851063829699</v>
      </c>
      <c r="Q3">
        <f t="shared" ref="Q3:Q19" si="3">ABS(S3-P3)</f>
        <v>4.308510638298003</v>
      </c>
      <c r="R3">
        <v>2.0558726863864298</v>
      </c>
      <c r="S3">
        <v>108.617021276595</v>
      </c>
    </row>
    <row r="4" spans="1:19" x14ac:dyDescent="0.25">
      <c r="C4" t="s">
        <v>217</v>
      </c>
      <c r="D4" t="s">
        <v>193</v>
      </c>
      <c r="E4" t="s">
        <v>218</v>
      </c>
      <c r="G4" t="s">
        <v>273</v>
      </c>
      <c r="H4" t="s">
        <v>205</v>
      </c>
      <c r="I4">
        <f t="shared" si="0"/>
        <v>2.9583982010032801</v>
      </c>
      <c r="J4">
        <f t="shared" si="1"/>
        <v>4.1562553191489338</v>
      </c>
      <c r="K4">
        <f t="shared" si="2"/>
        <v>0.22404255319146735</v>
      </c>
      <c r="L4" t="s">
        <v>223</v>
      </c>
      <c r="M4" t="s">
        <v>205</v>
      </c>
      <c r="O4">
        <v>2.9583982010032801</v>
      </c>
      <c r="P4">
        <v>98.723404255319096</v>
      </c>
      <c r="Q4">
        <f t="shared" si="3"/>
        <v>8.6170212765948975</v>
      </c>
      <c r="R4">
        <v>2.9816640719598602</v>
      </c>
      <c r="S4">
        <v>107.34042553191399</v>
      </c>
    </row>
    <row r="5" spans="1:19" x14ac:dyDescent="0.25">
      <c r="C5" t="s">
        <v>217</v>
      </c>
      <c r="D5" t="s">
        <v>193</v>
      </c>
      <c r="E5" t="s">
        <v>218</v>
      </c>
      <c r="G5" t="s">
        <v>273</v>
      </c>
      <c r="H5" t="s">
        <v>205</v>
      </c>
      <c r="I5">
        <f t="shared" si="0"/>
        <v>3.9388514097906899</v>
      </c>
      <c r="J5">
        <f t="shared" si="1"/>
        <v>3.5650638297872308</v>
      </c>
      <c r="K5">
        <f t="shared" si="2"/>
        <v>0.24063829787234109</v>
      </c>
      <c r="L5" t="s">
        <v>223</v>
      </c>
      <c r="M5" t="s">
        <v>205</v>
      </c>
      <c r="O5">
        <v>3.9388514097906899</v>
      </c>
      <c r="P5">
        <v>84.680851063829707</v>
      </c>
      <c r="Q5">
        <f t="shared" si="3"/>
        <v>9.255319148936195</v>
      </c>
      <c r="R5">
        <v>4.0276768725133998</v>
      </c>
      <c r="S5">
        <v>93.936170212765902</v>
      </c>
    </row>
    <row r="6" spans="1:19" x14ac:dyDescent="0.25">
      <c r="C6" t="s">
        <v>217</v>
      </c>
      <c r="D6" t="s">
        <v>193</v>
      </c>
      <c r="E6" t="s">
        <v>218</v>
      </c>
      <c r="G6" t="s">
        <v>273</v>
      </c>
      <c r="H6" t="s">
        <v>205</v>
      </c>
      <c r="I6">
        <f t="shared" si="0"/>
        <v>4.9931672720982503</v>
      </c>
      <c r="J6">
        <f t="shared" si="1"/>
        <v>3.4307021276595719</v>
      </c>
      <c r="K6">
        <f t="shared" si="2"/>
        <v>0.24478723404255398</v>
      </c>
      <c r="L6" t="s">
        <v>223</v>
      </c>
      <c r="M6" t="s">
        <v>205</v>
      </c>
      <c r="O6">
        <v>4.9931672720982503</v>
      </c>
      <c r="P6">
        <v>81.489361702127596</v>
      </c>
      <c r="Q6">
        <f t="shared" si="3"/>
        <v>9.4148936170213062</v>
      </c>
      <c r="R6">
        <v>4.9357810067462298</v>
      </c>
      <c r="S6">
        <v>90.904255319148902</v>
      </c>
    </row>
    <row r="7" spans="1:19" x14ac:dyDescent="0.25">
      <c r="C7" t="s">
        <v>217</v>
      </c>
      <c r="D7" t="s">
        <v>193</v>
      </c>
      <c r="E7" t="s">
        <v>218</v>
      </c>
      <c r="G7" t="s">
        <v>273</v>
      </c>
      <c r="H7" t="s">
        <v>205</v>
      </c>
      <c r="I7">
        <f t="shared" si="0"/>
        <v>5.9646254973188002</v>
      </c>
      <c r="J7">
        <f t="shared" si="1"/>
        <v>3.2157234042553164</v>
      </c>
      <c r="K7">
        <f t="shared" si="2"/>
        <v>0.26553191489361694</v>
      </c>
      <c r="L7" t="s">
        <v>223</v>
      </c>
      <c r="M7" t="s">
        <v>205</v>
      </c>
      <c r="O7">
        <v>5.9646254973188002</v>
      </c>
      <c r="P7">
        <v>76.382978723404193</v>
      </c>
      <c r="Q7">
        <f t="shared" si="3"/>
        <v>10.212765957446805</v>
      </c>
      <c r="R7">
        <v>6.0379692094793196</v>
      </c>
      <c r="S7">
        <v>86.595744680850999</v>
      </c>
    </row>
    <row r="8" spans="1:19" x14ac:dyDescent="0.25">
      <c r="C8" t="s">
        <v>217</v>
      </c>
      <c r="D8" t="s">
        <v>193</v>
      </c>
      <c r="E8" t="s">
        <v>218</v>
      </c>
      <c r="G8" t="s">
        <v>273</v>
      </c>
      <c r="H8" t="s">
        <v>205</v>
      </c>
      <c r="I8">
        <f t="shared" si="0"/>
        <v>6.9652309289050303</v>
      </c>
      <c r="J8">
        <f t="shared" si="1"/>
        <v>2.8260744680851024</v>
      </c>
      <c r="K8">
        <f t="shared" si="2"/>
        <v>0.34021276595744643</v>
      </c>
      <c r="L8" t="s">
        <v>223</v>
      </c>
      <c r="M8" t="s">
        <v>205</v>
      </c>
      <c r="O8">
        <v>6.9652309289050303</v>
      </c>
      <c r="P8">
        <v>67.127659574467998</v>
      </c>
      <c r="Q8">
        <f t="shared" si="3"/>
        <v>13.085106382978708</v>
      </c>
      <c r="R8">
        <v>6.9758692267773696</v>
      </c>
      <c r="S8">
        <v>80.212765957446706</v>
      </c>
    </row>
    <row r="9" spans="1:19" x14ac:dyDescent="0.25">
      <c r="C9" t="s">
        <v>217</v>
      </c>
      <c r="D9" t="s">
        <v>193</v>
      </c>
      <c r="E9" t="s">
        <v>218</v>
      </c>
      <c r="G9" t="s">
        <v>273</v>
      </c>
      <c r="H9" t="s">
        <v>205</v>
      </c>
      <c r="I9">
        <f t="shared" si="0"/>
        <v>8.0407368967306692</v>
      </c>
      <c r="J9">
        <f t="shared" si="1"/>
        <v>2.9469999999999961</v>
      </c>
      <c r="K9">
        <f t="shared" si="2"/>
        <v>0.40659574468085302</v>
      </c>
      <c r="L9" t="s">
        <v>223</v>
      </c>
      <c r="M9" t="s">
        <v>205</v>
      </c>
      <c r="O9">
        <v>8.0407368967306692</v>
      </c>
      <c r="P9">
        <v>69.999999999999901</v>
      </c>
      <c r="Q9">
        <f t="shared" si="3"/>
        <v>15.638297872340502</v>
      </c>
      <c r="R9">
        <v>7.9721501470333802</v>
      </c>
      <c r="S9">
        <v>85.638297872340402</v>
      </c>
    </row>
    <row r="10" spans="1:19" x14ac:dyDescent="0.25">
      <c r="C10" t="s">
        <v>217</v>
      </c>
      <c r="D10" t="s">
        <v>193</v>
      </c>
      <c r="E10" t="s">
        <v>218</v>
      </c>
      <c r="G10" t="s">
        <v>273</v>
      </c>
      <c r="H10" t="s">
        <v>205</v>
      </c>
      <c r="I10">
        <f t="shared" si="0"/>
        <v>9.0493859193911099</v>
      </c>
      <c r="J10">
        <f t="shared" si="1"/>
        <v>2.9738723404255309</v>
      </c>
      <c r="K10">
        <f t="shared" si="2"/>
        <v>0.4646808510638295</v>
      </c>
      <c r="L10" t="s">
        <v>223</v>
      </c>
      <c r="M10" t="s">
        <v>205</v>
      </c>
      <c r="O10">
        <v>9.0493859193911099</v>
      </c>
      <c r="P10">
        <v>70.638297872340402</v>
      </c>
      <c r="Q10">
        <f t="shared" si="3"/>
        <v>17.872340425531902</v>
      </c>
      <c r="R10">
        <v>9.0964366026638999</v>
      </c>
      <c r="S10">
        <v>88.510638297872305</v>
      </c>
    </row>
    <row r="11" spans="1:19" x14ac:dyDescent="0.25">
      <c r="C11" t="s">
        <v>217</v>
      </c>
      <c r="D11" t="s">
        <v>193</v>
      </c>
      <c r="E11" t="s">
        <v>218</v>
      </c>
      <c r="G11" t="s">
        <v>273</v>
      </c>
      <c r="H11" t="s">
        <v>206</v>
      </c>
      <c r="I11">
        <f>O11</f>
        <v>0.92709834856137596</v>
      </c>
      <c r="J11">
        <f>P11*180/100</f>
        <v>183.17014925373002</v>
      </c>
      <c r="K11">
        <f>Q11*184/100</f>
        <v>7.0989478463204811</v>
      </c>
      <c r="L11" t="s">
        <v>223</v>
      </c>
      <c r="M11" t="s">
        <v>206</v>
      </c>
      <c r="O11">
        <v>0.92709834856137596</v>
      </c>
      <c r="P11">
        <v>101.76119402985</v>
      </c>
      <c r="Q11">
        <f t="shared" si="3"/>
        <v>3.8581238295220004</v>
      </c>
      <c r="R11">
        <v>0.96671017535894599</v>
      </c>
      <c r="S11">
        <v>105.619317859372</v>
      </c>
    </row>
    <row r="12" spans="1:19" x14ac:dyDescent="0.25">
      <c r="C12" t="s">
        <v>217</v>
      </c>
      <c r="D12" t="s">
        <v>193</v>
      </c>
      <c r="E12" t="s">
        <v>218</v>
      </c>
      <c r="G12" t="s">
        <v>273</v>
      </c>
      <c r="H12" t="s">
        <v>206</v>
      </c>
      <c r="I12">
        <f t="shared" si="0"/>
        <v>1.9629305941774</v>
      </c>
      <c r="J12">
        <f t="shared" ref="J12:J19" si="4">P12*180/100</f>
        <v>188.46188979058982</v>
      </c>
      <c r="K12">
        <f t="shared" ref="K12:K19" si="5">Q12*184/100</f>
        <v>6.7409095965040855</v>
      </c>
      <c r="L12" t="s">
        <v>223</v>
      </c>
      <c r="M12" t="s">
        <v>206</v>
      </c>
      <c r="O12">
        <v>1.9629305941774</v>
      </c>
      <c r="P12">
        <v>104.701049883661</v>
      </c>
      <c r="Q12">
        <f t="shared" si="3"/>
        <v>3.6635378241870029</v>
      </c>
      <c r="R12">
        <v>1.9071108336643701</v>
      </c>
      <c r="S12">
        <v>108.364587707848</v>
      </c>
    </row>
    <row r="13" spans="1:19" x14ac:dyDescent="0.25">
      <c r="C13" t="s">
        <v>217</v>
      </c>
      <c r="D13" t="s">
        <v>193</v>
      </c>
      <c r="E13" t="s">
        <v>218</v>
      </c>
      <c r="G13" t="s">
        <v>273</v>
      </c>
      <c r="H13" t="s">
        <v>206</v>
      </c>
      <c r="I13">
        <f t="shared" si="0"/>
        <v>2.9742239373474799</v>
      </c>
      <c r="J13">
        <f t="shared" si="4"/>
        <v>179.26014187617048</v>
      </c>
      <c r="K13">
        <f t="shared" si="5"/>
        <v>7.9588745247135328</v>
      </c>
      <c r="L13" t="s">
        <v>223</v>
      </c>
      <c r="M13" t="s">
        <v>206</v>
      </c>
      <c r="O13">
        <v>2.9742239373474799</v>
      </c>
      <c r="P13">
        <v>99.588967708983603</v>
      </c>
      <c r="Q13">
        <f t="shared" si="3"/>
        <v>4.3254752851703984</v>
      </c>
      <c r="R13">
        <v>2.9863912377277102</v>
      </c>
      <c r="S13">
        <v>103.914442994154</v>
      </c>
    </row>
    <row r="14" spans="1:19" x14ac:dyDescent="0.25">
      <c r="C14" t="s">
        <v>217</v>
      </c>
      <c r="D14" t="s">
        <v>193</v>
      </c>
      <c r="E14" t="s">
        <v>218</v>
      </c>
      <c r="G14" t="s">
        <v>273</v>
      </c>
      <c r="H14" t="s">
        <v>206</v>
      </c>
      <c r="I14">
        <f t="shared" si="0"/>
        <v>3.9169854151296701</v>
      </c>
      <c r="J14">
        <f t="shared" si="4"/>
        <v>171.74216673287549</v>
      </c>
      <c r="K14">
        <f t="shared" si="5"/>
        <v>6.4879605016741433</v>
      </c>
      <c r="L14" t="s">
        <v>223</v>
      </c>
      <c r="M14" t="s">
        <v>206</v>
      </c>
      <c r="O14">
        <v>3.9169854151296701</v>
      </c>
      <c r="P14">
        <v>95.4123148515975</v>
      </c>
      <c r="Q14">
        <f t="shared" si="3"/>
        <v>3.5260654900402955</v>
      </c>
      <c r="R14">
        <v>3.8909028999489199</v>
      </c>
      <c r="S14">
        <v>91.886249361557205</v>
      </c>
    </row>
    <row r="15" spans="1:19" x14ac:dyDescent="0.25">
      <c r="C15" t="s">
        <v>217</v>
      </c>
      <c r="D15" t="s">
        <v>193</v>
      </c>
      <c r="E15" t="s">
        <v>218</v>
      </c>
      <c r="G15" t="s">
        <v>273</v>
      </c>
      <c r="H15" t="s">
        <v>206</v>
      </c>
      <c r="I15">
        <f t="shared" si="0"/>
        <v>4.9827138073889099</v>
      </c>
      <c r="J15">
        <f t="shared" si="4"/>
        <v>163.25400374553078</v>
      </c>
      <c r="K15">
        <f t="shared" si="5"/>
        <v>5.5189349072130849</v>
      </c>
      <c r="L15" t="s">
        <v>223</v>
      </c>
      <c r="M15" t="s">
        <v>206</v>
      </c>
      <c r="O15">
        <v>4.9827138073889099</v>
      </c>
      <c r="P15">
        <v>90.696668747517094</v>
      </c>
      <c r="Q15">
        <f t="shared" si="3"/>
        <v>2.9994211452245025</v>
      </c>
      <c r="R15">
        <v>4.8998354236422399</v>
      </c>
      <c r="S15">
        <v>93.696089892741597</v>
      </c>
    </row>
    <row r="16" spans="1:19" x14ac:dyDescent="0.25">
      <c r="C16" t="s">
        <v>217</v>
      </c>
      <c r="D16" t="s">
        <v>193</v>
      </c>
      <c r="E16" t="s">
        <v>218</v>
      </c>
      <c r="G16" t="s">
        <v>273</v>
      </c>
      <c r="H16" t="s">
        <v>206</v>
      </c>
      <c r="I16">
        <f t="shared" si="0"/>
        <v>5.8833437375858297</v>
      </c>
      <c r="J16">
        <f t="shared" si="4"/>
        <v>162.08948413824407</v>
      </c>
      <c r="K16">
        <f t="shared" si="5"/>
        <v>6.7328900743430191</v>
      </c>
      <c r="L16" t="s">
        <v>223</v>
      </c>
      <c r="M16" t="s">
        <v>206</v>
      </c>
      <c r="O16">
        <v>5.8833437375858297</v>
      </c>
      <c r="P16">
        <v>90.049713410135595</v>
      </c>
      <c r="Q16">
        <f t="shared" si="3"/>
        <v>3.6591793882299015</v>
      </c>
      <c r="R16">
        <v>5.9093808523920304</v>
      </c>
      <c r="S16">
        <v>93.708892798365497</v>
      </c>
    </row>
    <row r="17" spans="3:19" x14ac:dyDescent="0.25">
      <c r="C17" t="s">
        <v>217</v>
      </c>
      <c r="D17" t="s">
        <v>193</v>
      </c>
      <c r="E17" t="s">
        <v>218</v>
      </c>
      <c r="G17" t="s">
        <v>273</v>
      </c>
      <c r="H17" t="s">
        <v>206</v>
      </c>
      <c r="I17">
        <f t="shared" si="0"/>
        <v>6.97742466375347</v>
      </c>
      <c r="J17">
        <f t="shared" si="4"/>
        <v>147.96798819590248</v>
      </c>
      <c r="K17">
        <f t="shared" si="5"/>
        <v>6.4879605016741699</v>
      </c>
      <c r="L17" t="s">
        <v>223</v>
      </c>
      <c r="M17" t="s">
        <v>206</v>
      </c>
      <c r="O17">
        <v>6.97742466375347</v>
      </c>
      <c r="P17">
        <v>82.204437886612496</v>
      </c>
      <c r="Q17">
        <f t="shared" si="3"/>
        <v>3.5260654900403097</v>
      </c>
      <c r="R17">
        <v>7.0035071789342203</v>
      </c>
      <c r="S17">
        <v>85.730503376652806</v>
      </c>
    </row>
    <row r="18" spans="3:19" x14ac:dyDescent="0.25">
      <c r="C18" t="s">
        <v>217</v>
      </c>
      <c r="D18" t="s">
        <v>193</v>
      </c>
      <c r="E18" t="s">
        <v>218</v>
      </c>
      <c r="G18" t="s">
        <v>273</v>
      </c>
      <c r="H18" t="s">
        <v>206</v>
      </c>
      <c r="I18">
        <f t="shared" si="0"/>
        <v>7.9734634810737202</v>
      </c>
      <c r="J18">
        <f t="shared" si="4"/>
        <v>147.2735259065887</v>
      </c>
      <c r="K18">
        <f t="shared" si="5"/>
        <v>12.969238068213986</v>
      </c>
      <c r="L18" t="s">
        <v>223</v>
      </c>
      <c r="M18" t="s">
        <v>206</v>
      </c>
      <c r="O18">
        <v>7.9734634810737202</v>
      </c>
      <c r="P18">
        <v>81.8186255036604</v>
      </c>
      <c r="Q18">
        <f t="shared" si="3"/>
        <v>7.0484989501162971</v>
      </c>
      <c r="R18">
        <v>8.0938425742012399</v>
      </c>
      <c r="S18">
        <v>88.867124453776697</v>
      </c>
    </row>
    <row r="19" spans="3:19" x14ac:dyDescent="0.25">
      <c r="C19" t="s">
        <v>217</v>
      </c>
      <c r="D19" t="s">
        <v>193</v>
      </c>
      <c r="E19" t="s">
        <v>218</v>
      </c>
      <c r="G19" t="s">
        <v>273</v>
      </c>
      <c r="H19" t="s">
        <v>206</v>
      </c>
      <c r="I19">
        <f t="shared" si="0"/>
        <v>8.9840758186255005</v>
      </c>
      <c r="J19">
        <f t="shared" si="4"/>
        <v>141.66585324328915</v>
      </c>
      <c r="K19">
        <f t="shared" si="5"/>
        <v>13.215504227909969</v>
      </c>
      <c r="L19" t="s">
        <v>223</v>
      </c>
      <c r="M19" t="s">
        <v>206</v>
      </c>
      <c r="O19">
        <v>8.9840758186255005</v>
      </c>
      <c r="P19">
        <v>78.703251801827307</v>
      </c>
      <c r="Q19">
        <f t="shared" si="3"/>
        <v>7.1823392542988955</v>
      </c>
      <c r="R19">
        <v>9.0907666988252593</v>
      </c>
      <c r="S19">
        <v>85.885591056126202</v>
      </c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43435-D1F8-4120-A551-4B8DC89C9A61}">
  <dimension ref="A1:S7"/>
  <sheetViews>
    <sheetView workbookViewId="0">
      <selection activeCell="J5" sqref="J5"/>
    </sheetView>
  </sheetViews>
  <sheetFormatPr defaultRowHeight="15" x14ac:dyDescent="0.25"/>
  <cols>
    <col min="1" max="1" width="7.5703125" bestFit="1" customWidth="1"/>
    <col min="3" max="3" width="20.5703125" bestFit="1" customWidth="1"/>
    <col min="4" max="4" width="12.42578125" bestFit="1" customWidth="1"/>
    <col min="5" max="5" width="6.85546875" bestFit="1" customWidth="1"/>
    <col min="6" max="6" width="7" bestFit="1" customWidth="1"/>
    <col min="7" max="7" width="18.140625" bestFit="1" customWidth="1"/>
    <col min="8" max="8" width="8.42578125" bestFit="1" customWidth="1"/>
    <col min="9" max="9" width="10.42578125" bestFit="1" customWidth="1"/>
    <col min="10" max="10" width="27.5703125" bestFit="1" customWidth="1"/>
    <col min="11" max="11" width="11.7109375" bestFit="1" customWidth="1"/>
    <col min="12" max="12" width="5.7109375" bestFit="1" customWidth="1"/>
    <col min="13" max="13" width="8.140625" bestFit="1" customWidth="1"/>
  </cols>
  <sheetData>
    <row r="1" spans="1:19" x14ac:dyDescent="0.25">
      <c r="A1" s="22" t="s">
        <v>174</v>
      </c>
      <c r="B1" s="22" t="s">
        <v>175</v>
      </c>
      <c r="C1" s="22" t="s">
        <v>176</v>
      </c>
      <c r="D1" s="22" t="s">
        <v>177</v>
      </c>
      <c r="E1" s="22" t="s">
        <v>178</v>
      </c>
      <c r="F1" s="22" t="s">
        <v>179</v>
      </c>
      <c r="G1" s="22" t="s">
        <v>180</v>
      </c>
      <c r="H1" s="22" t="s">
        <v>181</v>
      </c>
      <c r="I1" s="22" t="s">
        <v>16</v>
      </c>
      <c r="J1" s="23" t="s">
        <v>222</v>
      </c>
      <c r="K1" s="22" t="s">
        <v>221</v>
      </c>
      <c r="L1" s="22" t="s">
        <v>182</v>
      </c>
      <c r="M1" t="s">
        <v>183</v>
      </c>
    </row>
    <row r="2" spans="1:19" x14ac:dyDescent="0.25">
      <c r="C2" t="s">
        <v>217</v>
      </c>
      <c r="D2" t="s">
        <v>193</v>
      </c>
      <c r="E2" t="s">
        <v>218</v>
      </c>
      <c r="G2" t="s">
        <v>274</v>
      </c>
      <c r="H2" t="s">
        <v>206</v>
      </c>
      <c r="I2">
        <v>0</v>
      </c>
      <c r="J2">
        <f>P2/$S$2*0.1811</f>
        <v>6.8632528761561021E-2</v>
      </c>
      <c r="K2">
        <f>Q2*2.6/100</f>
        <v>0</v>
      </c>
      <c r="L2" t="s">
        <v>223</v>
      </c>
      <c r="M2" t="s">
        <v>206</v>
      </c>
      <c r="P2">
        <v>8.8111888111888099</v>
      </c>
      <c r="S2">
        <v>23.25</v>
      </c>
    </row>
    <row r="3" spans="1:19" x14ac:dyDescent="0.25">
      <c r="C3" t="s">
        <v>217</v>
      </c>
      <c r="D3" t="s">
        <v>193</v>
      </c>
      <c r="E3" t="s">
        <v>218</v>
      </c>
      <c r="G3" t="s">
        <v>274</v>
      </c>
      <c r="H3" t="s">
        <v>206</v>
      </c>
      <c r="I3">
        <v>3</v>
      </c>
      <c r="J3">
        <f t="shared" ref="J3:J4" si="0">P3/$S$2*0.1811</f>
        <v>8.3884201819685159E-2</v>
      </c>
      <c r="K3">
        <f t="shared" ref="K3" si="1">Q3*2.6/100</f>
        <v>0</v>
      </c>
      <c r="L3" t="s">
        <v>223</v>
      </c>
      <c r="M3" t="s">
        <v>206</v>
      </c>
      <c r="P3">
        <v>10.769230769230701</v>
      </c>
    </row>
    <row r="4" spans="1:19" x14ac:dyDescent="0.25">
      <c r="C4" t="s">
        <v>217</v>
      </c>
      <c r="D4" t="s">
        <v>193</v>
      </c>
      <c r="E4" t="s">
        <v>218</v>
      </c>
      <c r="G4" t="s">
        <v>274</v>
      </c>
      <c r="H4" t="s">
        <v>206</v>
      </c>
      <c r="I4">
        <v>4</v>
      </c>
      <c r="J4">
        <f t="shared" si="0"/>
        <v>9.7610707571997662E-2</v>
      </c>
      <c r="L4" t="s">
        <v>223</v>
      </c>
      <c r="M4" t="s">
        <v>206</v>
      </c>
      <c r="P4">
        <v>12.5314685314685</v>
      </c>
    </row>
    <row r="5" spans="1:19" x14ac:dyDescent="0.25">
      <c r="C5" t="s">
        <v>217</v>
      </c>
      <c r="D5" t="s">
        <v>193</v>
      </c>
      <c r="E5" t="s">
        <v>218</v>
      </c>
      <c r="G5" t="s">
        <v>274</v>
      </c>
      <c r="H5" t="s">
        <v>205</v>
      </c>
      <c r="I5">
        <v>0</v>
      </c>
      <c r="J5">
        <f>P5/$S$5*0.00421</f>
        <v>1.3378203219532518E-3</v>
      </c>
      <c r="L5" t="s">
        <v>223</v>
      </c>
      <c r="M5" t="s">
        <v>205</v>
      </c>
      <c r="O5">
        <v>-0.148623051143813</v>
      </c>
      <c r="P5">
        <v>146.17514206615101</v>
      </c>
      <c r="S5">
        <v>460</v>
      </c>
    </row>
    <row r="6" spans="1:19" x14ac:dyDescent="0.25">
      <c r="C6" t="s">
        <v>217</v>
      </c>
      <c r="D6" t="s">
        <v>193</v>
      </c>
      <c r="E6" t="s">
        <v>218</v>
      </c>
      <c r="G6" t="s">
        <v>274</v>
      </c>
      <c r="H6" t="s">
        <v>205</v>
      </c>
      <c r="I6">
        <v>3</v>
      </c>
      <c r="J6">
        <f t="shared" ref="J6:J7" si="2">P6/$S$5*0.00421</f>
        <v>1.9859270568708034E-3</v>
      </c>
      <c r="L6" t="s">
        <v>223</v>
      </c>
      <c r="M6" t="s">
        <v>205</v>
      </c>
      <c r="O6">
        <v>2.9252513478070798</v>
      </c>
      <c r="P6">
        <v>216.98965466996901</v>
      </c>
    </row>
    <row r="7" spans="1:19" x14ac:dyDescent="0.25">
      <c r="C7" t="s">
        <v>217</v>
      </c>
      <c r="D7" t="s">
        <v>193</v>
      </c>
      <c r="E7" t="s">
        <v>218</v>
      </c>
      <c r="G7" t="s">
        <v>274</v>
      </c>
      <c r="H7" t="s">
        <v>205</v>
      </c>
      <c r="I7">
        <v>4</v>
      </c>
      <c r="J7">
        <f t="shared" si="2"/>
        <v>2.2191654682639601E-3</v>
      </c>
      <c r="L7" t="s">
        <v>223</v>
      </c>
      <c r="M7" t="s">
        <v>205</v>
      </c>
      <c r="O7">
        <v>4.12035552965175</v>
      </c>
      <c r="P7">
        <v>242.47413667492199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94883-1D06-4BB3-824E-85D154C0F5EB}">
  <dimension ref="A1:M31"/>
  <sheetViews>
    <sheetView workbookViewId="0">
      <selection activeCell="M25" sqref="M25:M31"/>
    </sheetView>
  </sheetViews>
  <sheetFormatPr defaultRowHeight="15" x14ac:dyDescent="0.25"/>
  <cols>
    <col min="1" max="1" width="7.5703125" bestFit="1" customWidth="1"/>
    <col min="3" max="3" width="20.5703125" bestFit="1" customWidth="1"/>
    <col min="4" max="4" width="12.42578125" bestFit="1" customWidth="1"/>
    <col min="5" max="5" width="6.85546875" bestFit="1" customWidth="1"/>
    <col min="6" max="6" width="7" bestFit="1" customWidth="1"/>
    <col min="7" max="7" width="18.140625" bestFit="1" customWidth="1"/>
    <col min="8" max="8" width="8.42578125" bestFit="1" customWidth="1"/>
    <col min="9" max="9" width="10.42578125" bestFit="1" customWidth="1"/>
    <col min="10" max="10" width="27.5703125" bestFit="1" customWidth="1"/>
    <col min="11" max="11" width="11.7109375" bestFit="1" customWidth="1"/>
    <col min="12" max="12" width="5.7109375" bestFit="1" customWidth="1"/>
    <col min="13" max="13" width="32.5703125" customWidth="1"/>
  </cols>
  <sheetData>
    <row r="1" spans="1:13" x14ac:dyDescent="0.25">
      <c r="A1" s="22" t="s">
        <v>174</v>
      </c>
      <c r="B1" s="22" t="s">
        <v>175</v>
      </c>
      <c r="C1" s="22" t="s">
        <v>176</v>
      </c>
      <c r="D1" s="22" t="s">
        <v>177</v>
      </c>
      <c r="E1" s="22" t="s">
        <v>178</v>
      </c>
      <c r="F1" s="22" t="s">
        <v>179</v>
      </c>
      <c r="G1" s="22" t="s">
        <v>180</v>
      </c>
      <c r="H1" s="22" t="s">
        <v>181</v>
      </c>
      <c r="I1" s="22" t="s">
        <v>0</v>
      </c>
      <c r="J1" s="23" t="s">
        <v>222</v>
      </c>
      <c r="K1" s="22" t="s">
        <v>221</v>
      </c>
      <c r="L1" s="22" t="s">
        <v>182</v>
      </c>
      <c r="M1" t="s">
        <v>183</v>
      </c>
    </row>
    <row r="2" spans="1:13" x14ac:dyDescent="0.25">
      <c r="C2" t="s">
        <v>192</v>
      </c>
      <c r="D2" t="s">
        <v>193</v>
      </c>
      <c r="E2" t="s">
        <v>194</v>
      </c>
      <c r="G2" t="s">
        <v>281</v>
      </c>
      <c r="H2" t="s">
        <v>282</v>
      </c>
      <c r="I2">
        <v>7.3247845415590707E-2</v>
      </c>
      <c r="J2">
        <v>45.349788955046598</v>
      </c>
      <c r="L2" t="s">
        <v>195</v>
      </c>
      <c r="M2" t="s">
        <v>319</v>
      </c>
    </row>
    <row r="3" spans="1:13" x14ac:dyDescent="0.25">
      <c r="C3" t="s">
        <v>192</v>
      </c>
      <c r="D3" t="s">
        <v>193</v>
      </c>
      <c r="E3" t="s">
        <v>194</v>
      </c>
      <c r="G3" t="s">
        <v>281</v>
      </c>
      <c r="H3" t="s">
        <v>282</v>
      </c>
      <c r="I3">
        <v>0.135710731996983</v>
      </c>
      <c r="J3">
        <v>43.185575117559203</v>
      </c>
      <c r="L3" t="s">
        <v>195</v>
      </c>
      <c r="M3" t="s">
        <v>319</v>
      </c>
    </row>
    <row r="4" spans="1:13" x14ac:dyDescent="0.25">
      <c r="C4" t="s">
        <v>192</v>
      </c>
      <c r="D4" t="s">
        <v>193</v>
      </c>
      <c r="E4" t="s">
        <v>194</v>
      </c>
      <c r="G4" t="s">
        <v>281</v>
      </c>
      <c r="H4" t="s">
        <v>282</v>
      </c>
      <c r="I4">
        <v>0.48872554526633399</v>
      </c>
      <c r="J4">
        <v>35.476415927073099</v>
      </c>
      <c r="L4" t="s">
        <v>195</v>
      </c>
      <c r="M4" t="s">
        <v>319</v>
      </c>
    </row>
    <row r="5" spans="1:13" x14ac:dyDescent="0.25">
      <c r="C5" t="s">
        <v>192</v>
      </c>
      <c r="D5" t="s">
        <v>193</v>
      </c>
      <c r="E5" t="s">
        <v>194</v>
      </c>
      <c r="G5" t="s">
        <v>281</v>
      </c>
      <c r="H5" t="s">
        <v>282</v>
      </c>
      <c r="I5">
        <v>0.96441926527467903</v>
      </c>
      <c r="J5">
        <v>34.3080453867017</v>
      </c>
      <c r="L5" t="s">
        <v>195</v>
      </c>
      <c r="M5" t="s">
        <v>319</v>
      </c>
    </row>
    <row r="6" spans="1:13" x14ac:dyDescent="0.25">
      <c r="C6" t="s">
        <v>192</v>
      </c>
      <c r="D6" t="s">
        <v>193</v>
      </c>
      <c r="E6" t="s">
        <v>194</v>
      </c>
      <c r="G6" t="s">
        <v>281</v>
      </c>
      <c r="H6" t="s">
        <v>282</v>
      </c>
      <c r="I6">
        <v>1.93679885730793</v>
      </c>
      <c r="J6">
        <v>30.421768925837299</v>
      </c>
      <c r="L6" t="s">
        <v>195</v>
      </c>
      <c r="M6" t="s">
        <v>319</v>
      </c>
    </row>
    <row r="7" spans="1:13" x14ac:dyDescent="0.25">
      <c r="C7" t="s">
        <v>192</v>
      </c>
      <c r="D7" t="s">
        <v>193</v>
      </c>
      <c r="E7" t="s">
        <v>194</v>
      </c>
      <c r="G7" t="s">
        <v>281</v>
      </c>
      <c r="H7" t="s">
        <v>282</v>
      </c>
      <c r="I7">
        <v>3.9431863775698499</v>
      </c>
      <c r="J7">
        <v>24.522139658797201</v>
      </c>
      <c r="L7" t="s">
        <v>195</v>
      </c>
      <c r="M7" t="s">
        <v>319</v>
      </c>
    </row>
    <row r="8" spans="1:13" x14ac:dyDescent="0.25">
      <c r="C8" t="s">
        <v>192</v>
      </c>
      <c r="D8" t="s">
        <v>193</v>
      </c>
      <c r="E8" t="s">
        <v>194</v>
      </c>
      <c r="G8" t="s">
        <v>281</v>
      </c>
      <c r="H8" t="s">
        <v>282</v>
      </c>
      <c r="I8">
        <v>6.0116516073119399</v>
      </c>
      <c r="J8">
        <v>18.321590781428</v>
      </c>
      <c r="L8" t="s">
        <v>195</v>
      </c>
      <c r="M8" t="s">
        <v>319</v>
      </c>
    </row>
    <row r="9" spans="1:13" x14ac:dyDescent="0.25">
      <c r="C9" t="s">
        <v>192</v>
      </c>
      <c r="D9" t="s">
        <v>193</v>
      </c>
      <c r="E9" t="s">
        <v>194</v>
      </c>
      <c r="G9" t="s">
        <v>281</v>
      </c>
      <c r="H9" t="s">
        <v>282</v>
      </c>
      <c r="I9">
        <v>8.0173329695549604</v>
      </c>
      <c r="J9">
        <v>15.838000930844601</v>
      </c>
      <c r="L9" t="s">
        <v>195</v>
      </c>
      <c r="M9" t="s">
        <v>319</v>
      </c>
    </row>
    <row r="10" spans="1:13" x14ac:dyDescent="0.25">
      <c r="C10" t="s">
        <v>192</v>
      </c>
      <c r="D10" t="s">
        <v>193</v>
      </c>
      <c r="E10" t="s">
        <v>194</v>
      </c>
      <c r="G10" t="s">
        <v>283</v>
      </c>
      <c r="H10" t="s">
        <v>282</v>
      </c>
      <c r="I10">
        <v>7.3247845415590707E-2</v>
      </c>
      <c r="J10">
        <v>80.137700813686607</v>
      </c>
      <c r="L10" t="s">
        <v>195</v>
      </c>
      <c r="M10" t="s">
        <v>320</v>
      </c>
    </row>
    <row r="11" spans="1:13" x14ac:dyDescent="0.25">
      <c r="C11" t="s">
        <v>192</v>
      </c>
      <c r="D11" t="s">
        <v>193</v>
      </c>
      <c r="E11" t="s">
        <v>194</v>
      </c>
      <c r="G11" t="s">
        <v>283</v>
      </c>
      <c r="H11" t="s">
        <v>282</v>
      </c>
      <c r="I11">
        <v>0.135710731996983</v>
      </c>
      <c r="J11">
        <v>72.377184676371002</v>
      </c>
      <c r="L11" t="s">
        <v>195</v>
      </c>
      <c r="M11" t="s">
        <v>320</v>
      </c>
    </row>
    <row r="12" spans="1:13" x14ac:dyDescent="0.25">
      <c r="C12" t="s">
        <v>192</v>
      </c>
      <c r="D12" t="s">
        <v>193</v>
      </c>
      <c r="E12" t="s">
        <v>194</v>
      </c>
      <c r="G12" t="s">
        <v>283</v>
      </c>
      <c r="H12" t="s">
        <v>282</v>
      </c>
      <c r="I12">
        <v>0.48872554526633399</v>
      </c>
      <c r="J12">
        <v>58.764383957373703</v>
      </c>
      <c r="L12" t="s">
        <v>195</v>
      </c>
      <c r="M12" t="s">
        <v>320</v>
      </c>
    </row>
    <row r="13" spans="1:13" x14ac:dyDescent="0.25">
      <c r="C13" t="s">
        <v>192</v>
      </c>
      <c r="D13" t="s">
        <v>193</v>
      </c>
      <c r="E13" t="s">
        <v>194</v>
      </c>
      <c r="G13" t="s">
        <v>283</v>
      </c>
      <c r="H13" t="s">
        <v>282</v>
      </c>
      <c r="I13">
        <v>0.96441926527467903</v>
      </c>
      <c r="J13">
        <v>65.980837439214199</v>
      </c>
      <c r="L13" t="s">
        <v>195</v>
      </c>
      <c r="M13" t="s">
        <v>320</v>
      </c>
    </row>
    <row r="14" spans="1:13" x14ac:dyDescent="0.25">
      <c r="C14" t="s">
        <v>192</v>
      </c>
      <c r="D14" t="s">
        <v>193</v>
      </c>
      <c r="E14" t="s">
        <v>194</v>
      </c>
      <c r="G14" t="s">
        <v>283</v>
      </c>
      <c r="H14" t="s">
        <v>282</v>
      </c>
      <c r="I14">
        <v>1.93679885730793</v>
      </c>
      <c r="J14">
        <v>49.691858319022899</v>
      </c>
      <c r="L14" t="s">
        <v>195</v>
      </c>
      <c r="M14" t="s">
        <v>320</v>
      </c>
    </row>
    <row r="15" spans="1:13" x14ac:dyDescent="0.25">
      <c r="C15" t="s">
        <v>192</v>
      </c>
      <c r="D15" t="s">
        <v>193</v>
      </c>
      <c r="E15" t="s">
        <v>194</v>
      </c>
      <c r="G15" t="s">
        <v>283</v>
      </c>
      <c r="H15" t="s">
        <v>282</v>
      </c>
      <c r="I15">
        <v>3.9431863775698499</v>
      </c>
      <c r="J15">
        <v>40.363350398818703</v>
      </c>
      <c r="L15" t="s">
        <v>195</v>
      </c>
      <c r="M15" t="s">
        <v>320</v>
      </c>
    </row>
    <row r="16" spans="1:13" x14ac:dyDescent="0.25">
      <c r="C16" t="s">
        <v>192</v>
      </c>
      <c r="D16" t="s">
        <v>193</v>
      </c>
      <c r="E16" t="s">
        <v>194</v>
      </c>
      <c r="G16" t="s">
        <v>283</v>
      </c>
      <c r="H16" t="s">
        <v>282</v>
      </c>
      <c r="I16">
        <v>6.0116516073119399</v>
      </c>
      <c r="J16">
        <v>32.610056332150997</v>
      </c>
      <c r="L16" t="s">
        <v>195</v>
      </c>
      <c r="M16" t="s">
        <v>320</v>
      </c>
    </row>
    <row r="17" spans="3:13" x14ac:dyDescent="0.25">
      <c r="C17" t="s">
        <v>284</v>
      </c>
      <c r="D17" t="s">
        <v>254</v>
      </c>
      <c r="E17" t="s">
        <v>194</v>
      </c>
      <c r="G17" t="s">
        <v>281</v>
      </c>
      <c r="H17" t="s">
        <v>282</v>
      </c>
      <c r="I17">
        <v>7.3247845415590707E-2</v>
      </c>
      <c r="J17">
        <v>58.9743589743589</v>
      </c>
      <c r="L17" t="s">
        <v>195</v>
      </c>
      <c r="M17" t="s">
        <v>321</v>
      </c>
    </row>
    <row r="18" spans="3:13" x14ac:dyDescent="0.25">
      <c r="C18" t="s">
        <v>284</v>
      </c>
      <c r="D18" t="s">
        <v>254</v>
      </c>
      <c r="E18" t="s">
        <v>194</v>
      </c>
      <c r="G18" t="s">
        <v>281</v>
      </c>
      <c r="H18" t="s">
        <v>282</v>
      </c>
      <c r="I18">
        <v>0.135710731996983</v>
      </c>
      <c r="J18">
        <v>49.038461538461497</v>
      </c>
      <c r="L18" t="s">
        <v>195</v>
      </c>
      <c r="M18" t="s">
        <v>321</v>
      </c>
    </row>
    <row r="19" spans="3:13" x14ac:dyDescent="0.25">
      <c r="C19" t="s">
        <v>284</v>
      </c>
      <c r="D19" t="s">
        <v>254</v>
      </c>
      <c r="E19" t="s">
        <v>194</v>
      </c>
      <c r="G19" t="s">
        <v>281</v>
      </c>
      <c r="H19" t="s">
        <v>282</v>
      </c>
      <c r="I19">
        <v>0.48872554526633399</v>
      </c>
      <c r="J19">
        <v>43.910256410256402</v>
      </c>
      <c r="L19" t="s">
        <v>195</v>
      </c>
      <c r="M19" t="s">
        <v>321</v>
      </c>
    </row>
    <row r="20" spans="3:13" x14ac:dyDescent="0.25">
      <c r="C20" t="s">
        <v>284</v>
      </c>
      <c r="D20" t="s">
        <v>254</v>
      </c>
      <c r="E20" t="s">
        <v>194</v>
      </c>
      <c r="G20" t="s">
        <v>281</v>
      </c>
      <c r="H20" t="s">
        <v>282</v>
      </c>
      <c r="I20">
        <v>0.96441926527467903</v>
      </c>
      <c r="J20">
        <v>36.858974358974301</v>
      </c>
      <c r="L20" t="s">
        <v>195</v>
      </c>
      <c r="M20" t="s">
        <v>321</v>
      </c>
    </row>
    <row r="21" spans="3:13" x14ac:dyDescent="0.25">
      <c r="C21" t="s">
        <v>284</v>
      </c>
      <c r="D21" t="s">
        <v>254</v>
      </c>
      <c r="E21" t="s">
        <v>194</v>
      </c>
      <c r="G21" t="s">
        <v>281</v>
      </c>
      <c r="H21" t="s">
        <v>282</v>
      </c>
      <c r="I21">
        <v>1.93679885730793</v>
      </c>
      <c r="J21">
        <v>32.051282051282001</v>
      </c>
      <c r="L21" t="s">
        <v>195</v>
      </c>
      <c r="M21" t="s">
        <v>321</v>
      </c>
    </row>
    <row r="22" spans="3:13" x14ac:dyDescent="0.25">
      <c r="C22" t="s">
        <v>284</v>
      </c>
      <c r="D22" t="s">
        <v>254</v>
      </c>
      <c r="E22" t="s">
        <v>194</v>
      </c>
      <c r="G22" t="s">
        <v>281</v>
      </c>
      <c r="H22" t="s">
        <v>282</v>
      </c>
      <c r="I22">
        <v>3.9431863775698499</v>
      </c>
      <c r="J22">
        <v>32.371794871794798</v>
      </c>
      <c r="L22" t="s">
        <v>195</v>
      </c>
      <c r="M22" t="s">
        <v>321</v>
      </c>
    </row>
    <row r="23" spans="3:13" x14ac:dyDescent="0.25">
      <c r="C23" t="s">
        <v>284</v>
      </c>
      <c r="D23" t="s">
        <v>254</v>
      </c>
      <c r="E23" t="s">
        <v>194</v>
      </c>
      <c r="G23" t="s">
        <v>281</v>
      </c>
      <c r="H23" t="s">
        <v>282</v>
      </c>
      <c r="I23">
        <v>6.0116516073119399</v>
      </c>
      <c r="J23">
        <v>27.564102564102502</v>
      </c>
      <c r="L23" t="s">
        <v>195</v>
      </c>
      <c r="M23" t="s">
        <v>321</v>
      </c>
    </row>
    <row r="24" spans="3:13" x14ac:dyDescent="0.25">
      <c r="C24" t="s">
        <v>284</v>
      </c>
      <c r="D24" t="s">
        <v>254</v>
      </c>
      <c r="E24" t="s">
        <v>194</v>
      </c>
      <c r="G24" t="s">
        <v>281</v>
      </c>
      <c r="H24" t="s">
        <v>282</v>
      </c>
      <c r="I24">
        <v>8.0173329695549604</v>
      </c>
      <c r="J24">
        <v>24.679487179487101</v>
      </c>
      <c r="L24" t="s">
        <v>195</v>
      </c>
      <c r="M24" t="s">
        <v>321</v>
      </c>
    </row>
    <row r="25" spans="3:13" x14ac:dyDescent="0.25">
      <c r="C25" t="s">
        <v>284</v>
      </c>
      <c r="D25" t="s">
        <v>254</v>
      </c>
      <c r="E25" t="s">
        <v>194</v>
      </c>
      <c r="G25" t="s">
        <v>283</v>
      </c>
      <c r="H25" t="s">
        <v>282</v>
      </c>
      <c r="I25">
        <v>7.3247845415590707E-2</v>
      </c>
      <c r="J25">
        <v>102.564102564102</v>
      </c>
      <c r="L25" t="s">
        <v>195</v>
      </c>
      <c r="M25" t="s">
        <v>322</v>
      </c>
    </row>
    <row r="26" spans="3:13" x14ac:dyDescent="0.25">
      <c r="C26" t="s">
        <v>284</v>
      </c>
      <c r="D26" t="s">
        <v>254</v>
      </c>
      <c r="E26" t="s">
        <v>194</v>
      </c>
      <c r="G26" t="s">
        <v>283</v>
      </c>
      <c r="H26" t="s">
        <v>282</v>
      </c>
      <c r="I26">
        <v>0.135710731996983</v>
      </c>
      <c r="J26">
        <v>90.384615384615302</v>
      </c>
      <c r="L26" t="s">
        <v>195</v>
      </c>
      <c r="M26" t="s">
        <v>322</v>
      </c>
    </row>
    <row r="27" spans="3:13" x14ac:dyDescent="0.25">
      <c r="C27" t="s">
        <v>284</v>
      </c>
      <c r="D27" t="s">
        <v>254</v>
      </c>
      <c r="E27" t="s">
        <v>194</v>
      </c>
      <c r="G27" t="s">
        <v>283</v>
      </c>
      <c r="H27" t="s">
        <v>282</v>
      </c>
      <c r="I27">
        <v>0.48872554526633399</v>
      </c>
      <c r="J27">
        <v>65.064102564102498</v>
      </c>
      <c r="L27" t="s">
        <v>195</v>
      </c>
      <c r="M27" t="s">
        <v>322</v>
      </c>
    </row>
    <row r="28" spans="3:13" x14ac:dyDescent="0.25">
      <c r="C28" t="s">
        <v>284</v>
      </c>
      <c r="D28" t="s">
        <v>254</v>
      </c>
      <c r="E28" t="s">
        <v>194</v>
      </c>
      <c r="G28" t="s">
        <v>283</v>
      </c>
      <c r="H28" t="s">
        <v>282</v>
      </c>
      <c r="I28">
        <v>0.96441926527467903</v>
      </c>
      <c r="J28">
        <v>71.474358974358907</v>
      </c>
      <c r="L28" t="s">
        <v>195</v>
      </c>
      <c r="M28" t="s">
        <v>322</v>
      </c>
    </row>
    <row r="29" spans="3:13" x14ac:dyDescent="0.25">
      <c r="C29" t="s">
        <v>284</v>
      </c>
      <c r="D29" t="s">
        <v>254</v>
      </c>
      <c r="E29" t="s">
        <v>194</v>
      </c>
      <c r="G29" t="s">
        <v>283</v>
      </c>
      <c r="H29" t="s">
        <v>282</v>
      </c>
      <c r="I29">
        <v>1.93679885730793</v>
      </c>
      <c r="J29">
        <v>61.217948717948701</v>
      </c>
      <c r="L29" t="s">
        <v>195</v>
      </c>
      <c r="M29" t="s">
        <v>322</v>
      </c>
    </row>
    <row r="30" spans="3:13" x14ac:dyDescent="0.25">
      <c r="C30" t="s">
        <v>284</v>
      </c>
      <c r="D30" t="s">
        <v>254</v>
      </c>
      <c r="E30" t="s">
        <v>194</v>
      </c>
      <c r="G30" t="s">
        <v>283</v>
      </c>
      <c r="H30" t="s">
        <v>282</v>
      </c>
      <c r="I30">
        <v>3.9431863775698499</v>
      </c>
      <c r="J30">
        <v>55.769230769230703</v>
      </c>
      <c r="L30" t="s">
        <v>195</v>
      </c>
      <c r="M30" t="s">
        <v>322</v>
      </c>
    </row>
    <row r="31" spans="3:13" x14ac:dyDescent="0.25">
      <c r="C31" t="s">
        <v>284</v>
      </c>
      <c r="D31" t="s">
        <v>254</v>
      </c>
      <c r="E31" t="s">
        <v>194</v>
      </c>
      <c r="G31" t="s">
        <v>283</v>
      </c>
      <c r="H31" t="s">
        <v>282</v>
      </c>
      <c r="I31">
        <v>6.0116516073119399</v>
      </c>
      <c r="J31">
        <v>52.243589743589702</v>
      </c>
      <c r="L31" t="s">
        <v>195</v>
      </c>
      <c r="M31" t="s">
        <v>322</v>
      </c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E345-FC43-4A78-B2FD-65C4D6C41EB3}">
  <dimension ref="A1:M137"/>
  <sheetViews>
    <sheetView tabSelected="1" workbookViewId="0">
      <selection activeCell="M2" sqref="M2:M137"/>
    </sheetView>
  </sheetViews>
  <sheetFormatPr defaultRowHeight="15" x14ac:dyDescent="0.25"/>
  <cols>
    <col min="1" max="1" width="7.5703125" bestFit="1" customWidth="1"/>
    <col min="3" max="3" width="20.5703125" bestFit="1" customWidth="1"/>
    <col min="4" max="4" width="12.42578125" bestFit="1" customWidth="1"/>
    <col min="5" max="5" width="6.85546875" bestFit="1" customWidth="1"/>
    <col min="6" max="6" width="7" bestFit="1" customWidth="1"/>
    <col min="7" max="7" width="18.140625" bestFit="1" customWidth="1"/>
    <col min="8" max="8" width="8.42578125" bestFit="1" customWidth="1"/>
    <col min="9" max="9" width="10.42578125" bestFit="1" customWidth="1"/>
    <col min="10" max="10" width="27.5703125" bestFit="1" customWidth="1"/>
    <col min="11" max="11" width="11.7109375" bestFit="1" customWidth="1"/>
    <col min="12" max="12" width="5.7109375" bestFit="1" customWidth="1"/>
    <col min="13" max="13" width="8.140625" bestFit="1" customWidth="1"/>
  </cols>
  <sheetData>
    <row r="1" spans="1:13" x14ac:dyDescent="0.25">
      <c r="A1" s="22" t="s">
        <v>174</v>
      </c>
      <c r="B1" s="22" t="s">
        <v>175</v>
      </c>
      <c r="C1" s="22" t="s">
        <v>176</v>
      </c>
      <c r="D1" s="22" t="s">
        <v>177</v>
      </c>
      <c r="E1" s="22" t="s">
        <v>178</v>
      </c>
      <c r="F1" s="22" t="s">
        <v>179</v>
      </c>
      <c r="G1" s="22" t="s">
        <v>180</v>
      </c>
      <c r="H1" s="22" t="s">
        <v>181</v>
      </c>
      <c r="I1" s="22" t="s">
        <v>0</v>
      </c>
      <c r="J1" s="23" t="s">
        <v>287</v>
      </c>
      <c r="K1" s="22" t="s">
        <v>221</v>
      </c>
      <c r="L1" s="22" t="s">
        <v>182</v>
      </c>
      <c r="M1" t="s">
        <v>183</v>
      </c>
    </row>
    <row r="2" spans="1:13" x14ac:dyDescent="0.25">
      <c r="B2">
        <v>1</v>
      </c>
      <c r="C2" t="s">
        <v>217</v>
      </c>
      <c r="D2" t="s">
        <v>193</v>
      </c>
      <c r="E2" t="s">
        <v>218</v>
      </c>
      <c r="G2" t="s">
        <v>285</v>
      </c>
      <c r="H2" t="s">
        <v>282</v>
      </c>
      <c r="I2">
        <v>10</v>
      </c>
      <c r="J2">
        <v>8.5174855685002804</v>
      </c>
      <c r="L2" t="s">
        <v>195</v>
      </c>
      <c r="M2" t="s">
        <v>195</v>
      </c>
    </row>
    <row r="3" spans="1:13" x14ac:dyDescent="0.25">
      <c r="B3">
        <v>1</v>
      </c>
      <c r="C3" t="s">
        <v>217</v>
      </c>
      <c r="D3" t="s">
        <v>193</v>
      </c>
      <c r="E3" t="s">
        <v>218</v>
      </c>
      <c r="G3" t="s">
        <v>285</v>
      </c>
      <c r="H3" t="s">
        <v>282</v>
      </c>
      <c r="I3">
        <v>11</v>
      </c>
      <c r="J3">
        <v>6.6011739461413903</v>
      </c>
      <c r="L3" t="s">
        <v>195</v>
      </c>
      <c r="M3" t="s">
        <v>195</v>
      </c>
    </row>
    <row r="4" spans="1:13" x14ac:dyDescent="0.25">
      <c r="B4">
        <v>1</v>
      </c>
      <c r="C4" t="s">
        <v>217</v>
      </c>
      <c r="D4" t="s">
        <v>193</v>
      </c>
      <c r="E4" t="s">
        <v>218</v>
      </c>
      <c r="G4" t="s">
        <v>285</v>
      </c>
      <c r="H4" t="s">
        <v>282</v>
      </c>
      <c r="I4">
        <v>12</v>
      </c>
      <c r="J4">
        <v>6.3561208761181396</v>
      </c>
      <c r="L4" t="s">
        <v>195</v>
      </c>
      <c r="M4" t="s">
        <v>195</v>
      </c>
    </row>
    <row r="5" spans="1:13" x14ac:dyDescent="0.25">
      <c r="B5">
        <v>1</v>
      </c>
      <c r="C5" t="s">
        <v>217</v>
      </c>
      <c r="D5" t="s">
        <v>193</v>
      </c>
      <c r="E5" t="s">
        <v>218</v>
      </c>
      <c r="G5" t="s">
        <v>285</v>
      </c>
      <c r="H5" t="s">
        <v>282</v>
      </c>
      <c r="I5">
        <v>13.356401384083</v>
      </c>
      <c r="J5">
        <v>5.4653490662844098</v>
      </c>
      <c r="L5" t="s">
        <v>195</v>
      </c>
      <c r="M5" t="s">
        <v>195</v>
      </c>
    </row>
    <row r="6" spans="1:13" x14ac:dyDescent="0.25">
      <c r="B6">
        <v>1</v>
      </c>
      <c r="C6" t="s">
        <v>217</v>
      </c>
      <c r="D6" t="s">
        <v>193</v>
      </c>
      <c r="E6" t="s">
        <v>218</v>
      </c>
      <c r="G6" t="s">
        <v>285</v>
      </c>
      <c r="H6" t="s">
        <v>282</v>
      </c>
      <c r="I6">
        <v>26.6435986159169</v>
      </c>
      <c r="J6">
        <v>5.4667775775629099</v>
      </c>
      <c r="L6" t="s">
        <v>195</v>
      </c>
      <c r="M6" t="s">
        <v>195</v>
      </c>
    </row>
    <row r="7" spans="1:13" x14ac:dyDescent="0.25">
      <c r="B7">
        <v>1</v>
      </c>
      <c r="C7" t="s">
        <v>217</v>
      </c>
      <c r="D7" t="s">
        <v>193</v>
      </c>
      <c r="E7" t="s">
        <v>218</v>
      </c>
      <c r="G7" t="s">
        <v>285</v>
      </c>
      <c r="H7" t="s">
        <v>282</v>
      </c>
      <c r="I7">
        <v>34.948096885813101</v>
      </c>
      <c r="J7">
        <v>4.7456957048010198</v>
      </c>
      <c r="L7" t="s">
        <v>195</v>
      </c>
      <c r="M7" t="s">
        <v>195</v>
      </c>
    </row>
    <row r="8" spans="1:13" x14ac:dyDescent="0.25">
      <c r="B8">
        <v>1</v>
      </c>
      <c r="C8" t="s">
        <v>217</v>
      </c>
      <c r="D8" t="s">
        <v>193</v>
      </c>
      <c r="E8" t="s">
        <v>218</v>
      </c>
      <c r="G8" t="s">
        <v>285</v>
      </c>
      <c r="H8" t="s">
        <v>282</v>
      </c>
      <c r="I8">
        <v>53.217993079584701</v>
      </c>
      <c r="J8">
        <v>4.4020466496841903</v>
      </c>
      <c r="L8" t="s">
        <v>195</v>
      </c>
      <c r="M8" t="s">
        <v>195</v>
      </c>
    </row>
    <row r="9" spans="1:13" x14ac:dyDescent="0.25">
      <c r="B9">
        <v>1</v>
      </c>
      <c r="C9" t="s">
        <v>217</v>
      </c>
      <c r="D9" t="s">
        <v>193</v>
      </c>
      <c r="E9" t="s">
        <v>218</v>
      </c>
      <c r="G9" t="s">
        <v>285</v>
      </c>
      <c r="H9" t="s">
        <v>282</v>
      </c>
      <c r="I9">
        <v>81.453287197231802</v>
      </c>
      <c r="J9">
        <v>3.8229038291615902</v>
      </c>
      <c r="L9" t="s">
        <v>195</v>
      </c>
      <c r="M9" t="s">
        <v>195</v>
      </c>
    </row>
    <row r="10" spans="1:13" x14ac:dyDescent="0.25">
      <c r="B10">
        <v>1</v>
      </c>
      <c r="C10" t="s">
        <v>217</v>
      </c>
      <c r="D10" t="s">
        <v>193</v>
      </c>
      <c r="E10" t="s">
        <v>218</v>
      </c>
      <c r="G10" t="s">
        <v>285</v>
      </c>
      <c r="H10" t="s">
        <v>282</v>
      </c>
      <c r="I10">
        <v>106.36678200692</v>
      </c>
      <c r="J10">
        <v>3.41510625881874</v>
      </c>
      <c r="L10" t="s">
        <v>195</v>
      </c>
      <c r="M10" t="s">
        <v>195</v>
      </c>
    </row>
    <row r="11" spans="1:13" x14ac:dyDescent="0.25">
      <c r="B11">
        <v>1</v>
      </c>
      <c r="C11" t="s">
        <v>217</v>
      </c>
      <c r="D11" t="s">
        <v>193</v>
      </c>
      <c r="E11" t="s">
        <v>218</v>
      </c>
      <c r="G11" t="s">
        <v>285</v>
      </c>
      <c r="H11" t="s">
        <v>282</v>
      </c>
      <c r="I11">
        <v>152.871972318339</v>
      </c>
      <c r="J11">
        <v>2.99501621812222</v>
      </c>
      <c r="L11" t="s">
        <v>195</v>
      </c>
      <c r="M11" t="s">
        <v>195</v>
      </c>
    </row>
    <row r="12" spans="1:13" x14ac:dyDescent="0.25">
      <c r="B12">
        <v>1</v>
      </c>
      <c r="C12" t="s">
        <v>217</v>
      </c>
      <c r="D12" t="s">
        <v>193</v>
      </c>
      <c r="E12" t="s">
        <v>218</v>
      </c>
      <c r="G12" t="s">
        <v>285</v>
      </c>
      <c r="H12" t="s">
        <v>282</v>
      </c>
      <c r="I12">
        <v>202.69896193771601</v>
      </c>
      <c r="J12">
        <v>2.52942528943974</v>
      </c>
      <c r="L12" t="s">
        <v>195</v>
      </c>
      <c r="M12" t="s">
        <v>195</v>
      </c>
    </row>
    <row r="13" spans="1:13" x14ac:dyDescent="0.25">
      <c r="B13">
        <v>1</v>
      </c>
      <c r="C13" t="s">
        <v>217</v>
      </c>
      <c r="D13" t="s">
        <v>193</v>
      </c>
      <c r="E13" t="s">
        <v>218</v>
      </c>
      <c r="G13" t="s">
        <v>285</v>
      </c>
      <c r="H13" t="s">
        <v>282</v>
      </c>
      <c r="I13">
        <v>252.52595155709301</v>
      </c>
      <c r="J13">
        <v>2.0962554614272699</v>
      </c>
      <c r="L13" t="s">
        <v>195</v>
      </c>
      <c r="M13" t="s">
        <v>195</v>
      </c>
    </row>
    <row r="14" spans="1:13" x14ac:dyDescent="0.25">
      <c r="B14">
        <v>1</v>
      </c>
      <c r="C14" t="s">
        <v>217</v>
      </c>
      <c r="D14" t="s">
        <v>193</v>
      </c>
      <c r="E14" t="s">
        <v>218</v>
      </c>
      <c r="G14" t="s">
        <v>285</v>
      </c>
      <c r="H14" t="s">
        <v>282</v>
      </c>
      <c r="I14">
        <v>352.17993079584699</v>
      </c>
      <c r="J14">
        <v>1.4262272992387199</v>
      </c>
      <c r="L14" t="s">
        <v>195</v>
      </c>
      <c r="M14" t="s">
        <v>195</v>
      </c>
    </row>
    <row r="15" spans="1:13" x14ac:dyDescent="0.25">
      <c r="B15">
        <v>1</v>
      </c>
      <c r="C15" t="s">
        <v>217</v>
      </c>
      <c r="D15" t="s">
        <v>193</v>
      </c>
      <c r="E15" t="s">
        <v>218</v>
      </c>
      <c r="G15" t="s">
        <v>285</v>
      </c>
      <c r="H15" t="s">
        <v>282</v>
      </c>
      <c r="I15">
        <v>398.68512110726601</v>
      </c>
      <c r="J15">
        <v>0.99719427442559205</v>
      </c>
      <c r="L15" t="s">
        <v>195</v>
      </c>
      <c r="M15" t="s">
        <v>195</v>
      </c>
    </row>
    <row r="16" spans="1:13" x14ac:dyDescent="0.25">
      <c r="B16">
        <v>1</v>
      </c>
      <c r="C16" t="s">
        <v>217</v>
      </c>
      <c r="D16" t="s">
        <v>193</v>
      </c>
      <c r="E16" t="s">
        <v>218</v>
      </c>
      <c r="G16" t="s">
        <v>285</v>
      </c>
      <c r="H16" t="s">
        <v>282</v>
      </c>
      <c r="I16">
        <v>516.60899653979197</v>
      </c>
      <c r="J16">
        <v>0.79686207274062903</v>
      </c>
      <c r="L16" t="s">
        <v>195</v>
      </c>
      <c r="M16" t="s">
        <v>195</v>
      </c>
    </row>
    <row r="17" spans="2:13" x14ac:dyDescent="0.25">
      <c r="B17">
        <v>1</v>
      </c>
      <c r="C17" t="s">
        <v>217</v>
      </c>
      <c r="D17" t="s">
        <v>193</v>
      </c>
      <c r="E17" t="s">
        <v>218</v>
      </c>
      <c r="G17" t="s">
        <v>286</v>
      </c>
      <c r="H17" t="s">
        <v>282</v>
      </c>
      <c r="I17">
        <v>15.0173010380622</v>
      </c>
      <c r="J17">
        <v>4.7888342133956501</v>
      </c>
      <c r="L17" t="s">
        <v>223</v>
      </c>
      <c r="M17" t="s">
        <v>223</v>
      </c>
    </row>
    <row r="18" spans="2:13" x14ac:dyDescent="0.25">
      <c r="B18">
        <v>1</v>
      </c>
      <c r="C18" t="s">
        <v>217</v>
      </c>
      <c r="D18" t="s">
        <v>193</v>
      </c>
      <c r="E18" t="s">
        <v>218</v>
      </c>
      <c r="G18" t="s">
        <v>286</v>
      </c>
      <c r="H18" t="s">
        <v>282</v>
      </c>
      <c r="I18">
        <v>20</v>
      </c>
      <c r="J18">
        <v>4.6118132229164397</v>
      </c>
      <c r="L18" t="s">
        <v>223</v>
      </c>
      <c r="M18" t="s">
        <v>223</v>
      </c>
    </row>
    <row r="19" spans="2:13" x14ac:dyDescent="0.25">
      <c r="B19">
        <v>1</v>
      </c>
      <c r="C19" t="s">
        <v>217</v>
      </c>
      <c r="D19" t="s">
        <v>193</v>
      </c>
      <c r="E19" t="s">
        <v>218</v>
      </c>
      <c r="G19" t="s">
        <v>286</v>
      </c>
      <c r="H19" t="s">
        <v>282</v>
      </c>
      <c r="I19">
        <v>18.3391003460207</v>
      </c>
      <c r="J19">
        <v>4.23600096584632</v>
      </c>
      <c r="L19" t="s">
        <v>223</v>
      </c>
      <c r="M19" t="s">
        <v>223</v>
      </c>
    </row>
    <row r="20" spans="2:13" x14ac:dyDescent="0.25">
      <c r="B20">
        <v>1</v>
      </c>
      <c r="C20" t="s">
        <v>217</v>
      </c>
      <c r="D20" t="s">
        <v>193</v>
      </c>
      <c r="E20" t="s">
        <v>218</v>
      </c>
      <c r="G20" t="s">
        <v>286</v>
      </c>
      <c r="H20" t="s">
        <v>282</v>
      </c>
      <c r="I20">
        <v>23.321799307958401</v>
      </c>
      <c r="J20">
        <v>3.8913217403090701</v>
      </c>
      <c r="L20" t="s">
        <v>223</v>
      </c>
      <c r="M20" t="s">
        <v>223</v>
      </c>
    </row>
    <row r="21" spans="2:13" x14ac:dyDescent="0.25">
      <c r="B21">
        <v>1</v>
      </c>
      <c r="C21" t="s">
        <v>217</v>
      </c>
      <c r="D21" t="s">
        <v>193</v>
      </c>
      <c r="E21" t="s">
        <v>218</v>
      </c>
      <c r="G21" t="s">
        <v>286</v>
      </c>
      <c r="H21" t="s">
        <v>282</v>
      </c>
      <c r="I21">
        <v>33.2871972318339</v>
      </c>
      <c r="J21">
        <v>4.2372465739799097</v>
      </c>
      <c r="L21" t="s">
        <v>223</v>
      </c>
      <c r="M21" t="s">
        <v>223</v>
      </c>
    </row>
    <row r="22" spans="2:13" x14ac:dyDescent="0.25">
      <c r="B22">
        <v>1</v>
      </c>
      <c r="C22" t="s">
        <v>217</v>
      </c>
      <c r="D22" t="s">
        <v>193</v>
      </c>
      <c r="E22" t="s">
        <v>218</v>
      </c>
      <c r="G22" t="s">
        <v>286</v>
      </c>
      <c r="H22" t="s">
        <v>282</v>
      </c>
      <c r="I22">
        <v>56.539792387543201</v>
      </c>
      <c r="J22">
        <v>3.6794245963604402</v>
      </c>
      <c r="L22" t="s">
        <v>223</v>
      </c>
      <c r="M22" t="s">
        <v>223</v>
      </c>
    </row>
    <row r="23" spans="2:13" x14ac:dyDescent="0.25">
      <c r="B23">
        <v>1</v>
      </c>
      <c r="C23" t="s">
        <v>217</v>
      </c>
      <c r="D23" t="s">
        <v>193</v>
      </c>
      <c r="E23" t="s">
        <v>218</v>
      </c>
      <c r="G23" t="s">
        <v>286</v>
      </c>
      <c r="H23" t="s">
        <v>282</v>
      </c>
      <c r="I23">
        <v>124.636678200692</v>
      </c>
      <c r="J23">
        <v>2.9097622256206801</v>
      </c>
      <c r="L23" t="s">
        <v>223</v>
      </c>
      <c r="M23" t="s">
        <v>223</v>
      </c>
    </row>
    <row r="24" spans="2:13" x14ac:dyDescent="0.25">
      <c r="B24">
        <v>1</v>
      </c>
      <c r="C24" t="s">
        <v>217</v>
      </c>
      <c r="D24" t="s">
        <v>193</v>
      </c>
      <c r="E24" t="s">
        <v>218</v>
      </c>
      <c r="G24" t="s">
        <v>286</v>
      </c>
      <c r="H24" t="s">
        <v>282</v>
      </c>
      <c r="I24">
        <v>201.03806228373699</v>
      </c>
      <c r="J24">
        <v>2.0744560279803901</v>
      </c>
      <c r="L24" t="s">
        <v>223</v>
      </c>
      <c r="M24" t="s">
        <v>223</v>
      </c>
    </row>
    <row r="25" spans="2:13" x14ac:dyDescent="0.25">
      <c r="B25">
        <v>1</v>
      </c>
      <c r="C25" t="s">
        <v>217</v>
      </c>
      <c r="D25" t="s">
        <v>193</v>
      </c>
      <c r="E25" t="s">
        <v>218</v>
      </c>
      <c r="G25" t="s">
        <v>286</v>
      </c>
      <c r="H25" t="s">
        <v>282</v>
      </c>
      <c r="I25">
        <v>230.93425605536299</v>
      </c>
      <c r="J25">
        <v>1.9987521905480501</v>
      </c>
      <c r="L25" t="s">
        <v>223</v>
      </c>
      <c r="M25" t="s">
        <v>223</v>
      </c>
    </row>
    <row r="26" spans="2:13" x14ac:dyDescent="0.25">
      <c r="B26">
        <v>1</v>
      </c>
      <c r="C26" t="s">
        <v>217</v>
      </c>
      <c r="D26" t="s">
        <v>193</v>
      </c>
      <c r="E26" t="s">
        <v>218</v>
      </c>
      <c r="G26" t="s">
        <v>286</v>
      </c>
      <c r="H26" t="s">
        <v>282</v>
      </c>
      <c r="I26">
        <v>390.38062283737003</v>
      </c>
      <c r="J26">
        <v>0.80242615608732204</v>
      </c>
      <c r="L26" t="s">
        <v>223</v>
      </c>
      <c r="M26" t="s">
        <v>223</v>
      </c>
    </row>
    <row r="27" spans="2:13" x14ac:dyDescent="0.25">
      <c r="B27">
        <v>2</v>
      </c>
      <c r="C27" t="s">
        <v>217</v>
      </c>
      <c r="D27" t="s">
        <v>193</v>
      </c>
      <c r="E27" t="s">
        <v>218</v>
      </c>
      <c r="G27" t="s">
        <v>285</v>
      </c>
      <c r="H27" t="s">
        <v>282</v>
      </c>
      <c r="I27">
        <v>6.8041237113402504</v>
      </c>
      <c r="J27">
        <v>6.2267172504600197</v>
      </c>
      <c r="L27" t="s">
        <v>195</v>
      </c>
      <c r="M27" t="s">
        <v>195</v>
      </c>
    </row>
    <row r="28" spans="2:13" x14ac:dyDescent="0.25">
      <c r="B28">
        <v>2</v>
      </c>
      <c r="C28" t="s">
        <v>217</v>
      </c>
      <c r="D28" t="s">
        <v>193</v>
      </c>
      <c r="E28" t="s">
        <v>218</v>
      </c>
      <c r="G28" t="s">
        <v>285</v>
      </c>
      <c r="H28" t="s">
        <v>282</v>
      </c>
      <c r="I28">
        <v>3.5051546391753101</v>
      </c>
      <c r="J28">
        <v>5.4537076806835501</v>
      </c>
      <c r="L28" t="s">
        <v>195</v>
      </c>
      <c r="M28" t="s">
        <v>195</v>
      </c>
    </row>
    <row r="29" spans="2:13" x14ac:dyDescent="0.25">
      <c r="B29">
        <v>2</v>
      </c>
      <c r="C29" t="s">
        <v>217</v>
      </c>
      <c r="D29" t="s">
        <v>193</v>
      </c>
      <c r="E29" t="s">
        <v>218</v>
      </c>
      <c r="G29" t="s">
        <v>285</v>
      </c>
      <c r="H29" t="s">
        <v>282</v>
      </c>
      <c r="I29">
        <v>1.85567010309284</v>
      </c>
      <c r="J29">
        <v>5.1039711556873302</v>
      </c>
      <c r="L29" t="s">
        <v>195</v>
      </c>
      <c r="M29" t="s">
        <v>195</v>
      </c>
    </row>
    <row r="30" spans="2:13" x14ac:dyDescent="0.25">
      <c r="B30">
        <v>2</v>
      </c>
      <c r="C30" t="s">
        <v>217</v>
      </c>
      <c r="D30" t="s">
        <v>193</v>
      </c>
      <c r="E30" t="s">
        <v>218</v>
      </c>
      <c r="G30" t="s">
        <v>285</v>
      </c>
      <c r="H30" t="s">
        <v>282</v>
      </c>
      <c r="I30">
        <v>8.4536082474227197</v>
      </c>
      <c r="J30">
        <v>4.6420730818678004</v>
      </c>
      <c r="L30" t="s">
        <v>195</v>
      </c>
      <c r="M30" t="s">
        <v>195</v>
      </c>
    </row>
    <row r="31" spans="2:13" x14ac:dyDescent="0.25">
      <c r="B31">
        <v>2</v>
      </c>
      <c r="C31" t="s">
        <v>217</v>
      </c>
      <c r="D31" t="s">
        <v>193</v>
      </c>
      <c r="E31" t="s">
        <v>218</v>
      </c>
      <c r="G31" t="s">
        <v>285</v>
      </c>
      <c r="H31" t="s">
        <v>282</v>
      </c>
      <c r="I31">
        <v>24.948453608247402</v>
      </c>
      <c r="J31">
        <v>4.3841639517266104</v>
      </c>
      <c r="L31" t="s">
        <v>195</v>
      </c>
      <c r="M31" t="s">
        <v>195</v>
      </c>
    </row>
    <row r="32" spans="2:13" x14ac:dyDescent="0.25">
      <c r="B32">
        <v>2</v>
      </c>
      <c r="C32" t="s">
        <v>217</v>
      </c>
      <c r="D32" t="s">
        <v>193</v>
      </c>
      <c r="E32" t="s">
        <v>218</v>
      </c>
      <c r="G32" t="s">
        <v>285</v>
      </c>
      <c r="H32" t="s">
        <v>282</v>
      </c>
      <c r="I32">
        <v>51.340206185566998</v>
      </c>
      <c r="J32">
        <v>4.1007454078549701</v>
      </c>
      <c r="L32" t="s">
        <v>195</v>
      </c>
      <c r="M32" t="s">
        <v>195</v>
      </c>
    </row>
    <row r="33" spans="2:13" x14ac:dyDescent="0.25">
      <c r="B33">
        <v>2</v>
      </c>
      <c r="C33" t="s">
        <v>217</v>
      </c>
      <c r="D33" t="s">
        <v>193</v>
      </c>
      <c r="E33" t="s">
        <v>218</v>
      </c>
      <c r="G33" t="s">
        <v>285</v>
      </c>
      <c r="H33" t="s">
        <v>282</v>
      </c>
      <c r="I33">
        <v>81.0309278350515</v>
      </c>
      <c r="J33">
        <v>3.72793770366428</v>
      </c>
      <c r="L33" t="s">
        <v>195</v>
      </c>
      <c r="M33" t="s">
        <v>195</v>
      </c>
    </row>
    <row r="34" spans="2:13" x14ac:dyDescent="0.25">
      <c r="B34">
        <v>2</v>
      </c>
      <c r="C34" t="s">
        <v>217</v>
      </c>
      <c r="D34" t="s">
        <v>193</v>
      </c>
      <c r="E34" t="s">
        <v>218</v>
      </c>
      <c r="G34" t="s">
        <v>285</v>
      </c>
      <c r="H34" t="s">
        <v>282</v>
      </c>
      <c r="I34">
        <v>102.47422680412301</v>
      </c>
      <c r="J34">
        <v>3.05415810097035</v>
      </c>
      <c r="L34" t="s">
        <v>195</v>
      </c>
      <c r="M34" t="s">
        <v>195</v>
      </c>
    </row>
    <row r="35" spans="2:13" x14ac:dyDescent="0.25">
      <c r="B35">
        <v>2</v>
      </c>
      <c r="C35" t="s">
        <v>217</v>
      </c>
      <c r="D35" t="s">
        <v>193</v>
      </c>
      <c r="E35" t="s">
        <v>218</v>
      </c>
      <c r="G35" t="s">
        <v>285</v>
      </c>
      <c r="H35" t="s">
        <v>282</v>
      </c>
      <c r="I35">
        <v>143.71134020618501</v>
      </c>
      <c r="J35">
        <v>2.62249446043722</v>
      </c>
      <c r="L35" t="s">
        <v>195</v>
      </c>
      <c r="M35" t="s">
        <v>195</v>
      </c>
    </row>
    <row r="36" spans="2:13" x14ac:dyDescent="0.25">
      <c r="B36">
        <v>2</v>
      </c>
      <c r="C36" t="s">
        <v>217</v>
      </c>
      <c r="D36" t="s">
        <v>193</v>
      </c>
      <c r="E36" t="s">
        <v>218</v>
      </c>
      <c r="G36" t="s">
        <v>285</v>
      </c>
      <c r="H36" t="s">
        <v>282</v>
      </c>
      <c r="I36">
        <v>193.19587628865901</v>
      </c>
      <c r="J36">
        <v>2.0286788427638598</v>
      </c>
      <c r="L36" t="s">
        <v>195</v>
      </c>
      <c r="M36" t="s">
        <v>195</v>
      </c>
    </row>
    <row r="37" spans="2:13" x14ac:dyDescent="0.25">
      <c r="B37">
        <v>2</v>
      </c>
      <c r="C37" t="s">
        <v>217</v>
      </c>
      <c r="D37" t="s">
        <v>193</v>
      </c>
      <c r="E37" t="s">
        <v>218</v>
      </c>
      <c r="G37" t="s">
        <v>285</v>
      </c>
      <c r="H37" t="s">
        <v>282</v>
      </c>
      <c r="I37">
        <v>247.628865979381</v>
      </c>
      <c r="J37">
        <v>1.7916994991470201</v>
      </c>
      <c r="L37" t="s">
        <v>195</v>
      </c>
      <c r="M37" t="s">
        <v>195</v>
      </c>
    </row>
    <row r="38" spans="2:13" x14ac:dyDescent="0.25">
      <c r="B38">
        <v>2</v>
      </c>
      <c r="C38" t="s">
        <v>217</v>
      </c>
      <c r="D38" t="s">
        <v>193</v>
      </c>
      <c r="E38" t="s">
        <v>218</v>
      </c>
      <c r="G38" t="s">
        <v>285</v>
      </c>
      <c r="H38" t="s">
        <v>282</v>
      </c>
      <c r="I38">
        <v>310.309278350515</v>
      </c>
      <c r="J38">
        <v>1.48063692511607</v>
      </c>
      <c r="L38" t="s">
        <v>195</v>
      </c>
      <c r="M38" t="s">
        <v>195</v>
      </c>
    </row>
    <row r="39" spans="2:13" x14ac:dyDescent="0.25">
      <c r="B39">
        <v>2</v>
      </c>
      <c r="C39" t="s">
        <v>217</v>
      </c>
      <c r="D39" t="s">
        <v>193</v>
      </c>
      <c r="E39" t="s">
        <v>218</v>
      </c>
      <c r="G39" t="s">
        <v>285</v>
      </c>
      <c r="H39" t="s">
        <v>282</v>
      </c>
      <c r="I39">
        <v>336.70103092783501</v>
      </c>
      <c r="J39">
        <v>1.1789275747033801</v>
      </c>
      <c r="L39" t="s">
        <v>195</v>
      </c>
      <c r="M39" t="s">
        <v>195</v>
      </c>
    </row>
    <row r="40" spans="2:13" x14ac:dyDescent="0.25">
      <c r="B40">
        <v>2</v>
      </c>
      <c r="C40" t="s">
        <v>217</v>
      </c>
      <c r="D40" t="s">
        <v>193</v>
      </c>
      <c r="E40" t="s">
        <v>218</v>
      </c>
      <c r="G40" t="s">
        <v>285</v>
      </c>
      <c r="H40" t="s">
        <v>282</v>
      </c>
      <c r="I40">
        <v>490.10309278350502</v>
      </c>
      <c r="J40">
        <v>0.59990235059284802</v>
      </c>
      <c r="L40" t="s">
        <v>195</v>
      </c>
      <c r="M40" t="s">
        <v>195</v>
      </c>
    </row>
    <row r="41" spans="2:13" x14ac:dyDescent="0.25">
      <c r="B41">
        <v>2</v>
      </c>
      <c r="C41" t="s">
        <v>217</v>
      </c>
      <c r="D41" t="s">
        <v>193</v>
      </c>
      <c r="E41" t="s">
        <v>218</v>
      </c>
      <c r="G41" t="s">
        <v>286</v>
      </c>
      <c r="H41" t="s">
        <v>282</v>
      </c>
      <c r="I41">
        <v>3.5051546391753101</v>
      </c>
      <c r="J41">
        <v>4.2229379189198699</v>
      </c>
      <c r="L41" t="s">
        <v>223</v>
      </c>
      <c r="M41" t="s">
        <v>223</v>
      </c>
    </row>
    <row r="42" spans="2:13" x14ac:dyDescent="0.25">
      <c r="B42">
        <v>2</v>
      </c>
      <c r="C42" t="s">
        <v>217</v>
      </c>
      <c r="D42" t="s">
        <v>193</v>
      </c>
      <c r="E42" t="s">
        <v>218</v>
      </c>
      <c r="G42" t="s">
        <v>286</v>
      </c>
      <c r="H42" t="s">
        <v>282</v>
      </c>
      <c r="I42">
        <v>15.051546391752501</v>
      </c>
      <c r="J42">
        <v>4.5543613614190699</v>
      </c>
      <c r="L42" t="s">
        <v>223</v>
      </c>
      <c r="M42" t="s">
        <v>223</v>
      </c>
    </row>
    <row r="43" spans="2:13" x14ac:dyDescent="0.25">
      <c r="B43">
        <v>2</v>
      </c>
      <c r="C43" t="s">
        <v>217</v>
      </c>
      <c r="D43" t="s">
        <v>193</v>
      </c>
      <c r="E43" t="s">
        <v>218</v>
      </c>
      <c r="G43" t="s">
        <v>286</v>
      </c>
      <c r="H43" t="s">
        <v>282</v>
      </c>
      <c r="I43">
        <v>13.4020618556701</v>
      </c>
      <c r="J43">
        <v>4.0651258706312197</v>
      </c>
      <c r="L43" t="s">
        <v>223</v>
      </c>
      <c r="M43" t="s">
        <v>223</v>
      </c>
    </row>
    <row r="44" spans="2:13" x14ac:dyDescent="0.25">
      <c r="B44">
        <v>2</v>
      </c>
      <c r="C44" t="s">
        <v>217</v>
      </c>
      <c r="D44" t="s">
        <v>193</v>
      </c>
      <c r="E44" t="s">
        <v>218</v>
      </c>
      <c r="G44" t="s">
        <v>286</v>
      </c>
      <c r="H44" t="s">
        <v>282</v>
      </c>
      <c r="I44">
        <v>24.948453608247402</v>
      </c>
      <c r="J44">
        <v>3.4926215900081798</v>
      </c>
      <c r="L44" t="s">
        <v>223</v>
      </c>
      <c r="M44" t="s">
        <v>223</v>
      </c>
    </row>
    <row r="45" spans="2:13" x14ac:dyDescent="0.25">
      <c r="B45">
        <v>2</v>
      </c>
      <c r="C45" t="s">
        <v>217</v>
      </c>
      <c r="D45" t="s">
        <v>193</v>
      </c>
      <c r="E45" t="s">
        <v>218</v>
      </c>
      <c r="G45" t="s">
        <v>286</v>
      </c>
      <c r="H45" t="s">
        <v>282</v>
      </c>
      <c r="I45">
        <v>52.989690721649403</v>
      </c>
      <c r="J45">
        <v>3.2667313276191599</v>
      </c>
      <c r="L45" t="s">
        <v>223</v>
      </c>
      <c r="M45" t="s">
        <v>223</v>
      </c>
    </row>
    <row r="46" spans="2:13" x14ac:dyDescent="0.25">
      <c r="B46">
        <v>2</v>
      </c>
      <c r="C46" t="s">
        <v>217</v>
      </c>
      <c r="D46" t="s">
        <v>193</v>
      </c>
      <c r="E46" t="s">
        <v>218</v>
      </c>
      <c r="G46" t="s">
        <v>286</v>
      </c>
      <c r="H46" t="s">
        <v>282</v>
      </c>
      <c r="I46">
        <v>71.134020618556605</v>
      </c>
      <c r="J46">
        <v>2.83301173665178</v>
      </c>
      <c r="L46" t="s">
        <v>223</v>
      </c>
      <c r="M46" t="s">
        <v>223</v>
      </c>
    </row>
    <row r="47" spans="2:13" x14ac:dyDescent="0.25">
      <c r="B47">
        <v>2</v>
      </c>
      <c r="C47" t="s">
        <v>217</v>
      </c>
      <c r="D47" t="s">
        <v>193</v>
      </c>
      <c r="E47" t="s">
        <v>218</v>
      </c>
      <c r="G47" t="s">
        <v>286</v>
      </c>
      <c r="H47" t="s">
        <v>282</v>
      </c>
      <c r="I47">
        <v>123.917525773195</v>
      </c>
      <c r="J47">
        <v>1.7791456564246799</v>
      </c>
      <c r="L47" t="s">
        <v>223</v>
      </c>
      <c r="M47" t="s">
        <v>223</v>
      </c>
    </row>
    <row r="48" spans="2:13" x14ac:dyDescent="0.25">
      <c r="B48">
        <v>2</v>
      </c>
      <c r="C48" t="s">
        <v>217</v>
      </c>
      <c r="D48" t="s">
        <v>193</v>
      </c>
      <c r="E48" t="s">
        <v>218</v>
      </c>
      <c r="G48" t="s">
        <v>286</v>
      </c>
      <c r="H48" t="s">
        <v>282</v>
      </c>
      <c r="I48">
        <v>176.70103092783501</v>
      </c>
      <c r="J48">
        <v>1.4845461439494301</v>
      </c>
      <c r="L48" t="s">
        <v>223</v>
      </c>
      <c r="M48" t="s">
        <v>223</v>
      </c>
    </row>
    <row r="49" spans="2:13" x14ac:dyDescent="0.25">
      <c r="B49">
        <v>2</v>
      </c>
      <c r="C49" t="s">
        <v>217</v>
      </c>
      <c r="D49" t="s">
        <v>193</v>
      </c>
      <c r="E49" t="s">
        <v>218</v>
      </c>
      <c r="G49" t="s">
        <v>286</v>
      </c>
      <c r="H49" t="s">
        <v>282</v>
      </c>
      <c r="I49">
        <v>288.86597938144303</v>
      </c>
      <c r="J49">
        <v>0.70085604248692801</v>
      </c>
      <c r="L49" t="s">
        <v>223</v>
      </c>
      <c r="M49" t="s">
        <v>223</v>
      </c>
    </row>
    <row r="50" spans="2:13" x14ac:dyDescent="0.25">
      <c r="B50">
        <v>3</v>
      </c>
      <c r="C50" t="s">
        <v>217</v>
      </c>
      <c r="D50" t="s">
        <v>193</v>
      </c>
      <c r="E50" t="s">
        <v>218</v>
      </c>
      <c r="G50" t="s">
        <v>285</v>
      </c>
      <c r="H50" t="s">
        <v>282</v>
      </c>
      <c r="I50">
        <v>8.2046610316078201</v>
      </c>
      <c r="J50">
        <v>4.9723674370653397</v>
      </c>
      <c r="L50" t="s">
        <v>195</v>
      </c>
      <c r="M50" t="s">
        <v>195</v>
      </c>
    </row>
    <row r="51" spans="2:13" x14ac:dyDescent="0.25">
      <c r="B51">
        <v>3</v>
      </c>
      <c r="C51" t="s">
        <v>217</v>
      </c>
      <c r="D51" t="s">
        <v>193</v>
      </c>
      <c r="E51" t="s">
        <v>218</v>
      </c>
      <c r="G51" t="s">
        <v>285</v>
      </c>
      <c r="H51" t="s">
        <v>282</v>
      </c>
      <c r="I51">
        <v>14.647539754840301</v>
      </c>
      <c r="J51">
        <v>3.81683686377405</v>
      </c>
      <c r="L51" t="s">
        <v>195</v>
      </c>
      <c r="M51" t="s">
        <v>195</v>
      </c>
    </row>
    <row r="52" spans="2:13" x14ac:dyDescent="0.25">
      <c r="B52">
        <v>3</v>
      </c>
      <c r="C52" t="s">
        <v>217</v>
      </c>
      <c r="D52" t="s">
        <v>193</v>
      </c>
      <c r="E52" t="s">
        <v>218</v>
      </c>
      <c r="G52" t="s">
        <v>285</v>
      </c>
      <c r="H52" t="s">
        <v>282</v>
      </c>
      <c r="I52">
        <v>16.2139784822241</v>
      </c>
      <c r="J52">
        <v>3.3127431429390399</v>
      </c>
      <c r="L52" t="s">
        <v>195</v>
      </c>
      <c r="M52" t="s">
        <v>195</v>
      </c>
    </row>
    <row r="53" spans="2:13" x14ac:dyDescent="0.25">
      <c r="B53">
        <v>3</v>
      </c>
      <c r="C53" t="s">
        <v>217</v>
      </c>
      <c r="D53" t="s">
        <v>193</v>
      </c>
      <c r="E53" t="s">
        <v>218</v>
      </c>
      <c r="G53" t="s">
        <v>285</v>
      </c>
      <c r="H53" t="s">
        <v>282</v>
      </c>
      <c r="I53">
        <v>24.500051891742199</v>
      </c>
      <c r="J53">
        <v>3.5384912753420501</v>
      </c>
      <c r="L53" t="s">
        <v>195</v>
      </c>
      <c r="M53" t="s">
        <v>195</v>
      </c>
    </row>
    <row r="54" spans="2:13" x14ac:dyDescent="0.25">
      <c r="B54">
        <v>3</v>
      </c>
      <c r="C54" t="s">
        <v>217</v>
      </c>
      <c r="D54" t="s">
        <v>193</v>
      </c>
      <c r="E54" t="s">
        <v>218</v>
      </c>
      <c r="G54" t="s">
        <v>285</v>
      </c>
      <c r="H54" t="s">
        <v>282</v>
      </c>
      <c r="I54">
        <v>31.031492521823299</v>
      </c>
      <c r="J54">
        <v>3.1590781843783802</v>
      </c>
      <c r="L54" t="s">
        <v>195</v>
      </c>
      <c r="M54" t="s">
        <v>195</v>
      </c>
    </row>
    <row r="55" spans="2:13" x14ac:dyDescent="0.25">
      <c r="B55">
        <v>3</v>
      </c>
      <c r="C55" t="s">
        <v>217</v>
      </c>
      <c r="D55" t="s">
        <v>193</v>
      </c>
      <c r="E55" t="s">
        <v>218</v>
      </c>
      <c r="G55" t="s">
        <v>285</v>
      </c>
      <c r="H55" t="s">
        <v>282</v>
      </c>
      <c r="I55">
        <v>50.802938225763597</v>
      </c>
      <c r="J55">
        <v>3.04082083469183</v>
      </c>
      <c r="L55" t="s">
        <v>195</v>
      </c>
      <c r="M55" t="s">
        <v>195</v>
      </c>
    </row>
    <row r="56" spans="2:13" x14ac:dyDescent="0.25">
      <c r="B56">
        <v>3</v>
      </c>
      <c r="C56" t="s">
        <v>217</v>
      </c>
      <c r="D56" t="s">
        <v>193</v>
      </c>
      <c r="E56" t="s">
        <v>218</v>
      </c>
      <c r="G56" t="s">
        <v>285</v>
      </c>
      <c r="H56" t="s">
        <v>282</v>
      </c>
      <c r="I56">
        <v>82.004405032345801</v>
      </c>
      <c r="J56">
        <v>2.4000496127800099</v>
      </c>
      <c r="L56" t="s">
        <v>195</v>
      </c>
      <c r="M56" t="s">
        <v>195</v>
      </c>
    </row>
    <row r="57" spans="2:13" x14ac:dyDescent="0.25">
      <c r="B57">
        <v>3</v>
      </c>
      <c r="C57" t="s">
        <v>217</v>
      </c>
      <c r="D57" t="s">
        <v>193</v>
      </c>
      <c r="E57" t="s">
        <v>218</v>
      </c>
      <c r="G57" t="s">
        <v>285</v>
      </c>
      <c r="H57" t="s">
        <v>282</v>
      </c>
      <c r="I57">
        <v>96.8053137144109</v>
      </c>
      <c r="J57">
        <v>2.2248077113893001</v>
      </c>
      <c r="L57" t="s">
        <v>195</v>
      </c>
      <c r="M57" t="s">
        <v>195</v>
      </c>
    </row>
    <row r="58" spans="2:13" x14ac:dyDescent="0.25">
      <c r="B58">
        <v>3</v>
      </c>
      <c r="C58" t="s">
        <v>217</v>
      </c>
      <c r="D58" t="s">
        <v>193</v>
      </c>
      <c r="E58" t="s">
        <v>218</v>
      </c>
      <c r="G58" t="s">
        <v>285</v>
      </c>
      <c r="H58" t="s">
        <v>282</v>
      </c>
      <c r="I58">
        <v>226.63706915439499</v>
      </c>
      <c r="J58">
        <v>0.98530205517570602</v>
      </c>
      <c r="L58" t="s">
        <v>195</v>
      </c>
      <c r="M58" t="s">
        <v>195</v>
      </c>
    </row>
    <row r="59" spans="2:13" x14ac:dyDescent="0.25">
      <c r="B59">
        <v>3</v>
      </c>
      <c r="C59" t="s">
        <v>217</v>
      </c>
      <c r="D59" t="s">
        <v>193</v>
      </c>
      <c r="E59" t="s">
        <v>218</v>
      </c>
      <c r="G59" t="s">
        <v>285</v>
      </c>
      <c r="H59" t="s">
        <v>282</v>
      </c>
      <c r="I59">
        <v>272.76121726495899</v>
      </c>
      <c r="J59">
        <v>0.88730636389572703</v>
      </c>
      <c r="L59" t="s">
        <v>195</v>
      </c>
      <c r="M59" t="s">
        <v>195</v>
      </c>
    </row>
    <row r="60" spans="2:13" x14ac:dyDescent="0.25">
      <c r="B60">
        <v>3</v>
      </c>
      <c r="C60" t="s">
        <v>217</v>
      </c>
      <c r="D60" t="s">
        <v>193</v>
      </c>
      <c r="E60" t="s">
        <v>218</v>
      </c>
      <c r="G60" t="s">
        <v>285</v>
      </c>
      <c r="H60" t="s">
        <v>282</v>
      </c>
      <c r="I60">
        <v>335.19736159319098</v>
      </c>
      <c r="J60">
        <v>0.584969292067407</v>
      </c>
      <c r="L60" t="s">
        <v>195</v>
      </c>
      <c r="M60" t="s">
        <v>195</v>
      </c>
    </row>
    <row r="61" spans="2:13" x14ac:dyDescent="0.25">
      <c r="B61">
        <v>3</v>
      </c>
      <c r="C61" t="s">
        <v>217</v>
      </c>
      <c r="D61" t="s">
        <v>193</v>
      </c>
      <c r="E61" t="s">
        <v>218</v>
      </c>
      <c r="G61" t="s">
        <v>286</v>
      </c>
      <c r="H61" t="s">
        <v>282</v>
      </c>
      <c r="I61">
        <v>11.3928896781558</v>
      </c>
      <c r="J61">
        <v>4.1165434907224201</v>
      </c>
      <c r="L61" t="s">
        <v>223</v>
      </c>
      <c r="M61" t="s">
        <v>223</v>
      </c>
    </row>
    <row r="62" spans="2:13" x14ac:dyDescent="0.25">
      <c r="B62">
        <v>3</v>
      </c>
      <c r="C62" t="s">
        <v>217</v>
      </c>
      <c r="D62" t="s">
        <v>193</v>
      </c>
      <c r="E62" t="s">
        <v>218</v>
      </c>
      <c r="G62" t="s">
        <v>286</v>
      </c>
      <c r="H62" t="s">
        <v>282</v>
      </c>
      <c r="I62">
        <v>14.6420046356623</v>
      </c>
      <c r="J62">
        <v>3.7809721790002202</v>
      </c>
      <c r="L62" t="s">
        <v>223</v>
      </c>
      <c r="M62" t="s">
        <v>223</v>
      </c>
    </row>
    <row r="63" spans="2:13" x14ac:dyDescent="0.25">
      <c r="B63">
        <v>3</v>
      </c>
      <c r="C63" t="s">
        <v>217</v>
      </c>
      <c r="D63" t="s">
        <v>193</v>
      </c>
      <c r="E63" t="s">
        <v>218</v>
      </c>
      <c r="G63" t="s">
        <v>286</v>
      </c>
      <c r="H63" t="s">
        <v>282</v>
      </c>
      <c r="I63">
        <v>29.448448436905402</v>
      </c>
      <c r="J63">
        <v>3.53814689597327</v>
      </c>
      <c r="L63" t="s">
        <v>223</v>
      </c>
      <c r="M63" t="s">
        <v>223</v>
      </c>
    </row>
    <row r="64" spans="2:13" x14ac:dyDescent="0.25">
      <c r="B64">
        <v>3</v>
      </c>
      <c r="C64" t="s">
        <v>217</v>
      </c>
      <c r="D64" t="s">
        <v>193</v>
      </c>
      <c r="E64" t="s">
        <v>218</v>
      </c>
      <c r="G64" t="s">
        <v>286</v>
      </c>
      <c r="H64" t="s">
        <v>282</v>
      </c>
      <c r="I64">
        <v>54.1461502092966</v>
      </c>
      <c r="J64">
        <v>3.2791673656351801</v>
      </c>
      <c r="L64" t="s">
        <v>223</v>
      </c>
      <c r="M64" t="s">
        <v>223</v>
      </c>
    </row>
    <row r="65" spans="2:13" x14ac:dyDescent="0.25">
      <c r="B65">
        <v>3</v>
      </c>
      <c r="C65" t="s">
        <v>217</v>
      </c>
      <c r="D65" t="s">
        <v>193</v>
      </c>
      <c r="E65" t="s">
        <v>218</v>
      </c>
      <c r="G65" t="s">
        <v>286</v>
      </c>
      <c r="H65" t="s">
        <v>282</v>
      </c>
      <c r="I65">
        <v>78.843851981687905</v>
      </c>
      <c r="J65">
        <v>3.0391441983611802</v>
      </c>
      <c r="L65" t="s">
        <v>223</v>
      </c>
      <c r="M65" t="s">
        <v>223</v>
      </c>
    </row>
    <row r="66" spans="2:13" x14ac:dyDescent="0.25">
      <c r="B66">
        <v>3</v>
      </c>
      <c r="C66" t="s">
        <v>217</v>
      </c>
      <c r="D66" t="s">
        <v>193</v>
      </c>
      <c r="E66" t="s">
        <v>218</v>
      </c>
      <c r="G66" t="s">
        <v>286</v>
      </c>
      <c r="H66" t="s">
        <v>282</v>
      </c>
      <c r="I66">
        <v>101.83120192806599</v>
      </c>
      <c r="J66">
        <v>2.5389365066626501</v>
      </c>
      <c r="L66" t="s">
        <v>223</v>
      </c>
      <c r="M66" t="s">
        <v>223</v>
      </c>
    </row>
    <row r="67" spans="2:13" x14ac:dyDescent="0.25">
      <c r="B67">
        <v>3</v>
      </c>
      <c r="C67" t="s">
        <v>217</v>
      </c>
      <c r="D67" t="s">
        <v>193</v>
      </c>
      <c r="E67" t="s">
        <v>218</v>
      </c>
      <c r="G67" t="s">
        <v>286</v>
      </c>
      <c r="H67" t="s">
        <v>282</v>
      </c>
      <c r="I67">
        <v>147.850182774247</v>
      </c>
      <c r="J67">
        <v>1.91096986310867</v>
      </c>
      <c r="L67" t="s">
        <v>223</v>
      </c>
      <c r="M67" t="s">
        <v>223</v>
      </c>
    </row>
    <row r="68" spans="2:13" x14ac:dyDescent="0.25">
      <c r="B68">
        <v>3</v>
      </c>
      <c r="C68" t="s">
        <v>217</v>
      </c>
      <c r="D68" t="s">
        <v>193</v>
      </c>
      <c r="E68" t="s">
        <v>218</v>
      </c>
      <c r="G68" t="s">
        <v>286</v>
      </c>
      <c r="H68" t="s">
        <v>282</v>
      </c>
      <c r="I68">
        <v>198.839700642304</v>
      </c>
      <c r="J68">
        <v>1.49353027983427</v>
      </c>
      <c r="L68" t="s">
        <v>223</v>
      </c>
      <c r="M68" t="s">
        <v>223</v>
      </c>
    </row>
    <row r="69" spans="2:13" x14ac:dyDescent="0.25">
      <c r="B69">
        <v>3</v>
      </c>
      <c r="C69" t="s">
        <v>217</v>
      </c>
      <c r="D69" t="s">
        <v>193</v>
      </c>
      <c r="E69" t="s">
        <v>218</v>
      </c>
      <c r="G69" t="s">
        <v>286</v>
      </c>
      <c r="H69" t="s">
        <v>282</v>
      </c>
      <c r="I69">
        <v>244.84761125012901</v>
      </c>
      <c r="J69">
        <v>1.1031023178703401</v>
      </c>
      <c r="L69" t="s">
        <v>223</v>
      </c>
      <c r="M69" t="s">
        <v>223</v>
      </c>
    </row>
    <row r="70" spans="2:13" x14ac:dyDescent="0.25">
      <c r="B70">
        <v>3</v>
      </c>
      <c r="C70" t="s">
        <v>217</v>
      </c>
      <c r="D70" t="s">
        <v>193</v>
      </c>
      <c r="E70" t="s">
        <v>218</v>
      </c>
      <c r="G70" t="s">
        <v>286</v>
      </c>
      <c r="H70" t="s">
        <v>282</v>
      </c>
      <c r="I70">
        <v>294.13231241135099</v>
      </c>
      <c r="J70">
        <v>0.78449271981982605</v>
      </c>
      <c r="L70" t="s">
        <v>223</v>
      </c>
      <c r="M70" t="s">
        <v>223</v>
      </c>
    </row>
    <row r="71" spans="2:13" x14ac:dyDescent="0.25">
      <c r="B71">
        <v>3</v>
      </c>
      <c r="C71" t="s">
        <v>217</v>
      </c>
      <c r="D71" t="s">
        <v>193</v>
      </c>
      <c r="E71" t="s">
        <v>218</v>
      </c>
      <c r="G71" t="s">
        <v>286</v>
      </c>
      <c r="H71" t="s">
        <v>282</v>
      </c>
      <c r="I71">
        <v>348.40415595198198</v>
      </c>
      <c r="J71">
        <v>0.59596476388346298</v>
      </c>
      <c r="L71" t="s">
        <v>223</v>
      </c>
      <c r="M71" t="s">
        <v>223</v>
      </c>
    </row>
    <row r="72" spans="2:13" x14ac:dyDescent="0.25">
      <c r="B72">
        <v>4</v>
      </c>
      <c r="C72" t="s">
        <v>217</v>
      </c>
      <c r="D72" t="s">
        <v>193</v>
      </c>
      <c r="E72" t="s">
        <v>218</v>
      </c>
      <c r="G72" t="s">
        <v>285</v>
      </c>
      <c r="H72" t="s">
        <v>282</v>
      </c>
      <c r="I72">
        <v>3.37722444634732</v>
      </c>
      <c r="J72">
        <v>5.9394089967945103</v>
      </c>
      <c r="L72" t="s">
        <v>195</v>
      </c>
      <c r="M72" t="s">
        <v>195</v>
      </c>
    </row>
    <row r="73" spans="2:13" x14ac:dyDescent="0.25">
      <c r="B73">
        <v>4</v>
      </c>
      <c r="C73" t="s">
        <v>217</v>
      </c>
      <c r="D73" t="s">
        <v>193</v>
      </c>
      <c r="E73" t="s">
        <v>218</v>
      </c>
      <c r="G73" t="s">
        <v>285</v>
      </c>
      <c r="H73" t="s">
        <v>282</v>
      </c>
      <c r="I73">
        <v>9.8974845532595701</v>
      </c>
      <c r="J73">
        <v>5.2023977380631798</v>
      </c>
      <c r="L73" t="s">
        <v>195</v>
      </c>
      <c r="M73" t="s">
        <v>195</v>
      </c>
    </row>
    <row r="74" spans="2:13" x14ac:dyDescent="0.25">
      <c r="B74">
        <v>4</v>
      </c>
      <c r="C74" t="s">
        <v>217</v>
      </c>
      <c r="D74" t="s">
        <v>193</v>
      </c>
      <c r="E74" t="s">
        <v>218</v>
      </c>
      <c r="G74" t="s">
        <v>285</v>
      </c>
      <c r="H74" t="s">
        <v>282</v>
      </c>
      <c r="I74">
        <v>13.0854141114944</v>
      </c>
      <c r="J74">
        <v>4.3047853207303399</v>
      </c>
      <c r="L74" t="s">
        <v>195</v>
      </c>
      <c r="M74" t="s">
        <v>195</v>
      </c>
    </row>
    <row r="75" spans="2:13" x14ac:dyDescent="0.25">
      <c r="B75">
        <v>4</v>
      </c>
      <c r="C75" t="s">
        <v>217</v>
      </c>
      <c r="D75" t="s">
        <v>193</v>
      </c>
      <c r="E75" t="s">
        <v>218</v>
      </c>
      <c r="G75" t="s">
        <v>285</v>
      </c>
      <c r="H75" t="s">
        <v>282</v>
      </c>
      <c r="I75">
        <v>26.242565894522599</v>
      </c>
      <c r="J75">
        <v>4.0296421726206102</v>
      </c>
      <c r="L75" t="s">
        <v>195</v>
      </c>
      <c r="M75" t="s">
        <v>195</v>
      </c>
    </row>
    <row r="76" spans="2:13" x14ac:dyDescent="0.25">
      <c r="B76">
        <v>4</v>
      </c>
      <c r="C76" t="s">
        <v>217</v>
      </c>
      <c r="D76" t="s">
        <v>193</v>
      </c>
      <c r="E76" t="s">
        <v>218</v>
      </c>
      <c r="G76" t="s">
        <v>285</v>
      </c>
      <c r="H76" t="s">
        <v>282</v>
      </c>
      <c r="I76">
        <v>50.940689144470497</v>
      </c>
      <c r="J76">
        <v>3.73737274445778</v>
      </c>
      <c r="L76" t="s">
        <v>195</v>
      </c>
      <c r="M76" t="s">
        <v>195</v>
      </c>
    </row>
    <row r="77" spans="2:13" x14ac:dyDescent="0.25">
      <c r="B77">
        <v>4</v>
      </c>
      <c r="C77" t="s">
        <v>217</v>
      </c>
      <c r="D77" t="s">
        <v>193</v>
      </c>
      <c r="E77" t="s">
        <v>218</v>
      </c>
      <c r="G77" t="s">
        <v>285</v>
      </c>
      <c r="H77" t="s">
        <v>282</v>
      </c>
      <c r="I77">
        <v>60.782172031564599</v>
      </c>
      <c r="J77">
        <v>3.40025176423149</v>
      </c>
      <c r="L77" t="s">
        <v>195</v>
      </c>
      <c r="M77" t="s">
        <v>195</v>
      </c>
    </row>
    <row r="78" spans="2:13" x14ac:dyDescent="0.25">
      <c r="B78">
        <v>4</v>
      </c>
      <c r="C78" t="s">
        <v>217</v>
      </c>
      <c r="D78" t="s">
        <v>193</v>
      </c>
      <c r="E78" t="s">
        <v>218</v>
      </c>
      <c r="G78" t="s">
        <v>285</v>
      </c>
      <c r="H78" t="s">
        <v>282</v>
      </c>
      <c r="I78">
        <v>106.907180709508</v>
      </c>
      <c r="J78">
        <v>3.0665690206637102</v>
      </c>
      <c r="L78" t="s">
        <v>195</v>
      </c>
      <c r="M78" t="s">
        <v>195</v>
      </c>
    </row>
    <row r="79" spans="2:13" x14ac:dyDescent="0.25">
      <c r="B79">
        <v>4</v>
      </c>
      <c r="C79" t="s">
        <v>217</v>
      </c>
      <c r="D79" t="s">
        <v>193</v>
      </c>
      <c r="E79" t="s">
        <v>218</v>
      </c>
      <c r="G79" t="s">
        <v>285</v>
      </c>
      <c r="H79" t="s">
        <v>282</v>
      </c>
      <c r="I79">
        <v>134.83211070742601</v>
      </c>
      <c r="J79">
        <v>2.51477269482442</v>
      </c>
      <c r="L79" t="s">
        <v>195</v>
      </c>
      <c r="M79" t="s">
        <v>195</v>
      </c>
    </row>
    <row r="80" spans="2:13" x14ac:dyDescent="0.25">
      <c r="B80">
        <v>4</v>
      </c>
      <c r="C80" t="s">
        <v>217</v>
      </c>
      <c r="D80" t="s">
        <v>193</v>
      </c>
      <c r="E80" t="s">
        <v>218</v>
      </c>
      <c r="G80" t="s">
        <v>285</v>
      </c>
      <c r="H80" t="s">
        <v>282</v>
      </c>
      <c r="I80">
        <v>180.857149468909</v>
      </c>
      <c r="J80">
        <v>1.9124412799925401</v>
      </c>
      <c r="L80" t="s">
        <v>195</v>
      </c>
      <c r="M80" t="s">
        <v>195</v>
      </c>
    </row>
    <row r="81" spans="2:13" x14ac:dyDescent="0.25">
      <c r="B81">
        <v>4</v>
      </c>
      <c r="C81" t="s">
        <v>217</v>
      </c>
      <c r="D81" t="s">
        <v>193</v>
      </c>
      <c r="E81" t="s">
        <v>218</v>
      </c>
      <c r="G81" t="s">
        <v>285</v>
      </c>
      <c r="H81" t="s">
        <v>282</v>
      </c>
      <c r="I81">
        <v>210.46490639390899</v>
      </c>
      <c r="J81">
        <v>1.660092692154</v>
      </c>
      <c r="L81" t="s">
        <v>195</v>
      </c>
      <c r="M81" t="s">
        <v>195</v>
      </c>
    </row>
    <row r="82" spans="2:13" x14ac:dyDescent="0.25">
      <c r="B82">
        <v>4</v>
      </c>
      <c r="C82" t="s">
        <v>217</v>
      </c>
      <c r="D82" t="s">
        <v>193</v>
      </c>
      <c r="E82" t="s">
        <v>218</v>
      </c>
      <c r="G82" t="s">
        <v>285</v>
      </c>
      <c r="H82" t="s">
        <v>282</v>
      </c>
      <c r="I82">
        <v>370.03910860157799</v>
      </c>
      <c r="J82">
        <v>0.80301639001643399</v>
      </c>
      <c r="L82" t="s">
        <v>195</v>
      </c>
      <c r="M82" t="s">
        <v>195</v>
      </c>
    </row>
    <row r="83" spans="2:13" x14ac:dyDescent="0.25">
      <c r="B83">
        <v>4</v>
      </c>
      <c r="C83" t="s">
        <v>217</v>
      </c>
      <c r="D83" t="s">
        <v>193</v>
      </c>
      <c r="E83" t="s">
        <v>218</v>
      </c>
      <c r="G83" t="s">
        <v>286</v>
      </c>
      <c r="H83" t="s">
        <v>282</v>
      </c>
      <c r="I83">
        <v>13.157614606715599</v>
      </c>
      <c r="J83">
        <v>4.8689320317177298</v>
      </c>
      <c r="L83" t="s">
        <v>223</v>
      </c>
      <c r="M83" t="s">
        <v>223</v>
      </c>
    </row>
    <row r="84" spans="2:13" x14ac:dyDescent="0.25">
      <c r="B84">
        <v>4</v>
      </c>
      <c r="C84" t="s">
        <v>217</v>
      </c>
      <c r="D84" t="s">
        <v>193</v>
      </c>
      <c r="E84" t="s">
        <v>218</v>
      </c>
      <c r="G84" t="s">
        <v>286</v>
      </c>
      <c r="H84" t="s">
        <v>282</v>
      </c>
      <c r="I84">
        <v>32.951658065859903</v>
      </c>
      <c r="J84">
        <v>4.8708343733395303</v>
      </c>
      <c r="L84" t="s">
        <v>223</v>
      </c>
      <c r="M84" t="s">
        <v>223</v>
      </c>
    </row>
    <row r="85" spans="2:13" x14ac:dyDescent="0.25">
      <c r="B85">
        <v>4</v>
      </c>
      <c r="C85" t="s">
        <v>217</v>
      </c>
      <c r="D85" t="s">
        <v>193</v>
      </c>
      <c r="E85" t="s">
        <v>218</v>
      </c>
      <c r="G85" t="s">
        <v>286</v>
      </c>
      <c r="H85" t="s">
        <v>282</v>
      </c>
      <c r="I85">
        <v>55.950292735982302</v>
      </c>
      <c r="J85">
        <v>4.1482317159325603</v>
      </c>
      <c r="L85" t="s">
        <v>223</v>
      </c>
      <c r="M85" t="s">
        <v>223</v>
      </c>
    </row>
    <row r="86" spans="2:13" x14ac:dyDescent="0.25">
      <c r="B86">
        <v>4</v>
      </c>
      <c r="C86" t="s">
        <v>217</v>
      </c>
      <c r="D86" t="s">
        <v>193</v>
      </c>
      <c r="E86" t="s">
        <v>218</v>
      </c>
      <c r="G86" t="s">
        <v>286</v>
      </c>
      <c r="H86" t="s">
        <v>282</v>
      </c>
      <c r="I86">
        <v>121.68606669289299</v>
      </c>
      <c r="J86">
        <v>2.73786345069104</v>
      </c>
      <c r="L86" t="s">
        <v>223</v>
      </c>
      <c r="M86" t="s">
        <v>223</v>
      </c>
    </row>
    <row r="87" spans="2:13" x14ac:dyDescent="0.25">
      <c r="B87">
        <v>4</v>
      </c>
      <c r="C87" t="s">
        <v>217</v>
      </c>
      <c r="D87" t="s">
        <v>193</v>
      </c>
      <c r="E87" t="s">
        <v>218</v>
      </c>
      <c r="G87" t="s">
        <v>286</v>
      </c>
      <c r="H87" t="s">
        <v>282</v>
      </c>
      <c r="I87">
        <v>151.34936246037</v>
      </c>
      <c r="J87">
        <v>2.6127398973252798</v>
      </c>
      <c r="L87" t="s">
        <v>223</v>
      </c>
      <c r="M87" t="s">
        <v>223</v>
      </c>
    </row>
    <row r="88" spans="2:13" x14ac:dyDescent="0.25">
      <c r="B88">
        <v>4</v>
      </c>
      <c r="C88" t="s">
        <v>217</v>
      </c>
      <c r="D88" t="s">
        <v>193</v>
      </c>
      <c r="E88" t="s">
        <v>218</v>
      </c>
      <c r="G88" t="s">
        <v>286</v>
      </c>
      <c r="H88" t="s">
        <v>282</v>
      </c>
      <c r="I88">
        <v>175.97528521509699</v>
      </c>
      <c r="J88">
        <v>2.1424657814208499</v>
      </c>
      <c r="L88" t="s">
        <v>223</v>
      </c>
      <c r="M88" t="s">
        <v>223</v>
      </c>
    </row>
    <row r="89" spans="2:13" x14ac:dyDescent="0.25">
      <c r="B89">
        <v>4</v>
      </c>
      <c r="C89" t="s">
        <v>217</v>
      </c>
      <c r="D89" t="s">
        <v>193</v>
      </c>
      <c r="E89" t="s">
        <v>218</v>
      </c>
      <c r="G89" t="s">
        <v>286</v>
      </c>
      <c r="H89" t="s">
        <v>282</v>
      </c>
      <c r="I89">
        <v>223.68870478791101</v>
      </c>
      <c r="J89">
        <v>1.74106714487959</v>
      </c>
      <c r="L89" t="s">
        <v>223</v>
      </c>
      <c r="M89" t="s">
        <v>223</v>
      </c>
    </row>
    <row r="90" spans="2:13" x14ac:dyDescent="0.25">
      <c r="B90">
        <v>4</v>
      </c>
      <c r="C90" t="s">
        <v>217</v>
      </c>
      <c r="D90" t="s">
        <v>193</v>
      </c>
      <c r="E90" t="s">
        <v>218</v>
      </c>
      <c r="G90" t="s">
        <v>286</v>
      </c>
      <c r="H90" t="s">
        <v>282</v>
      </c>
      <c r="I90">
        <v>318.89338856362599</v>
      </c>
      <c r="J90">
        <v>0.787151112766873</v>
      </c>
      <c r="L90" t="s">
        <v>223</v>
      </c>
      <c r="M90" t="s">
        <v>223</v>
      </c>
    </row>
    <row r="91" spans="2:13" x14ac:dyDescent="0.25">
      <c r="B91">
        <v>5</v>
      </c>
      <c r="C91" t="s">
        <v>217</v>
      </c>
      <c r="D91" t="s">
        <v>193</v>
      </c>
      <c r="E91" t="s">
        <v>218</v>
      </c>
      <c r="G91" t="s">
        <v>285</v>
      </c>
      <c r="H91" t="s">
        <v>282</v>
      </c>
      <c r="I91">
        <v>-7.1660516605166098</v>
      </c>
      <c r="J91">
        <v>5.4240888961531297</v>
      </c>
      <c r="L91" t="s">
        <v>195</v>
      </c>
      <c r="M91" t="s">
        <v>195</v>
      </c>
    </row>
    <row r="92" spans="2:13" x14ac:dyDescent="0.25">
      <c r="B92">
        <v>5</v>
      </c>
      <c r="C92" t="s">
        <v>217</v>
      </c>
      <c r="D92" t="s">
        <v>193</v>
      </c>
      <c r="E92" t="s">
        <v>218</v>
      </c>
      <c r="G92" t="s">
        <v>285</v>
      </c>
      <c r="H92" t="s">
        <v>282</v>
      </c>
      <c r="I92">
        <v>6.4889298892988796</v>
      </c>
      <c r="J92">
        <v>4.7126212835630596</v>
      </c>
      <c r="L92" t="s">
        <v>195</v>
      </c>
      <c r="M92" t="s">
        <v>195</v>
      </c>
    </row>
    <row r="93" spans="2:13" x14ac:dyDescent="0.25">
      <c r="B93">
        <v>5</v>
      </c>
      <c r="C93" t="s">
        <v>217</v>
      </c>
      <c r="D93" t="s">
        <v>193</v>
      </c>
      <c r="E93" t="s">
        <v>218</v>
      </c>
      <c r="G93" t="s">
        <v>285</v>
      </c>
      <c r="H93" t="s">
        <v>282</v>
      </c>
      <c r="I93">
        <v>30.5442804428044</v>
      </c>
      <c r="J93">
        <v>3.49064518753055</v>
      </c>
      <c r="L93" t="s">
        <v>195</v>
      </c>
      <c r="M93" t="s">
        <v>195</v>
      </c>
    </row>
    <row r="94" spans="2:13" x14ac:dyDescent="0.25">
      <c r="B94">
        <v>5</v>
      </c>
      <c r="C94" t="s">
        <v>217</v>
      </c>
      <c r="D94" t="s">
        <v>193</v>
      </c>
      <c r="E94" t="s">
        <v>218</v>
      </c>
      <c r="G94" t="s">
        <v>285</v>
      </c>
      <c r="H94" t="s">
        <v>282</v>
      </c>
      <c r="I94">
        <v>77.437269372693706</v>
      </c>
      <c r="J94">
        <v>2.8971777039630302</v>
      </c>
      <c r="L94" t="s">
        <v>195</v>
      </c>
      <c r="M94" t="s">
        <v>195</v>
      </c>
    </row>
    <row r="95" spans="2:13" x14ac:dyDescent="0.25">
      <c r="B95">
        <v>5</v>
      </c>
      <c r="C95" t="s">
        <v>217</v>
      </c>
      <c r="D95" t="s">
        <v>193</v>
      </c>
      <c r="E95" t="s">
        <v>218</v>
      </c>
      <c r="G95" t="s">
        <v>285</v>
      </c>
      <c r="H95" t="s">
        <v>282</v>
      </c>
      <c r="I95">
        <v>94.319188191881906</v>
      </c>
      <c r="J95">
        <v>2.5895551977117002</v>
      </c>
      <c r="L95" t="s">
        <v>195</v>
      </c>
      <c r="M95" t="s">
        <v>195</v>
      </c>
    </row>
    <row r="96" spans="2:13" x14ac:dyDescent="0.25">
      <c r="B96">
        <v>5</v>
      </c>
      <c r="C96" t="s">
        <v>217</v>
      </c>
      <c r="D96" t="s">
        <v>193</v>
      </c>
      <c r="E96" t="s">
        <v>218</v>
      </c>
      <c r="G96" t="s">
        <v>285</v>
      </c>
      <c r="H96" t="s">
        <v>282</v>
      </c>
      <c r="I96">
        <v>119.420664206642</v>
      </c>
      <c r="J96">
        <v>2.359326608755</v>
      </c>
      <c r="L96" t="s">
        <v>195</v>
      </c>
      <c r="M96" t="s">
        <v>195</v>
      </c>
    </row>
    <row r="97" spans="2:13" x14ac:dyDescent="0.25">
      <c r="B97">
        <v>5</v>
      </c>
      <c r="C97" t="s">
        <v>217</v>
      </c>
      <c r="D97" t="s">
        <v>193</v>
      </c>
      <c r="E97" t="s">
        <v>218</v>
      </c>
      <c r="G97" t="s">
        <v>285</v>
      </c>
      <c r="H97" t="s">
        <v>282</v>
      </c>
      <c r="I97">
        <v>204.41143911439099</v>
      </c>
      <c r="J97">
        <v>1.1046703290577</v>
      </c>
      <c r="L97" t="s">
        <v>195</v>
      </c>
      <c r="M97" t="s">
        <v>195</v>
      </c>
    </row>
    <row r="98" spans="2:13" x14ac:dyDescent="0.25">
      <c r="B98">
        <v>5</v>
      </c>
      <c r="C98" t="s">
        <v>217</v>
      </c>
      <c r="D98" t="s">
        <v>193</v>
      </c>
      <c r="E98" t="s">
        <v>218</v>
      </c>
      <c r="G98" t="s">
        <v>285</v>
      </c>
      <c r="H98" t="s">
        <v>282</v>
      </c>
      <c r="I98">
        <v>271.52398523985198</v>
      </c>
      <c r="J98">
        <v>0.81193737695794799</v>
      </c>
      <c r="L98" t="s">
        <v>195</v>
      </c>
      <c r="M98" t="s">
        <v>195</v>
      </c>
    </row>
    <row r="99" spans="2:13" x14ac:dyDescent="0.25">
      <c r="B99">
        <v>5</v>
      </c>
      <c r="C99" t="s">
        <v>217</v>
      </c>
      <c r="D99" t="s">
        <v>193</v>
      </c>
      <c r="E99" t="s">
        <v>218</v>
      </c>
      <c r="G99" t="s">
        <v>285</v>
      </c>
      <c r="H99" t="s">
        <v>282</v>
      </c>
      <c r="I99">
        <v>312.10147601476001</v>
      </c>
      <c r="J99">
        <v>0.60748208041204499</v>
      </c>
      <c r="L99" t="s">
        <v>195</v>
      </c>
      <c r="M99" t="s">
        <v>195</v>
      </c>
    </row>
    <row r="100" spans="2:13" x14ac:dyDescent="0.25">
      <c r="B100">
        <v>5</v>
      </c>
      <c r="C100" t="s">
        <v>217</v>
      </c>
      <c r="D100" t="s">
        <v>193</v>
      </c>
      <c r="E100" t="s">
        <v>218</v>
      </c>
      <c r="G100" t="s">
        <v>286</v>
      </c>
      <c r="H100" t="s">
        <v>282</v>
      </c>
      <c r="I100">
        <v>0</v>
      </c>
      <c r="J100">
        <v>4.7996444404137204</v>
      </c>
      <c r="L100" t="s">
        <v>223</v>
      </c>
      <c r="M100" t="s">
        <v>223</v>
      </c>
    </row>
    <row r="101" spans="2:13" x14ac:dyDescent="0.25">
      <c r="B101">
        <v>5</v>
      </c>
      <c r="C101" t="s">
        <v>217</v>
      </c>
      <c r="D101" t="s">
        <v>193</v>
      </c>
      <c r="E101" t="s">
        <v>218</v>
      </c>
      <c r="G101" t="s">
        <v>286</v>
      </c>
      <c r="H101" t="s">
        <v>282</v>
      </c>
      <c r="I101">
        <v>8.3929889298892899</v>
      </c>
      <c r="J101">
        <v>4.3302892263958999</v>
      </c>
      <c r="L101" t="s">
        <v>223</v>
      </c>
      <c r="M101" t="s">
        <v>223</v>
      </c>
    </row>
    <row r="102" spans="2:13" x14ac:dyDescent="0.25">
      <c r="B102">
        <v>5</v>
      </c>
      <c r="C102" t="s">
        <v>217</v>
      </c>
      <c r="D102" t="s">
        <v>193</v>
      </c>
      <c r="E102" t="s">
        <v>218</v>
      </c>
      <c r="G102" t="s">
        <v>286</v>
      </c>
      <c r="H102" t="s">
        <v>282</v>
      </c>
      <c r="I102">
        <v>18.8210332103321</v>
      </c>
      <c r="J102">
        <v>3.6571127459683299</v>
      </c>
      <c r="L102" t="s">
        <v>223</v>
      </c>
      <c r="M102" t="s">
        <v>223</v>
      </c>
    </row>
    <row r="103" spans="2:13" x14ac:dyDescent="0.25">
      <c r="B103">
        <v>5</v>
      </c>
      <c r="C103" t="s">
        <v>217</v>
      </c>
      <c r="D103" t="s">
        <v>193</v>
      </c>
      <c r="E103" t="s">
        <v>218</v>
      </c>
      <c r="G103" t="s">
        <v>286</v>
      </c>
      <c r="H103" t="s">
        <v>282</v>
      </c>
      <c r="I103">
        <v>45.964944649446402</v>
      </c>
      <c r="J103">
        <v>2.92096067135537</v>
      </c>
      <c r="L103" t="s">
        <v>223</v>
      </c>
      <c r="M103" t="s">
        <v>223</v>
      </c>
    </row>
    <row r="104" spans="2:13" x14ac:dyDescent="0.25">
      <c r="B104">
        <v>5</v>
      </c>
      <c r="C104" t="s">
        <v>217</v>
      </c>
      <c r="D104" t="s">
        <v>193</v>
      </c>
      <c r="E104" t="s">
        <v>218</v>
      </c>
      <c r="G104" t="s">
        <v>286</v>
      </c>
      <c r="H104" t="s">
        <v>282</v>
      </c>
      <c r="I104">
        <v>71.453874538745396</v>
      </c>
      <c r="J104">
        <v>2.3328396621043699</v>
      </c>
      <c r="L104" t="s">
        <v>223</v>
      </c>
      <c r="M104" t="s">
        <v>223</v>
      </c>
    </row>
    <row r="105" spans="2:13" x14ac:dyDescent="0.25">
      <c r="B105">
        <v>5</v>
      </c>
      <c r="C105" t="s">
        <v>217</v>
      </c>
      <c r="D105" t="s">
        <v>193</v>
      </c>
      <c r="E105" t="s">
        <v>218</v>
      </c>
      <c r="G105" t="s">
        <v>286</v>
      </c>
      <c r="H105" t="s">
        <v>282</v>
      </c>
      <c r="I105">
        <v>98.321033210332104</v>
      </c>
      <c r="J105">
        <v>2.04706694180426</v>
      </c>
      <c r="L105" t="s">
        <v>223</v>
      </c>
      <c r="M105" t="s">
        <v>223</v>
      </c>
    </row>
    <row r="106" spans="2:13" x14ac:dyDescent="0.25">
      <c r="B106">
        <v>5</v>
      </c>
      <c r="C106" t="s">
        <v>217</v>
      </c>
      <c r="D106" t="s">
        <v>193</v>
      </c>
      <c r="E106" t="s">
        <v>218</v>
      </c>
      <c r="G106" t="s">
        <v>286</v>
      </c>
      <c r="H106" t="s">
        <v>282</v>
      </c>
      <c r="I106">
        <v>145.96125461254601</v>
      </c>
      <c r="J106">
        <v>1.3178926252851699</v>
      </c>
      <c r="L106" t="s">
        <v>223</v>
      </c>
      <c r="M106" t="s">
        <v>223</v>
      </c>
    </row>
    <row r="107" spans="2:13" x14ac:dyDescent="0.25">
      <c r="B107">
        <v>5</v>
      </c>
      <c r="C107" t="s">
        <v>217</v>
      </c>
      <c r="D107" t="s">
        <v>193</v>
      </c>
      <c r="E107" t="s">
        <v>218</v>
      </c>
      <c r="G107" t="s">
        <v>286</v>
      </c>
      <c r="H107" t="s">
        <v>282</v>
      </c>
      <c r="I107">
        <v>191.14391143911399</v>
      </c>
      <c r="J107">
        <v>1.1145337785084399</v>
      </c>
      <c r="L107" t="s">
        <v>223</v>
      </c>
      <c r="M107" t="s">
        <v>223</v>
      </c>
    </row>
    <row r="108" spans="2:13" x14ac:dyDescent="0.25">
      <c r="B108">
        <v>5</v>
      </c>
      <c r="C108" t="s">
        <v>217</v>
      </c>
      <c r="D108" t="s">
        <v>193</v>
      </c>
      <c r="E108" t="s">
        <v>218</v>
      </c>
      <c r="G108" t="s">
        <v>286</v>
      </c>
      <c r="H108" t="s">
        <v>282</v>
      </c>
      <c r="I108">
        <v>240.41143911439099</v>
      </c>
      <c r="J108">
        <v>0.72436152898569695</v>
      </c>
      <c r="L108" t="s">
        <v>223</v>
      </c>
      <c r="M108" t="s">
        <v>223</v>
      </c>
    </row>
    <row r="109" spans="2:13" x14ac:dyDescent="0.25">
      <c r="B109">
        <v>6</v>
      </c>
      <c r="C109" t="s">
        <v>217</v>
      </c>
      <c r="D109" t="s">
        <v>193</v>
      </c>
      <c r="E109" t="s">
        <v>218</v>
      </c>
      <c r="G109" t="s">
        <v>285</v>
      </c>
      <c r="H109" t="s">
        <v>282</v>
      </c>
      <c r="I109">
        <v>3.3447883503628102</v>
      </c>
      <c r="J109">
        <v>5.6863738656592497</v>
      </c>
      <c r="L109" t="s">
        <v>195</v>
      </c>
      <c r="M109" t="s">
        <v>195</v>
      </c>
    </row>
    <row r="110" spans="2:13" x14ac:dyDescent="0.25">
      <c r="B110">
        <v>6</v>
      </c>
      <c r="C110" t="s">
        <v>217</v>
      </c>
      <c r="D110" t="s">
        <v>193</v>
      </c>
      <c r="E110" t="s">
        <v>218</v>
      </c>
      <c r="G110" t="s">
        <v>285</v>
      </c>
      <c r="H110" t="s">
        <v>282</v>
      </c>
      <c r="I110">
        <v>3.25100279287892</v>
      </c>
      <c r="J110">
        <v>4.8457851188570302</v>
      </c>
      <c r="L110" t="s">
        <v>195</v>
      </c>
      <c r="M110" t="s">
        <v>195</v>
      </c>
    </row>
    <row r="111" spans="2:13" x14ac:dyDescent="0.25">
      <c r="B111">
        <v>6</v>
      </c>
      <c r="C111" t="s">
        <v>217</v>
      </c>
      <c r="D111" t="s">
        <v>193</v>
      </c>
      <c r="E111" t="s">
        <v>218</v>
      </c>
      <c r="G111" t="s">
        <v>285</v>
      </c>
      <c r="H111" t="s">
        <v>282</v>
      </c>
      <c r="I111">
        <v>3.2289356028826401</v>
      </c>
      <c r="J111">
        <v>4.6667869365158401</v>
      </c>
      <c r="L111" t="s">
        <v>195</v>
      </c>
      <c r="M111" t="s">
        <v>195</v>
      </c>
    </row>
    <row r="112" spans="2:13" x14ac:dyDescent="0.25">
      <c r="B112">
        <v>6</v>
      </c>
      <c r="C112" t="s">
        <v>217</v>
      </c>
      <c r="D112" t="s">
        <v>193</v>
      </c>
      <c r="E112" t="s">
        <v>218</v>
      </c>
      <c r="G112" t="s">
        <v>285</v>
      </c>
      <c r="H112" t="s">
        <v>282</v>
      </c>
      <c r="I112">
        <v>6.5059133173193597</v>
      </c>
      <c r="J112">
        <v>4.4949821094296603</v>
      </c>
      <c r="L112" t="s">
        <v>195</v>
      </c>
      <c r="M112" t="s">
        <v>195</v>
      </c>
    </row>
    <row r="113" spans="2:13" x14ac:dyDescent="0.25">
      <c r="B113">
        <v>6</v>
      </c>
      <c r="C113" t="s">
        <v>217</v>
      </c>
      <c r="D113" t="s">
        <v>193</v>
      </c>
      <c r="E113" t="s">
        <v>218</v>
      </c>
      <c r="G113" t="s">
        <v>285</v>
      </c>
      <c r="H113" t="s">
        <v>282</v>
      </c>
      <c r="I113">
        <v>9.7718574367580597</v>
      </c>
      <c r="J113">
        <v>4.2487861464197199</v>
      </c>
      <c r="L113" t="s">
        <v>195</v>
      </c>
      <c r="M113" t="s">
        <v>195</v>
      </c>
    </row>
    <row r="114" spans="2:13" x14ac:dyDescent="0.25">
      <c r="B114">
        <v>6</v>
      </c>
      <c r="C114" t="s">
        <v>217</v>
      </c>
      <c r="D114" t="s">
        <v>193</v>
      </c>
      <c r="E114" t="s">
        <v>218</v>
      </c>
      <c r="G114" t="s">
        <v>285</v>
      </c>
      <c r="H114" t="s">
        <v>282</v>
      </c>
      <c r="I114">
        <v>13.032284758697701</v>
      </c>
      <c r="J114">
        <v>3.9784621675916401</v>
      </c>
      <c r="L114" t="s">
        <v>195</v>
      </c>
      <c r="M114" t="s">
        <v>195</v>
      </c>
    </row>
    <row r="115" spans="2:13" x14ac:dyDescent="0.25">
      <c r="B115">
        <v>6</v>
      </c>
      <c r="C115" t="s">
        <v>217</v>
      </c>
      <c r="D115" t="s">
        <v>193</v>
      </c>
      <c r="E115" t="s">
        <v>218</v>
      </c>
      <c r="G115" t="s">
        <v>285</v>
      </c>
      <c r="H115" t="s">
        <v>282</v>
      </c>
      <c r="I115">
        <v>24.5513579367178</v>
      </c>
      <c r="J115">
        <v>3.79733675664614</v>
      </c>
      <c r="L115" t="s">
        <v>195</v>
      </c>
      <c r="M115" t="s">
        <v>195</v>
      </c>
    </row>
    <row r="116" spans="2:13" x14ac:dyDescent="0.25">
      <c r="B116">
        <v>6</v>
      </c>
      <c r="C116" t="s">
        <v>217</v>
      </c>
      <c r="D116" t="s">
        <v>193</v>
      </c>
      <c r="E116" t="s">
        <v>218</v>
      </c>
      <c r="G116" t="s">
        <v>285</v>
      </c>
      <c r="H116" t="s">
        <v>282</v>
      </c>
      <c r="I116">
        <v>31.149447745583799</v>
      </c>
      <c r="J116">
        <v>3.7983191925296498</v>
      </c>
      <c r="L116" t="s">
        <v>195</v>
      </c>
      <c r="M116" t="s">
        <v>195</v>
      </c>
    </row>
    <row r="117" spans="2:13" x14ac:dyDescent="0.25">
      <c r="B117">
        <v>6</v>
      </c>
      <c r="C117" t="s">
        <v>217</v>
      </c>
      <c r="D117" t="s">
        <v>193</v>
      </c>
      <c r="E117" t="s">
        <v>218</v>
      </c>
      <c r="G117" t="s">
        <v>285</v>
      </c>
      <c r="H117" t="s">
        <v>282</v>
      </c>
      <c r="I117">
        <v>47.628121875251601</v>
      </c>
      <c r="J117">
        <v>3.6949850564608999</v>
      </c>
      <c r="L117" t="s">
        <v>195</v>
      </c>
      <c r="M117" t="s">
        <v>195</v>
      </c>
    </row>
    <row r="118" spans="2:13" x14ac:dyDescent="0.25">
      <c r="B118">
        <v>6</v>
      </c>
      <c r="C118" t="s">
        <v>217</v>
      </c>
      <c r="D118" t="s">
        <v>193</v>
      </c>
      <c r="E118" t="s">
        <v>218</v>
      </c>
      <c r="G118" t="s">
        <v>285</v>
      </c>
      <c r="H118" t="s">
        <v>282</v>
      </c>
      <c r="I118">
        <v>72.260622708517701</v>
      </c>
      <c r="J118">
        <v>3.0641010775314901</v>
      </c>
      <c r="L118" t="s">
        <v>195</v>
      </c>
      <c r="M118" t="s">
        <v>195</v>
      </c>
    </row>
    <row r="119" spans="2:13" x14ac:dyDescent="0.25">
      <c r="B119">
        <v>6</v>
      </c>
      <c r="C119" t="s">
        <v>217</v>
      </c>
      <c r="D119" t="s">
        <v>193</v>
      </c>
      <c r="E119" t="s">
        <v>218</v>
      </c>
      <c r="G119" t="s">
        <v>285</v>
      </c>
      <c r="H119" t="s">
        <v>282</v>
      </c>
      <c r="I119">
        <v>101.896858873423</v>
      </c>
      <c r="J119">
        <v>2.7921785950523201</v>
      </c>
      <c r="L119" t="s">
        <v>195</v>
      </c>
      <c r="M119" t="s">
        <v>195</v>
      </c>
    </row>
    <row r="120" spans="2:13" x14ac:dyDescent="0.25">
      <c r="B120">
        <v>6</v>
      </c>
      <c r="C120" t="s">
        <v>217</v>
      </c>
      <c r="D120" t="s">
        <v>193</v>
      </c>
      <c r="E120" t="s">
        <v>218</v>
      </c>
      <c r="G120" t="s">
        <v>285</v>
      </c>
      <c r="H120" t="s">
        <v>282</v>
      </c>
      <c r="I120">
        <v>123.219281207259</v>
      </c>
      <c r="J120">
        <v>2.2719791056132199</v>
      </c>
      <c r="L120" t="s">
        <v>195</v>
      </c>
      <c r="M120" t="s">
        <v>195</v>
      </c>
    </row>
    <row r="121" spans="2:13" x14ac:dyDescent="0.25">
      <c r="B121">
        <v>6</v>
      </c>
      <c r="C121" t="s">
        <v>217</v>
      </c>
      <c r="D121" t="s">
        <v>193</v>
      </c>
      <c r="E121" t="s">
        <v>218</v>
      </c>
      <c r="G121" t="s">
        <v>285</v>
      </c>
      <c r="H121" t="s">
        <v>282</v>
      </c>
      <c r="I121">
        <v>151.20047812244999</v>
      </c>
      <c r="J121">
        <v>2.05083069108511</v>
      </c>
      <c r="L121" t="s">
        <v>195</v>
      </c>
      <c r="M121" t="s">
        <v>195</v>
      </c>
    </row>
    <row r="122" spans="2:13" x14ac:dyDescent="0.25">
      <c r="B122">
        <v>6</v>
      </c>
      <c r="C122" t="s">
        <v>217</v>
      </c>
      <c r="D122" t="s">
        <v>193</v>
      </c>
      <c r="E122" t="s">
        <v>218</v>
      </c>
      <c r="G122" t="s">
        <v>285</v>
      </c>
      <c r="H122" t="s">
        <v>282</v>
      </c>
      <c r="I122">
        <v>177.51008539542801</v>
      </c>
      <c r="J122">
        <v>1.78271130507016</v>
      </c>
      <c r="L122" t="s">
        <v>195</v>
      </c>
      <c r="M122" t="s">
        <v>195</v>
      </c>
    </row>
    <row r="123" spans="2:13" x14ac:dyDescent="0.25">
      <c r="B123">
        <v>6</v>
      </c>
      <c r="C123" t="s">
        <v>217</v>
      </c>
      <c r="D123" t="s">
        <v>193</v>
      </c>
      <c r="E123" t="s">
        <v>218</v>
      </c>
      <c r="G123" t="s">
        <v>285</v>
      </c>
      <c r="H123" t="s">
        <v>282</v>
      </c>
      <c r="I123">
        <v>221.90375487029701</v>
      </c>
      <c r="J123">
        <v>1.39826403361424</v>
      </c>
      <c r="L123" t="s">
        <v>195</v>
      </c>
      <c r="M123" t="s">
        <v>195</v>
      </c>
    </row>
    <row r="124" spans="2:13" x14ac:dyDescent="0.25">
      <c r="B124">
        <v>6</v>
      </c>
      <c r="C124" t="s">
        <v>217</v>
      </c>
      <c r="D124" t="s">
        <v>193</v>
      </c>
      <c r="E124" t="s">
        <v>218</v>
      </c>
      <c r="G124" t="s">
        <v>285</v>
      </c>
      <c r="H124" t="s">
        <v>282</v>
      </c>
      <c r="I124">
        <v>271.19634052432502</v>
      </c>
      <c r="J124">
        <v>1.0078658087383101</v>
      </c>
      <c r="L124" t="s">
        <v>195</v>
      </c>
      <c r="M124" t="s">
        <v>195</v>
      </c>
    </row>
    <row r="125" spans="2:13" x14ac:dyDescent="0.25">
      <c r="B125">
        <v>6</v>
      </c>
      <c r="C125" t="s">
        <v>217</v>
      </c>
      <c r="D125" t="s">
        <v>193</v>
      </c>
      <c r="E125" t="s">
        <v>218</v>
      </c>
      <c r="G125" t="s">
        <v>285</v>
      </c>
      <c r="H125" t="s">
        <v>282</v>
      </c>
      <c r="I125">
        <v>338.76055949521299</v>
      </c>
      <c r="J125">
        <v>0.90264236277120302</v>
      </c>
      <c r="L125" t="s">
        <v>195</v>
      </c>
      <c r="M125" t="s">
        <v>195</v>
      </c>
    </row>
    <row r="126" spans="2:13" x14ac:dyDescent="0.25">
      <c r="B126">
        <v>6</v>
      </c>
      <c r="C126" t="s">
        <v>217</v>
      </c>
      <c r="D126" t="s">
        <v>193</v>
      </c>
      <c r="E126" t="s">
        <v>218</v>
      </c>
      <c r="G126" t="s">
        <v>285</v>
      </c>
      <c r="H126" t="s">
        <v>282</v>
      </c>
      <c r="I126">
        <v>411.10232510027902</v>
      </c>
      <c r="J126">
        <v>0.60399047200318101</v>
      </c>
      <c r="L126" t="s">
        <v>195</v>
      </c>
      <c r="M126" t="s">
        <v>195</v>
      </c>
    </row>
    <row r="127" spans="2:13" x14ac:dyDescent="0.25">
      <c r="B127">
        <v>6</v>
      </c>
      <c r="C127" t="s">
        <v>217</v>
      </c>
      <c r="D127" t="s">
        <v>193</v>
      </c>
      <c r="E127" t="s">
        <v>218</v>
      </c>
      <c r="G127" t="s">
        <v>286</v>
      </c>
      <c r="H127" t="s">
        <v>282</v>
      </c>
      <c r="I127">
        <v>6.5279805073155304</v>
      </c>
      <c r="J127">
        <v>4.6673905862230596</v>
      </c>
      <c r="L127" t="s">
        <v>223</v>
      </c>
      <c r="M127" t="s">
        <v>223</v>
      </c>
    </row>
    <row r="128" spans="2:13" x14ac:dyDescent="0.25">
      <c r="B128">
        <v>6</v>
      </c>
      <c r="C128" t="s">
        <v>217</v>
      </c>
      <c r="D128" t="s">
        <v>193</v>
      </c>
      <c r="E128" t="s">
        <v>218</v>
      </c>
      <c r="G128" t="s">
        <v>286</v>
      </c>
      <c r="H128" t="s">
        <v>282</v>
      </c>
      <c r="I128">
        <v>22.984587446987199</v>
      </c>
      <c r="J128">
        <v>4.37269510052427</v>
      </c>
      <c r="L128" t="s">
        <v>223</v>
      </c>
      <c r="M128" t="s">
        <v>223</v>
      </c>
    </row>
    <row r="129" spans="2:13" x14ac:dyDescent="0.25">
      <c r="B129">
        <v>6</v>
      </c>
      <c r="C129" t="s">
        <v>217</v>
      </c>
      <c r="D129" t="s">
        <v>193</v>
      </c>
      <c r="E129" t="s">
        <v>218</v>
      </c>
      <c r="G129" t="s">
        <v>286</v>
      </c>
      <c r="H129" t="s">
        <v>282</v>
      </c>
      <c r="I129">
        <v>52.576689231901099</v>
      </c>
      <c r="J129">
        <v>3.6957020000897001</v>
      </c>
      <c r="L129" t="s">
        <v>223</v>
      </c>
      <c r="M129" t="s">
        <v>223</v>
      </c>
    </row>
    <row r="130" spans="2:13" x14ac:dyDescent="0.25">
      <c r="B130">
        <v>6</v>
      </c>
      <c r="C130" t="s">
        <v>217</v>
      </c>
      <c r="D130" t="s">
        <v>193</v>
      </c>
      <c r="E130" t="s">
        <v>218</v>
      </c>
      <c r="G130" t="s">
        <v>286</v>
      </c>
      <c r="H130" t="s">
        <v>282</v>
      </c>
      <c r="I130">
        <v>75.620352385440398</v>
      </c>
      <c r="J130">
        <v>3.3986876281497</v>
      </c>
      <c r="L130" t="s">
        <v>223</v>
      </c>
      <c r="M130" t="s">
        <v>223</v>
      </c>
    </row>
    <row r="131" spans="2:13" x14ac:dyDescent="0.25">
      <c r="B131">
        <v>6</v>
      </c>
      <c r="C131" t="s">
        <v>217</v>
      </c>
      <c r="D131" t="s">
        <v>193</v>
      </c>
      <c r="E131" t="s">
        <v>218</v>
      </c>
      <c r="G131" t="s">
        <v>286</v>
      </c>
      <c r="H131" t="s">
        <v>282</v>
      </c>
      <c r="I131">
        <v>100.319054788695</v>
      </c>
      <c r="J131">
        <v>3.1552965824260299</v>
      </c>
      <c r="L131" t="s">
        <v>223</v>
      </c>
      <c r="M131" t="s">
        <v>223</v>
      </c>
    </row>
    <row r="132" spans="2:13" x14ac:dyDescent="0.25">
      <c r="B132">
        <v>6</v>
      </c>
      <c r="C132" t="s">
        <v>217</v>
      </c>
      <c r="D132" t="s">
        <v>193</v>
      </c>
      <c r="E132" t="s">
        <v>218</v>
      </c>
      <c r="G132" t="s">
        <v>286</v>
      </c>
      <c r="H132" t="s">
        <v>282</v>
      </c>
      <c r="I132">
        <v>129.977358143597</v>
      </c>
      <c r="J132">
        <v>2.9855645911320399</v>
      </c>
      <c r="L132" t="s">
        <v>223</v>
      </c>
      <c r="M132" t="s">
        <v>223</v>
      </c>
    </row>
    <row r="133" spans="2:13" x14ac:dyDescent="0.25">
      <c r="B133">
        <v>6</v>
      </c>
      <c r="C133" t="s">
        <v>217</v>
      </c>
      <c r="D133" t="s">
        <v>193</v>
      </c>
      <c r="E133" t="s">
        <v>218</v>
      </c>
      <c r="G133" t="s">
        <v>286</v>
      </c>
      <c r="H133" t="s">
        <v>282</v>
      </c>
      <c r="I133">
        <v>151.239095704943</v>
      </c>
      <c r="J133">
        <v>2.1904614798103599</v>
      </c>
      <c r="L133" t="s">
        <v>223</v>
      </c>
      <c r="M133" t="s">
        <v>223</v>
      </c>
    </row>
    <row r="134" spans="2:13" x14ac:dyDescent="0.25">
      <c r="B134">
        <v>6</v>
      </c>
      <c r="C134" t="s">
        <v>217</v>
      </c>
      <c r="D134" t="s">
        <v>193</v>
      </c>
      <c r="E134" t="s">
        <v>218</v>
      </c>
      <c r="G134" t="s">
        <v>286</v>
      </c>
      <c r="H134" t="s">
        <v>282</v>
      </c>
      <c r="I134">
        <v>221.98099003528401</v>
      </c>
      <c r="J134">
        <v>1.5951473665038101</v>
      </c>
      <c r="L134" t="s">
        <v>223</v>
      </c>
      <c r="M134" t="s">
        <v>223</v>
      </c>
    </row>
    <row r="135" spans="2:13" x14ac:dyDescent="0.25">
      <c r="B135">
        <v>6</v>
      </c>
      <c r="C135" t="s">
        <v>217</v>
      </c>
      <c r="D135" t="s">
        <v>193</v>
      </c>
      <c r="E135" t="s">
        <v>218</v>
      </c>
      <c r="G135" t="s">
        <v>286</v>
      </c>
      <c r="H135" t="s">
        <v>282</v>
      </c>
      <c r="I135">
        <v>273.07205167400298</v>
      </c>
      <c r="J135">
        <v>1.4824468347644799</v>
      </c>
      <c r="L135" t="s">
        <v>223</v>
      </c>
      <c r="M135" t="s">
        <v>223</v>
      </c>
    </row>
    <row r="136" spans="2:13" x14ac:dyDescent="0.25">
      <c r="B136">
        <v>6</v>
      </c>
      <c r="C136" t="s">
        <v>217</v>
      </c>
      <c r="D136" t="s">
        <v>193</v>
      </c>
      <c r="E136" t="s">
        <v>218</v>
      </c>
      <c r="G136" t="s">
        <v>286</v>
      </c>
      <c r="H136" t="s">
        <v>282</v>
      </c>
      <c r="I136">
        <v>366.65348765041801</v>
      </c>
      <c r="J136">
        <v>0.700900667213472</v>
      </c>
      <c r="L136" t="s">
        <v>223</v>
      </c>
      <c r="M136" t="s">
        <v>223</v>
      </c>
    </row>
    <row r="137" spans="2:13" x14ac:dyDescent="0.25">
      <c r="B137">
        <v>6</v>
      </c>
      <c r="C137" t="s">
        <v>217</v>
      </c>
      <c r="D137" t="s">
        <v>193</v>
      </c>
      <c r="E137" t="s">
        <v>218</v>
      </c>
      <c r="G137" t="s">
        <v>286</v>
      </c>
      <c r="H137" t="s">
        <v>282</v>
      </c>
      <c r="I137">
        <v>416.045375659429</v>
      </c>
      <c r="J137">
        <v>0.59844990406593601</v>
      </c>
      <c r="L137" t="s">
        <v>223</v>
      </c>
      <c r="M137" t="s">
        <v>223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EF519-68FA-423C-9E0E-2F733BA7D429}">
  <dimension ref="A1:V13"/>
  <sheetViews>
    <sheetView workbookViewId="0">
      <selection activeCell="R2" sqref="R2:S13"/>
    </sheetView>
  </sheetViews>
  <sheetFormatPr defaultRowHeight="15" x14ac:dyDescent="0.25"/>
  <cols>
    <col min="7" max="7" width="10.85546875" bestFit="1" customWidth="1"/>
    <col min="10" max="10" width="27.5703125" bestFit="1" customWidth="1"/>
    <col min="11" max="11" width="12.42578125" bestFit="1" customWidth="1"/>
  </cols>
  <sheetData>
    <row r="1" spans="1:22" x14ac:dyDescent="0.25">
      <c r="A1" s="22" t="s">
        <v>174</v>
      </c>
      <c r="B1" s="22" t="s">
        <v>175</v>
      </c>
      <c r="C1" s="22" t="s">
        <v>176</v>
      </c>
      <c r="D1" s="22" t="s">
        <v>177</v>
      </c>
      <c r="E1" s="22" t="s">
        <v>178</v>
      </c>
      <c r="F1" s="22" t="s">
        <v>179</v>
      </c>
      <c r="G1" s="22" t="s">
        <v>180</v>
      </c>
      <c r="H1" s="22" t="s">
        <v>181</v>
      </c>
      <c r="I1" s="22" t="s">
        <v>0</v>
      </c>
      <c r="J1" s="23" t="s">
        <v>222</v>
      </c>
      <c r="K1" s="22" t="s">
        <v>221</v>
      </c>
      <c r="L1" s="22" t="s">
        <v>182</v>
      </c>
      <c r="M1" t="s">
        <v>183</v>
      </c>
      <c r="V1" t="s">
        <v>133</v>
      </c>
    </row>
    <row r="2" spans="1:22" x14ac:dyDescent="0.25">
      <c r="C2" t="s">
        <v>192</v>
      </c>
      <c r="D2" t="s">
        <v>193</v>
      </c>
      <c r="E2" t="s">
        <v>194</v>
      </c>
      <c r="G2" t="s">
        <v>289</v>
      </c>
      <c r="H2" t="s">
        <v>206</v>
      </c>
      <c r="I2">
        <v>484</v>
      </c>
      <c r="J2">
        <f>$V$2*R2/100</f>
        <v>1.3657198858708443E-2</v>
      </c>
      <c r="K2">
        <f>$V$2*S2/100</f>
        <v>8.1412971374903429E-4</v>
      </c>
      <c r="L2" t="s">
        <v>223</v>
      </c>
      <c r="M2" t="s">
        <v>288</v>
      </c>
      <c r="Q2">
        <v>3.5389393999400101</v>
      </c>
      <c r="R2">
        <v>5.9379125472645402</v>
      </c>
      <c r="S2">
        <f>ABS(U2-R2)</f>
        <v>0.35396944076044967</v>
      </c>
      <c r="T2">
        <v>3.3745480879665402</v>
      </c>
      <c r="U2">
        <v>6.2918819880249899</v>
      </c>
      <c r="V2">
        <v>0.23</v>
      </c>
    </row>
    <row r="3" spans="1:22" x14ac:dyDescent="0.25">
      <c r="C3" t="s">
        <v>192</v>
      </c>
      <c r="D3" t="s">
        <v>193</v>
      </c>
      <c r="E3" t="s">
        <v>194</v>
      </c>
      <c r="G3" t="s">
        <v>289</v>
      </c>
      <c r="H3" t="s">
        <v>206</v>
      </c>
      <c r="I3">
        <v>488</v>
      </c>
      <c r="J3">
        <f t="shared" ref="J3:K13" si="0">$V$2*R3/100</f>
        <v>9.3475705055191469E-3</v>
      </c>
      <c r="K3">
        <f t="shared" si="0"/>
        <v>7.1459339003288904E-4</v>
      </c>
      <c r="L3" t="s">
        <v>223</v>
      </c>
      <c r="M3" t="s">
        <v>288</v>
      </c>
      <c r="Q3">
        <v>7.3800474118665296</v>
      </c>
      <c r="R3">
        <v>4.0641610893561504</v>
      </c>
      <c r="S3">
        <f t="shared" ref="S3:S13" si="1">ABS(U3-R3)</f>
        <v>0.31069277827516917</v>
      </c>
      <c r="T3">
        <v>7.6892768841690602</v>
      </c>
      <c r="U3">
        <v>4.3748538676313196</v>
      </c>
    </row>
    <row r="4" spans="1:22" x14ac:dyDescent="0.25">
      <c r="C4" t="s">
        <v>192</v>
      </c>
      <c r="D4" t="s">
        <v>193</v>
      </c>
      <c r="E4" t="s">
        <v>194</v>
      </c>
      <c r="G4" t="s">
        <v>289</v>
      </c>
      <c r="H4" t="s">
        <v>206</v>
      </c>
      <c r="I4">
        <v>504</v>
      </c>
      <c r="J4">
        <f t="shared" si="0"/>
        <v>5.3460216100827528E-3</v>
      </c>
      <c r="K4">
        <f t="shared" si="0"/>
        <v>2.8909710089141598E-4</v>
      </c>
      <c r="L4" t="s">
        <v>223</v>
      </c>
      <c r="M4" t="s">
        <v>288</v>
      </c>
      <c r="Q4">
        <v>23.437711104447501</v>
      </c>
      <c r="R4">
        <v>2.3243572217751098</v>
      </c>
      <c r="S4">
        <f t="shared" si="1"/>
        <v>0.12569439169191998</v>
      </c>
      <c r="T4">
        <v>22.7986127219956</v>
      </c>
      <c r="U4">
        <v>2.4500516134670298</v>
      </c>
    </row>
    <row r="5" spans="1:22" x14ac:dyDescent="0.25">
      <c r="C5" t="s">
        <v>192</v>
      </c>
      <c r="D5" t="s">
        <v>193</v>
      </c>
      <c r="E5" t="s">
        <v>194</v>
      </c>
      <c r="G5" t="s">
        <v>289</v>
      </c>
      <c r="H5" t="s">
        <v>206</v>
      </c>
      <c r="I5">
        <v>528</v>
      </c>
      <c r="J5">
        <f t="shared" si="0"/>
        <v>2.6934510183992109E-3</v>
      </c>
      <c r="K5">
        <f t="shared" si="0"/>
        <v>1.1577936044538769E-4</v>
      </c>
      <c r="L5" t="s">
        <v>223</v>
      </c>
      <c r="M5" t="s">
        <v>288</v>
      </c>
      <c r="Q5">
        <v>47.746080600173102</v>
      </c>
      <c r="R5">
        <v>1.1710656601735701</v>
      </c>
      <c r="S5">
        <f t="shared" si="1"/>
        <v>5.0338852367559861E-2</v>
      </c>
      <c r="T5">
        <v>48.058568931083002</v>
      </c>
      <c r="U5">
        <v>1.2214045125411299</v>
      </c>
    </row>
    <row r="6" spans="1:22" x14ac:dyDescent="0.25">
      <c r="C6" t="s">
        <v>192</v>
      </c>
      <c r="D6" t="s">
        <v>193</v>
      </c>
      <c r="E6" t="s">
        <v>194</v>
      </c>
      <c r="G6" t="s">
        <v>289</v>
      </c>
      <c r="H6" t="s">
        <v>206</v>
      </c>
      <c r="I6">
        <v>552</v>
      </c>
      <c r="J6">
        <f t="shared" si="0"/>
        <v>1.3148405548501641E-3</v>
      </c>
      <c r="K6">
        <f t="shared" si="0"/>
        <v>1.5364470204870908E-4</v>
      </c>
      <c r="L6" t="s">
        <v>223</v>
      </c>
      <c r="M6" t="s">
        <v>288</v>
      </c>
      <c r="Q6">
        <v>72.057708954506097</v>
      </c>
      <c r="R6">
        <v>0.57166980645659304</v>
      </c>
      <c r="S6">
        <f t="shared" si="1"/>
        <v>6.6802044369003943E-2</v>
      </c>
      <c r="T6">
        <v>72.204719687240001</v>
      </c>
      <c r="U6">
        <v>0.63847185082559699</v>
      </c>
    </row>
    <row r="7" spans="1:22" x14ac:dyDescent="0.25">
      <c r="C7" t="s">
        <v>192</v>
      </c>
      <c r="D7" t="s">
        <v>193</v>
      </c>
      <c r="E7" t="s">
        <v>194</v>
      </c>
      <c r="G7" t="s">
        <v>289</v>
      </c>
      <c r="H7" t="s">
        <v>206</v>
      </c>
      <c r="I7">
        <v>576</v>
      </c>
      <c r="J7">
        <f t="shared" si="0"/>
        <v>7.0565350855240655E-4</v>
      </c>
      <c r="K7">
        <f t="shared" si="0"/>
        <v>7.8287563697308874E-5</v>
      </c>
      <c r="L7" t="s">
        <v>223</v>
      </c>
      <c r="M7" t="s">
        <v>288</v>
      </c>
      <c r="Q7">
        <v>95.884310519437093</v>
      </c>
      <c r="R7">
        <v>0.306805873283655</v>
      </c>
      <c r="S7">
        <f t="shared" si="1"/>
        <v>3.403807117274299E-2</v>
      </c>
      <c r="T7">
        <v>96.823948084571896</v>
      </c>
      <c r="U7">
        <v>0.34084394445639798</v>
      </c>
    </row>
    <row r="8" spans="1:22" x14ac:dyDescent="0.25">
      <c r="C8" t="s">
        <v>192</v>
      </c>
      <c r="D8" t="s">
        <v>193</v>
      </c>
      <c r="E8" t="s">
        <v>194</v>
      </c>
      <c r="G8" t="s">
        <v>291</v>
      </c>
      <c r="H8" t="s">
        <v>206</v>
      </c>
      <c r="I8">
        <v>484</v>
      </c>
      <c r="J8">
        <f t="shared" si="0"/>
        <v>7.4168765022247255E-3</v>
      </c>
      <c r="K8">
        <f t="shared" si="0"/>
        <v>1.0874986847092998E-3</v>
      </c>
      <c r="L8" t="s">
        <v>223</v>
      </c>
      <c r="M8" t="s">
        <v>290</v>
      </c>
      <c r="Q8">
        <v>3.4435272618232502</v>
      </c>
      <c r="R8">
        <v>3.22472891401075</v>
      </c>
      <c r="S8">
        <f t="shared" si="1"/>
        <v>0.4728255150909999</v>
      </c>
      <c r="T8">
        <v>3.7462390169109798</v>
      </c>
      <c r="U8">
        <v>3.6975544291017499</v>
      </c>
    </row>
    <row r="9" spans="1:22" x14ac:dyDescent="0.25">
      <c r="C9" t="s">
        <v>192</v>
      </c>
      <c r="D9" t="s">
        <v>193</v>
      </c>
      <c r="E9" t="s">
        <v>194</v>
      </c>
      <c r="G9" t="s">
        <v>291</v>
      </c>
      <c r="H9" t="s">
        <v>206</v>
      </c>
      <c r="I9">
        <v>488</v>
      </c>
      <c r="J9">
        <f t="shared" si="0"/>
        <v>5.2666641378860627E-3</v>
      </c>
      <c r="K9">
        <f t="shared" si="0"/>
        <v>3.1410054320964317E-4</v>
      </c>
      <c r="L9" t="s">
        <v>223</v>
      </c>
      <c r="M9" t="s">
        <v>290</v>
      </c>
      <c r="Q9">
        <v>8.2313336992005599</v>
      </c>
      <c r="R9">
        <v>2.28985397299394</v>
      </c>
      <c r="S9">
        <f t="shared" si="1"/>
        <v>0.13656545356941008</v>
      </c>
      <c r="T9">
        <v>7.5916921736473704</v>
      </c>
      <c r="U9">
        <v>2.4264194265633501</v>
      </c>
    </row>
    <row r="10" spans="1:22" x14ac:dyDescent="0.25">
      <c r="C10" t="s">
        <v>192</v>
      </c>
      <c r="D10" t="s">
        <v>193</v>
      </c>
      <c r="E10" t="s">
        <v>194</v>
      </c>
      <c r="G10" t="s">
        <v>291</v>
      </c>
      <c r="H10" t="s">
        <v>206</v>
      </c>
      <c r="I10">
        <v>504</v>
      </c>
      <c r="J10">
        <f t="shared" si="0"/>
        <v>2.364602141278658E-3</v>
      </c>
      <c r="K10">
        <f t="shared" si="0"/>
        <v>1.941095636401751E-4</v>
      </c>
      <c r="L10" t="s">
        <v>223</v>
      </c>
      <c r="M10" t="s">
        <v>290</v>
      </c>
      <c r="Q10">
        <v>22.888231333699199</v>
      </c>
      <c r="R10">
        <v>1.0280878875124599</v>
      </c>
      <c r="S10">
        <f t="shared" si="1"/>
        <v>8.4395462452250047E-2</v>
      </c>
      <c r="T10">
        <v>23.830584614340101</v>
      </c>
      <c r="U10">
        <v>1.11248334996471</v>
      </c>
    </row>
    <row r="11" spans="1:22" x14ac:dyDescent="0.25">
      <c r="C11" t="s">
        <v>192</v>
      </c>
      <c r="D11" t="s">
        <v>193</v>
      </c>
      <c r="E11" t="s">
        <v>194</v>
      </c>
      <c r="G11" t="s">
        <v>291</v>
      </c>
      <c r="H11" t="s">
        <v>206</v>
      </c>
      <c r="I11">
        <v>528</v>
      </c>
      <c r="J11">
        <f t="shared" si="0"/>
        <v>9.1566160185624541E-4</v>
      </c>
      <c r="K11">
        <f t="shared" si="0"/>
        <v>1.2873840848257403E-4</v>
      </c>
      <c r="L11" t="s">
        <v>223</v>
      </c>
      <c r="M11" t="s">
        <v>290</v>
      </c>
      <c r="Q11">
        <v>47.857424935925998</v>
      </c>
      <c r="R11">
        <v>0.39811373993749799</v>
      </c>
      <c r="S11">
        <f t="shared" si="1"/>
        <v>5.597322107938002E-2</v>
      </c>
      <c r="T11">
        <v>48.319096571974903</v>
      </c>
      <c r="U11">
        <v>0.45408696101687801</v>
      </c>
    </row>
    <row r="12" spans="1:22" x14ac:dyDescent="0.25">
      <c r="C12" t="s">
        <v>192</v>
      </c>
      <c r="D12" t="s">
        <v>193</v>
      </c>
      <c r="E12" t="s">
        <v>194</v>
      </c>
      <c r="G12" t="s">
        <v>291</v>
      </c>
      <c r="H12" t="s">
        <v>206</v>
      </c>
      <c r="I12">
        <v>552</v>
      </c>
      <c r="J12">
        <f t="shared" si="0"/>
        <v>4.1964456254438162E-4</v>
      </c>
      <c r="K12">
        <f t="shared" si="0"/>
        <v>4.9025037793054086E-5</v>
      </c>
      <c r="L12" t="s">
        <v>223</v>
      </c>
      <c r="M12" t="s">
        <v>290</v>
      </c>
      <c r="Q12">
        <v>71.700320793894093</v>
      </c>
      <c r="R12">
        <v>0.182454157627992</v>
      </c>
      <c r="S12">
        <f t="shared" si="1"/>
        <v>2.1315233823066992E-2</v>
      </c>
      <c r="T12">
        <v>72.322581740207795</v>
      </c>
      <c r="U12">
        <v>0.20376939145105899</v>
      </c>
    </row>
    <row r="13" spans="1:22" x14ac:dyDescent="0.25">
      <c r="C13" t="s">
        <v>192</v>
      </c>
      <c r="D13" t="s">
        <v>193</v>
      </c>
      <c r="E13" t="s">
        <v>194</v>
      </c>
      <c r="G13" t="s">
        <v>291</v>
      </c>
      <c r="H13" t="s">
        <v>206</v>
      </c>
      <c r="I13">
        <v>576</v>
      </c>
      <c r="J13">
        <f t="shared" si="0"/>
        <v>2.3121169175368002E-4</v>
      </c>
      <c r="K13">
        <f t="shared" si="0"/>
        <v>2.4311936134863412E-5</v>
      </c>
      <c r="L13" t="s">
        <v>223</v>
      </c>
      <c r="M13" t="s">
        <v>290</v>
      </c>
      <c r="Q13">
        <v>96.316290332618493</v>
      </c>
      <c r="R13">
        <v>0.1005268225016</v>
      </c>
      <c r="S13">
        <f t="shared" si="1"/>
        <v>1.0570407015158004E-2</v>
      </c>
      <c r="T13">
        <v>96.622804089414899</v>
      </c>
      <c r="U13">
        <v>0.111097229516758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DED00-0BD6-44B8-9ADC-DCE27230EF2F}">
  <dimension ref="A1:V13"/>
  <sheetViews>
    <sheetView workbookViewId="0">
      <selection activeCell="M8" sqref="M8"/>
    </sheetView>
  </sheetViews>
  <sheetFormatPr defaultRowHeight="15" x14ac:dyDescent="0.25"/>
  <sheetData>
    <row r="1" spans="1:22" x14ac:dyDescent="0.25">
      <c r="A1" s="22" t="s">
        <v>174</v>
      </c>
      <c r="B1" s="22" t="s">
        <v>175</v>
      </c>
      <c r="C1" s="22" t="s">
        <v>176</v>
      </c>
      <c r="D1" s="22" t="s">
        <v>177</v>
      </c>
      <c r="E1" s="22" t="s">
        <v>178</v>
      </c>
      <c r="F1" s="22" t="s">
        <v>179</v>
      </c>
      <c r="G1" s="22" t="s">
        <v>180</v>
      </c>
      <c r="H1" s="22" t="s">
        <v>181</v>
      </c>
      <c r="I1" s="22" t="s">
        <v>14</v>
      </c>
      <c r="J1" s="23" t="s">
        <v>222</v>
      </c>
      <c r="K1" s="22" t="s">
        <v>221</v>
      </c>
      <c r="L1" s="22" t="s">
        <v>182</v>
      </c>
      <c r="M1" t="s">
        <v>183</v>
      </c>
      <c r="V1" t="s">
        <v>133</v>
      </c>
    </row>
    <row r="2" spans="1:22" x14ac:dyDescent="0.25">
      <c r="C2" t="s">
        <v>192</v>
      </c>
      <c r="D2" t="s">
        <v>193</v>
      </c>
      <c r="E2" t="s">
        <v>194</v>
      </c>
      <c r="H2" t="s">
        <v>206</v>
      </c>
      <c r="I2">
        <f>4*24*60+Q2</f>
        <v>5766.448754355225</v>
      </c>
      <c r="J2">
        <f>$V$2*R2/100</f>
        <v>6.9116736820198808E-3</v>
      </c>
      <c r="L2" t="s">
        <v>195</v>
      </c>
      <c r="M2" t="s">
        <v>288</v>
      </c>
      <c r="Q2">
        <v>6.44875435522526</v>
      </c>
      <c r="R2">
        <v>6.9116736820198801</v>
      </c>
      <c r="V2">
        <v>0.1</v>
      </c>
    </row>
    <row r="3" spans="1:22" x14ac:dyDescent="0.25">
      <c r="C3" t="s">
        <v>192</v>
      </c>
      <c r="D3" t="s">
        <v>193</v>
      </c>
      <c r="E3" t="s">
        <v>194</v>
      </c>
      <c r="H3" t="s">
        <v>206</v>
      </c>
      <c r="I3">
        <f t="shared" ref="I3:I7" si="0">4*24*60+Q3</f>
        <v>5775.4198135057295</v>
      </c>
      <c r="J3">
        <f t="shared" ref="J3:J7" si="1">$V$2*R3/100</f>
        <v>5.7701515182029903E-3</v>
      </c>
      <c r="M3" t="s">
        <v>288</v>
      </c>
      <c r="Q3">
        <v>15.419813505729699</v>
      </c>
      <c r="R3">
        <v>5.7701515182029901</v>
      </c>
    </row>
    <row r="4" spans="1:22" x14ac:dyDescent="0.25">
      <c r="C4" t="s">
        <v>192</v>
      </c>
      <c r="D4" t="s">
        <v>193</v>
      </c>
      <c r="E4" t="s">
        <v>194</v>
      </c>
      <c r="H4" t="s">
        <v>206</v>
      </c>
      <c r="I4">
        <f t="shared" si="0"/>
        <v>5789.8253881940664</v>
      </c>
      <c r="J4">
        <f t="shared" si="1"/>
        <v>5.0937237763411403E-3</v>
      </c>
      <c r="M4" t="s">
        <v>288</v>
      </c>
      <c r="Q4">
        <v>29.8253881940668</v>
      </c>
      <c r="R4">
        <v>5.0937237763411396</v>
      </c>
    </row>
    <row r="5" spans="1:22" x14ac:dyDescent="0.25">
      <c r="C5" t="s">
        <v>192</v>
      </c>
      <c r="D5" t="s">
        <v>193</v>
      </c>
      <c r="E5" t="s">
        <v>194</v>
      </c>
      <c r="H5" t="s">
        <v>206</v>
      </c>
      <c r="I5">
        <f t="shared" si="0"/>
        <v>5820.2920266650553</v>
      </c>
      <c r="J5">
        <f t="shared" si="1"/>
        <v>4.4375432165898003E-3</v>
      </c>
      <c r="M5" t="s">
        <v>288</v>
      </c>
      <c r="Q5">
        <v>60.292026665055403</v>
      </c>
      <c r="R5">
        <v>4.4375432165898001</v>
      </c>
    </row>
    <row r="6" spans="1:22" x14ac:dyDescent="0.25">
      <c r="C6" t="s">
        <v>192</v>
      </c>
      <c r="D6" t="s">
        <v>193</v>
      </c>
      <c r="E6" t="s">
        <v>194</v>
      </c>
      <c r="H6" t="s">
        <v>206</v>
      </c>
      <c r="I6">
        <f t="shared" si="0"/>
        <v>5850.5838519324107</v>
      </c>
      <c r="J6">
        <f t="shared" si="1"/>
        <v>3.9063366429688707E-3</v>
      </c>
      <c r="M6" t="s">
        <v>288</v>
      </c>
      <c r="Q6">
        <v>90.583851932410894</v>
      </c>
      <c r="R6">
        <v>3.9063366429688702</v>
      </c>
    </row>
    <row r="7" spans="1:22" x14ac:dyDescent="0.25">
      <c r="C7" t="s">
        <v>192</v>
      </c>
      <c r="D7" t="s">
        <v>193</v>
      </c>
      <c r="E7" t="s">
        <v>194</v>
      </c>
      <c r="H7" t="s">
        <v>206</v>
      </c>
      <c r="I7">
        <f t="shared" si="0"/>
        <v>5880.5115501580967</v>
      </c>
      <c r="J7">
        <f t="shared" si="1"/>
        <v>3.3036473123476905E-3</v>
      </c>
      <c r="M7" t="s">
        <v>288</v>
      </c>
      <c r="Q7">
        <v>120.51155015809699</v>
      </c>
      <c r="R7">
        <v>3.3036473123476902</v>
      </c>
    </row>
    <row r="8" spans="1:22" x14ac:dyDescent="0.25">
      <c r="C8" t="s">
        <v>192</v>
      </c>
      <c r="D8" t="s">
        <v>193</v>
      </c>
      <c r="E8" t="s">
        <v>194</v>
      </c>
      <c r="H8" t="s">
        <v>206</v>
      </c>
      <c r="I8">
        <f t="shared" ref="I8:I13" si="2">4*24*60+Q8</f>
        <v>5765.1251686705737</v>
      </c>
      <c r="J8">
        <f t="shared" ref="J8:J13" si="3">$V$2*R8/100</f>
        <v>5.5721910055787109E-3</v>
      </c>
      <c r="M8" t="s">
        <v>292</v>
      </c>
      <c r="Q8">
        <v>5.12516867057378</v>
      </c>
      <c r="R8">
        <v>5.5721910055787101</v>
      </c>
    </row>
    <row r="9" spans="1:22" x14ac:dyDescent="0.25">
      <c r="C9" t="s">
        <v>192</v>
      </c>
      <c r="D9" t="s">
        <v>193</v>
      </c>
      <c r="E9" t="s">
        <v>194</v>
      </c>
      <c r="H9" t="s">
        <v>206</v>
      </c>
      <c r="I9">
        <f t="shared" si="2"/>
        <v>5775.5269570821501</v>
      </c>
      <c r="J9">
        <f t="shared" si="3"/>
        <v>4.1451674621875798E-3</v>
      </c>
      <c r="M9" t="s">
        <v>292</v>
      </c>
      <c r="Q9">
        <v>15.5269570821501</v>
      </c>
      <c r="R9">
        <v>4.1451674621875796</v>
      </c>
    </row>
    <row r="10" spans="1:22" x14ac:dyDescent="0.25">
      <c r="C10" t="s">
        <v>192</v>
      </c>
      <c r="D10" t="s">
        <v>193</v>
      </c>
      <c r="E10" t="s">
        <v>194</v>
      </c>
      <c r="H10" t="s">
        <v>206</v>
      </c>
      <c r="I10">
        <f t="shared" si="2"/>
        <v>5790.2886029041547</v>
      </c>
      <c r="J10">
        <f t="shared" si="3"/>
        <v>3.3616498499587102E-3</v>
      </c>
      <c r="M10" t="s">
        <v>292</v>
      </c>
      <c r="Q10">
        <v>30.2886029041548</v>
      </c>
      <c r="R10">
        <v>3.36164984995871</v>
      </c>
    </row>
    <row r="11" spans="1:22" x14ac:dyDescent="0.25">
      <c r="C11" t="s">
        <v>192</v>
      </c>
      <c r="D11" t="s">
        <v>193</v>
      </c>
      <c r="E11" t="s">
        <v>194</v>
      </c>
      <c r="H11" t="s">
        <v>206</v>
      </c>
      <c r="I11">
        <f t="shared" si="2"/>
        <v>5819.8610355869732</v>
      </c>
      <c r="J11">
        <f t="shared" si="3"/>
        <v>2.8839076524412705E-3</v>
      </c>
      <c r="M11" t="s">
        <v>292</v>
      </c>
      <c r="Q11">
        <v>59.8610355869735</v>
      </c>
      <c r="R11">
        <v>2.8839076524412701</v>
      </c>
    </row>
    <row r="12" spans="1:22" x14ac:dyDescent="0.25">
      <c r="C12" t="s">
        <v>192</v>
      </c>
      <c r="D12" t="s">
        <v>193</v>
      </c>
      <c r="E12" t="s">
        <v>194</v>
      </c>
      <c r="H12" t="s">
        <v>206</v>
      </c>
      <c r="I12">
        <f t="shared" si="2"/>
        <v>5850.3365355567639</v>
      </c>
      <c r="J12">
        <f t="shared" si="3"/>
        <v>2.4241569827939203E-3</v>
      </c>
      <c r="M12" t="s">
        <v>292</v>
      </c>
      <c r="Q12">
        <v>90.336535556763906</v>
      </c>
      <c r="R12">
        <v>2.42415698279392</v>
      </c>
    </row>
    <row r="13" spans="1:22" x14ac:dyDescent="0.25">
      <c r="C13" t="s">
        <v>192</v>
      </c>
      <c r="D13" t="s">
        <v>193</v>
      </c>
      <c r="E13" t="s">
        <v>194</v>
      </c>
      <c r="H13" t="s">
        <v>206</v>
      </c>
      <c r="I13">
        <f t="shared" si="2"/>
        <v>5881.1809961130239</v>
      </c>
      <c r="J13">
        <f t="shared" si="3"/>
        <v>2.14303264656717E-3</v>
      </c>
      <c r="M13" t="s">
        <v>292</v>
      </c>
      <c r="Q13">
        <v>121.18099611302399</v>
      </c>
      <c r="R13">
        <v>2.1430326465671699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121D-D97F-4831-BCCA-E3181FD94A09}">
  <dimension ref="A1:V9"/>
  <sheetViews>
    <sheetView workbookViewId="0">
      <selection sqref="A1:N2"/>
    </sheetView>
  </sheetViews>
  <sheetFormatPr defaultRowHeight="15" x14ac:dyDescent="0.25"/>
  <cols>
    <col min="1" max="1" width="7.5703125" bestFit="1" customWidth="1"/>
    <col min="3" max="3" width="11.85546875" bestFit="1" customWidth="1"/>
    <col min="4" max="4" width="12.42578125" bestFit="1" customWidth="1"/>
    <col min="5" max="5" width="6.85546875" bestFit="1" customWidth="1"/>
    <col min="6" max="6" width="7" bestFit="1" customWidth="1"/>
    <col min="7" max="7" width="10" bestFit="1" customWidth="1"/>
    <col min="8" max="8" width="8.42578125" bestFit="1" customWidth="1"/>
    <col min="9" max="9" width="9.85546875" bestFit="1" customWidth="1"/>
    <col min="10" max="10" width="25.5703125" bestFit="1" customWidth="1"/>
    <col min="11" max="11" width="11.7109375" bestFit="1" customWidth="1"/>
    <col min="12" max="12" width="5.7109375" bestFit="1" customWidth="1"/>
    <col min="13" max="13" width="8.140625" bestFit="1" customWidth="1"/>
  </cols>
  <sheetData>
    <row r="1" spans="1:22" x14ac:dyDescent="0.25">
      <c r="A1" s="22" t="s">
        <v>174</v>
      </c>
      <c r="B1" s="22" t="s">
        <v>175</v>
      </c>
      <c r="C1" s="22" t="s">
        <v>176</v>
      </c>
      <c r="D1" s="22" t="s">
        <v>177</v>
      </c>
      <c r="E1" s="22" t="s">
        <v>178</v>
      </c>
      <c r="F1" s="22" t="s">
        <v>179</v>
      </c>
      <c r="G1" s="22" t="s">
        <v>180</v>
      </c>
      <c r="H1" s="22" t="s">
        <v>181</v>
      </c>
      <c r="I1" s="22" t="s">
        <v>14</v>
      </c>
      <c r="J1" s="23" t="s">
        <v>222</v>
      </c>
      <c r="K1" s="22" t="s">
        <v>221</v>
      </c>
      <c r="L1" s="22" t="s">
        <v>182</v>
      </c>
      <c r="M1" t="s">
        <v>183</v>
      </c>
    </row>
    <row r="2" spans="1:22" x14ac:dyDescent="0.25">
      <c r="C2" t="s">
        <v>192</v>
      </c>
      <c r="D2" t="s">
        <v>193</v>
      </c>
      <c r="E2" t="s">
        <v>194</v>
      </c>
      <c r="H2" t="s">
        <v>206</v>
      </c>
      <c r="I2">
        <f>5*24*60+Q2*60</f>
        <v>7561.2113796267968</v>
      </c>
      <c r="J2">
        <f>$V$2*R2/100</f>
        <v>1.01353537331554E-3</v>
      </c>
      <c r="L2" t="s">
        <v>195</v>
      </c>
      <c r="M2" t="s">
        <v>288</v>
      </c>
      <c r="Q2">
        <v>6.0201896604466096</v>
      </c>
      <c r="R2">
        <v>2.5338384332888499</v>
      </c>
      <c r="V2">
        <v>0.04</v>
      </c>
    </row>
    <row r="3" spans="1:22" x14ac:dyDescent="0.25">
      <c r="C3" t="s">
        <v>192</v>
      </c>
      <c r="D3" t="s">
        <v>193</v>
      </c>
      <c r="E3" t="s">
        <v>194</v>
      </c>
      <c r="H3" t="s">
        <v>206</v>
      </c>
      <c r="I3">
        <f t="shared" ref="I3:I9" si="0">5*24*60+Q3*60</f>
        <v>8628.407850461268</v>
      </c>
      <c r="J3">
        <f t="shared" ref="J3:J9" si="1">$V$2*R3/100</f>
        <v>4.0397608186567207E-4</v>
      </c>
      <c r="L3" t="s">
        <v>195</v>
      </c>
      <c r="M3" t="s">
        <v>288</v>
      </c>
      <c r="Q3">
        <v>23.806797507687801</v>
      </c>
      <c r="R3">
        <v>1.0099402046641801</v>
      </c>
    </row>
    <row r="4" spans="1:22" x14ac:dyDescent="0.25">
      <c r="C4" t="s">
        <v>192</v>
      </c>
      <c r="D4" t="s">
        <v>193</v>
      </c>
      <c r="E4" t="s">
        <v>194</v>
      </c>
      <c r="H4" t="s">
        <v>206</v>
      </c>
      <c r="I4">
        <f t="shared" si="0"/>
        <v>9004.8513145819561</v>
      </c>
      <c r="J4">
        <f t="shared" si="1"/>
        <v>3.2933577845628835E-4</v>
      </c>
      <c r="L4" t="s">
        <v>195</v>
      </c>
      <c r="M4" t="s">
        <v>288</v>
      </c>
      <c r="Q4">
        <v>30.080855243032602</v>
      </c>
      <c r="R4">
        <v>0.82333944614072097</v>
      </c>
    </row>
    <row r="5" spans="1:22" x14ac:dyDescent="0.25">
      <c r="C5" t="s">
        <v>192</v>
      </c>
      <c r="D5" t="s">
        <v>193</v>
      </c>
      <c r="E5" t="s">
        <v>194</v>
      </c>
      <c r="H5" t="s">
        <v>206</v>
      </c>
      <c r="I5">
        <f t="shared" si="0"/>
        <v>10081.924296823428</v>
      </c>
      <c r="J5">
        <f t="shared" si="1"/>
        <v>1.465382528681112E-4</v>
      </c>
      <c r="L5" t="s">
        <v>195</v>
      </c>
      <c r="M5" t="s">
        <v>288</v>
      </c>
      <c r="Q5">
        <v>48.032071613723801</v>
      </c>
      <c r="R5">
        <v>0.36634563217027799</v>
      </c>
    </row>
    <row r="6" spans="1:22" x14ac:dyDescent="0.25">
      <c r="C6" t="s">
        <v>192</v>
      </c>
      <c r="D6" t="s">
        <v>193</v>
      </c>
      <c r="E6" t="s">
        <v>194</v>
      </c>
      <c r="H6" t="s">
        <v>206</v>
      </c>
      <c r="I6">
        <f t="shared" si="0"/>
        <v>7555.1139089694252</v>
      </c>
      <c r="J6">
        <f t="shared" si="1"/>
        <v>7.6262993052163611E-4</v>
      </c>
      <c r="L6" t="s">
        <v>195</v>
      </c>
      <c r="M6" t="s">
        <v>292</v>
      </c>
      <c r="Q6">
        <v>5.9185651494904201</v>
      </c>
      <c r="R6">
        <v>1.90657482630409</v>
      </c>
    </row>
    <row r="7" spans="1:22" x14ac:dyDescent="0.25">
      <c r="C7" t="s">
        <v>192</v>
      </c>
      <c r="D7" t="s">
        <v>193</v>
      </c>
      <c r="E7" t="s">
        <v>194</v>
      </c>
      <c r="H7" t="s">
        <v>206</v>
      </c>
      <c r="I7">
        <f t="shared" si="0"/>
        <v>8639.5131297193675</v>
      </c>
      <c r="J7">
        <f t="shared" si="1"/>
        <v>2.2868676940677161E-4</v>
      </c>
      <c r="L7" t="s">
        <v>195</v>
      </c>
      <c r="M7" t="s">
        <v>292</v>
      </c>
      <c r="Q7">
        <v>23.991885495322801</v>
      </c>
      <c r="R7">
        <v>0.57171692351692904</v>
      </c>
    </row>
    <row r="8" spans="1:22" x14ac:dyDescent="0.25">
      <c r="C8" t="s">
        <v>192</v>
      </c>
      <c r="D8" t="s">
        <v>193</v>
      </c>
      <c r="E8" t="s">
        <v>194</v>
      </c>
      <c r="H8" t="s">
        <v>206</v>
      </c>
      <c r="I8">
        <f t="shared" si="0"/>
        <v>9006.1728196293716</v>
      </c>
      <c r="J8">
        <f t="shared" si="1"/>
        <v>1.7009797332083961E-4</v>
      </c>
      <c r="L8" t="s">
        <v>195</v>
      </c>
      <c r="M8" t="s">
        <v>292</v>
      </c>
      <c r="Q8">
        <v>30.1028803271562</v>
      </c>
      <c r="R8">
        <v>0.425244933302099</v>
      </c>
    </row>
    <row r="9" spans="1:22" x14ac:dyDescent="0.25">
      <c r="C9" t="s">
        <v>192</v>
      </c>
      <c r="D9" t="s">
        <v>193</v>
      </c>
      <c r="E9" t="s">
        <v>194</v>
      </c>
      <c r="H9" t="s">
        <v>206</v>
      </c>
      <c r="I9">
        <f t="shared" si="0"/>
        <v>10077.171515512548</v>
      </c>
      <c r="J9">
        <f t="shared" si="1"/>
        <v>5.7210891740206006E-5</v>
      </c>
      <c r="L9" t="s">
        <v>195</v>
      </c>
      <c r="M9" t="s">
        <v>292</v>
      </c>
      <c r="Q9">
        <v>47.952858591875803</v>
      </c>
      <c r="R9">
        <v>0.14302722935051501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5DF50-614B-49CC-9430-91659573445D}">
  <dimension ref="A1:M11"/>
  <sheetViews>
    <sheetView workbookViewId="0">
      <selection activeCell="J1" sqref="J1"/>
    </sheetView>
  </sheetViews>
  <sheetFormatPr defaultRowHeight="15" x14ac:dyDescent="0.25"/>
  <cols>
    <col min="10" max="10" width="21.85546875" bestFit="1" customWidth="1"/>
  </cols>
  <sheetData>
    <row r="1" spans="1:13" x14ac:dyDescent="0.25">
      <c r="A1" s="22" t="s">
        <v>174</v>
      </c>
      <c r="B1" s="22" t="s">
        <v>175</v>
      </c>
      <c r="C1" s="22" t="s">
        <v>176</v>
      </c>
      <c r="D1" s="22" t="s">
        <v>177</v>
      </c>
      <c r="E1" s="22" t="s">
        <v>178</v>
      </c>
      <c r="F1" s="22" t="s">
        <v>179</v>
      </c>
      <c r="G1" s="22" t="s">
        <v>180</v>
      </c>
      <c r="H1" s="22" t="s">
        <v>181</v>
      </c>
      <c r="I1" s="22" t="s">
        <v>14</v>
      </c>
      <c r="J1" s="23" t="s">
        <v>316</v>
      </c>
      <c r="K1" s="22" t="s">
        <v>221</v>
      </c>
      <c r="L1" s="22" t="s">
        <v>182</v>
      </c>
      <c r="M1" t="s">
        <v>183</v>
      </c>
    </row>
    <row r="2" spans="1:13" x14ac:dyDescent="0.25">
      <c r="C2" t="s">
        <v>192</v>
      </c>
      <c r="D2" t="s">
        <v>193</v>
      </c>
      <c r="E2" t="s">
        <v>194</v>
      </c>
      <c r="H2" t="s">
        <v>219</v>
      </c>
      <c r="I2">
        <v>59.067352294921875</v>
      </c>
      <c r="J2">
        <v>13.287910461425781</v>
      </c>
      <c r="M2" t="s">
        <v>317</v>
      </c>
    </row>
    <row r="3" spans="1:13" x14ac:dyDescent="0.25">
      <c r="C3" t="s">
        <v>192</v>
      </c>
      <c r="D3" t="s">
        <v>193</v>
      </c>
      <c r="E3" t="s">
        <v>194</v>
      </c>
      <c r="H3" t="s">
        <v>219</v>
      </c>
      <c r="I3">
        <v>248.70468139648438</v>
      </c>
      <c r="J3">
        <v>6.345548152923584</v>
      </c>
      <c r="M3" t="s">
        <v>317</v>
      </c>
    </row>
    <row r="4" spans="1:13" x14ac:dyDescent="0.25">
      <c r="C4" t="s">
        <v>192</v>
      </c>
      <c r="D4" t="s">
        <v>193</v>
      </c>
      <c r="E4" t="s">
        <v>194</v>
      </c>
      <c r="H4" t="s">
        <v>219</v>
      </c>
      <c r="I4">
        <v>481.86526489257813</v>
      </c>
      <c r="J4">
        <v>3.030271053314209</v>
      </c>
      <c r="M4" t="s">
        <v>317</v>
      </c>
    </row>
    <row r="5" spans="1:13" x14ac:dyDescent="0.25">
      <c r="C5" t="s">
        <v>192</v>
      </c>
      <c r="D5" t="s">
        <v>193</v>
      </c>
      <c r="E5" t="s">
        <v>194</v>
      </c>
      <c r="H5" t="s">
        <v>219</v>
      </c>
      <c r="I5">
        <v>718.13458251953125</v>
      </c>
      <c r="J5">
        <v>0.61677032709121704</v>
      </c>
      <c r="M5" t="s">
        <v>317</v>
      </c>
    </row>
    <row r="6" spans="1:13" x14ac:dyDescent="0.25">
      <c r="C6" t="s">
        <v>192</v>
      </c>
      <c r="D6" t="s">
        <v>193</v>
      </c>
      <c r="E6" t="s">
        <v>194</v>
      </c>
      <c r="H6" t="s">
        <v>219</v>
      </c>
      <c r="I6">
        <v>1203.108642578125</v>
      </c>
      <c r="J6">
        <v>4.9131270498037338E-2</v>
      </c>
      <c r="M6" t="s">
        <v>317</v>
      </c>
    </row>
    <row r="7" spans="1:13" x14ac:dyDescent="0.25">
      <c r="C7" t="s">
        <v>253</v>
      </c>
      <c r="D7" t="s">
        <v>254</v>
      </c>
      <c r="E7" t="s">
        <v>194</v>
      </c>
      <c r="H7" t="s">
        <v>219</v>
      </c>
      <c r="I7">
        <v>59.067352294921875</v>
      </c>
      <c r="J7">
        <v>39.077629089355469</v>
      </c>
      <c r="M7" t="s">
        <v>318</v>
      </c>
    </row>
    <row r="8" spans="1:13" x14ac:dyDescent="0.25">
      <c r="C8" t="s">
        <v>253</v>
      </c>
      <c r="D8" t="s">
        <v>254</v>
      </c>
      <c r="E8" t="s">
        <v>194</v>
      </c>
      <c r="H8" t="s">
        <v>219</v>
      </c>
      <c r="I8">
        <v>248.70468139648438</v>
      </c>
      <c r="J8">
        <v>62.835670471191406</v>
      </c>
      <c r="M8" t="s">
        <v>318</v>
      </c>
    </row>
    <row r="9" spans="1:13" x14ac:dyDescent="0.25">
      <c r="C9" t="s">
        <v>253</v>
      </c>
      <c r="D9" t="s">
        <v>254</v>
      </c>
      <c r="E9" t="s">
        <v>194</v>
      </c>
      <c r="H9" t="s">
        <v>219</v>
      </c>
      <c r="I9">
        <v>481.86526489257813</v>
      </c>
      <c r="J9">
        <v>68.246551513671875</v>
      </c>
      <c r="M9" t="s">
        <v>318</v>
      </c>
    </row>
    <row r="10" spans="1:13" x14ac:dyDescent="0.25">
      <c r="C10" t="s">
        <v>253</v>
      </c>
      <c r="D10" t="s">
        <v>254</v>
      </c>
      <c r="E10" t="s">
        <v>194</v>
      </c>
      <c r="H10" t="s">
        <v>219</v>
      </c>
      <c r="I10">
        <v>718.13458251953125</v>
      </c>
      <c r="J10">
        <v>34.168998718261719</v>
      </c>
      <c r="M10" t="s">
        <v>318</v>
      </c>
    </row>
    <row r="11" spans="1:13" x14ac:dyDescent="0.25">
      <c r="C11" t="s">
        <v>253</v>
      </c>
      <c r="D11" t="s">
        <v>254</v>
      </c>
      <c r="E11" t="s">
        <v>194</v>
      </c>
      <c r="H11" t="s">
        <v>219</v>
      </c>
      <c r="I11">
        <v>1203.108642578125</v>
      </c>
      <c r="J11">
        <v>24.302459716796875</v>
      </c>
      <c r="M11" t="s">
        <v>318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8A491-689A-48D2-B57C-2D73327F8F69}">
  <dimension ref="A1:Q27"/>
  <sheetViews>
    <sheetView workbookViewId="0">
      <selection activeCell="P22" sqref="P22"/>
    </sheetView>
  </sheetViews>
  <sheetFormatPr defaultColWidth="11.5703125" defaultRowHeight="15" x14ac:dyDescent="0.25"/>
  <cols>
    <col min="1" max="1" width="12.85546875" style="25" bestFit="1" customWidth="1"/>
    <col min="2" max="2" width="25.42578125" style="25" customWidth="1"/>
    <col min="3" max="3" width="22.5703125" style="25" bestFit="1" customWidth="1"/>
    <col min="4" max="4" width="56.42578125" style="25" customWidth="1"/>
    <col min="5" max="16384" width="11.5703125" style="25"/>
  </cols>
  <sheetData>
    <row r="1" spans="1:17" x14ac:dyDescent="0.25">
      <c r="A1" s="24" t="s">
        <v>184</v>
      </c>
      <c r="B1" s="24" t="s">
        <v>185</v>
      </c>
      <c r="C1" s="29" t="s">
        <v>186</v>
      </c>
      <c r="D1" s="29"/>
      <c r="E1" s="24" t="s">
        <v>187</v>
      </c>
      <c r="L1" s="25" t="s">
        <v>275</v>
      </c>
      <c r="M1" s="25" t="s">
        <v>276</v>
      </c>
      <c r="N1" s="25" t="s">
        <v>277</v>
      </c>
      <c r="O1" s="25" t="s">
        <v>278</v>
      </c>
      <c r="P1" s="25" t="s">
        <v>279</v>
      </c>
      <c r="Q1" s="25" t="s">
        <v>280</v>
      </c>
    </row>
    <row r="2" spans="1:17" x14ac:dyDescent="0.25">
      <c r="A2" s="26" t="s">
        <v>189</v>
      </c>
      <c r="B2" s="28" t="s">
        <v>188</v>
      </c>
      <c r="C2" s="25" t="s">
        <v>198</v>
      </c>
      <c r="E2" s="25" t="s">
        <v>190</v>
      </c>
      <c r="F2" s="25" t="s">
        <v>191</v>
      </c>
    </row>
    <row r="3" spans="1:17" x14ac:dyDescent="0.25">
      <c r="C3" s="25" t="s">
        <v>201</v>
      </c>
    </row>
    <row r="4" spans="1:17" x14ac:dyDescent="0.25">
      <c r="C4" s="25" t="s">
        <v>204</v>
      </c>
    </row>
    <row r="5" spans="1:17" x14ac:dyDescent="0.25">
      <c r="C5" s="25" t="s">
        <v>214</v>
      </c>
    </row>
    <row r="6" spans="1:17" x14ac:dyDescent="0.25">
      <c r="C6" t="s">
        <v>207</v>
      </c>
    </row>
    <row r="7" spans="1:17" x14ac:dyDescent="0.25">
      <c r="C7" t="s">
        <v>213</v>
      </c>
    </row>
    <row r="8" spans="1:17" x14ac:dyDescent="0.25">
      <c r="A8" s="26" t="s">
        <v>215</v>
      </c>
      <c r="B8" s="28" t="s">
        <v>216</v>
      </c>
    </row>
    <row r="9" spans="1:17" x14ac:dyDescent="0.25">
      <c r="A9" s="25" t="s">
        <v>224</v>
      </c>
      <c r="B9" s="28" t="s">
        <v>225</v>
      </c>
      <c r="C9" s="25" t="s">
        <v>230</v>
      </c>
      <c r="E9" s="25" t="s">
        <v>227</v>
      </c>
    </row>
    <row r="10" spans="1:17" x14ac:dyDescent="0.25">
      <c r="A10" s="25" t="s">
        <v>232</v>
      </c>
      <c r="B10" s="28" t="s">
        <v>231</v>
      </c>
    </row>
    <row r="11" spans="1:17" x14ac:dyDescent="0.25">
      <c r="B11" s="28" t="s">
        <v>233</v>
      </c>
    </row>
    <row r="12" spans="1:17" x14ac:dyDescent="0.25">
      <c r="E12" s="25" t="s">
        <v>234</v>
      </c>
    </row>
    <row r="13" spans="1:17" x14ac:dyDescent="0.25">
      <c r="A13" s="25" t="s">
        <v>235</v>
      </c>
      <c r="B13" s="28" t="s">
        <v>236</v>
      </c>
    </row>
    <row r="14" spans="1:17" x14ac:dyDescent="0.25">
      <c r="A14" s="26" t="s">
        <v>239</v>
      </c>
      <c r="B14" s="25" t="s">
        <v>242</v>
      </c>
      <c r="C14" s="25" t="s">
        <v>240</v>
      </c>
    </row>
    <row r="15" spans="1:17" x14ac:dyDescent="0.25">
      <c r="C15" s="25" t="s">
        <v>241</v>
      </c>
    </row>
    <row r="16" spans="1:17" ht="17.25" x14ac:dyDescent="0.25">
      <c r="A16" s="25" t="s">
        <v>246</v>
      </c>
      <c r="B16" s="28" t="s">
        <v>247</v>
      </c>
      <c r="E16" s="25" t="s">
        <v>248</v>
      </c>
    </row>
    <row r="17" spans="1:15" x14ac:dyDescent="0.25">
      <c r="A17" s="25" t="s">
        <v>256</v>
      </c>
      <c r="B17" s="28" t="s">
        <v>257</v>
      </c>
    </row>
    <row r="18" spans="1:15" x14ac:dyDescent="0.25">
      <c r="L18" s="25">
        <v>23.6</v>
      </c>
      <c r="M18" s="25">
        <f>L18*0.000001*10/776.8*1000000000</f>
        <v>303.81050463439755</v>
      </c>
      <c r="N18" s="25">
        <v>444.5</v>
      </c>
      <c r="O18" s="25">
        <f>N18*0.000000001*10/776.8*1000000000</f>
        <v>5.7221936148300729</v>
      </c>
    </row>
    <row r="20" spans="1:15" x14ac:dyDescent="0.25">
      <c r="B20" s="27"/>
    </row>
    <row r="25" spans="1:15" x14ac:dyDescent="0.25">
      <c r="B25" s="28"/>
    </row>
    <row r="26" spans="1:15" x14ac:dyDescent="0.25">
      <c r="B26" s="28"/>
    </row>
    <row r="27" spans="1:15" x14ac:dyDescent="0.25">
      <c r="B27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A5778-B05C-4DD2-8DA2-5574C5D9F4D5}">
  <dimension ref="A1:D165"/>
  <sheetViews>
    <sheetView topLeftCell="A49" workbookViewId="0">
      <selection activeCell="B2" sqref="B2:B165"/>
    </sheetView>
  </sheetViews>
  <sheetFormatPr defaultRowHeight="15" x14ac:dyDescent="0.25"/>
  <cols>
    <col min="1" max="1" width="23.5703125" customWidth="1"/>
    <col min="2" max="2" width="10.7109375" bestFit="1" customWidth="1"/>
    <col min="3" max="3" width="21.42578125" style="19" bestFit="1" customWidth="1"/>
    <col min="4" max="4" width="14.42578125" style="19" bestFit="1" customWidth="1"/>
    <col min="9" max="9" width="10.5703125" bestFit="1" customWidth="1"/>
  </cols>
  <sheetData>
    <row r="1" spans="1:4" x14ac:dyDescent="0.25">
      <c r="A1" t="s">
        <v>2</v>
      </c>
      <c r="B1" t="s">
        <v>0</v>
      </c>
      <c r="C1" s="19" t="s">
        <v>7</v>
      </c>
      <c r="D1" s="19" t="s">
        <v>68</v>
      </c>
    </row>
    <row r="2" spans="1:4" x14ac:dyDescent="0.25">
      <c r="A2" t="s">
        <v>170</v>
      </c>
      <c r="B2">
        <v>241</v>
      </c>
      <c r="C2" s="19">
        <v>0.4</v>
      </c>
      <c r="D2" s="19">
        <v>0.02</v>
      </c>
    </row>
    <row r="3" spans="1:4" x14ac:dyDescent="0.25">
      <c r="A3" t="s">
        <v>170</v>
      </c>
      <c r="B3">
        <v>242</v>
      </c>
      <c r="C3" s="19">
        <v>0.4</v>
      </c>
      <c r="D3" s="19">
        <v>0.02</v>
      </c>
    </row>
    <row r="4" spans="1:4" x14ac:dyDescent="0.25">
      <c r="A4" t="s">
        <v>170</v>
      </c>
      <c r="B4">
        <v>243</v>
      </c>
      <c r="C4" s="19">
        <v>0.4</v>
      </c>
      <c r="D4" s="19">
        <v>0.02</v>
      </c>
    </row>
    <row r="5" spans="1:4" x14ac:dyDescent="0.25">
      <c r="A5" t="s">
        <v>170</v>
      </c>
      <c r="B5">
        <v>244</v>
      </c>
      <c r="C5" s="19">
        <v>0.4</v>
      </c>
      <c r="D5" s="19">
        <v>0.02</v>
      </c>
    </row>
    <row r="6" spans="1:4" x14ac:dyDescent="0.25">
      <c r="A6" t="s">
        <v>170</v>
      </c>
      <c r="B6">
        <v>245</v>
      </c>
      <c r="C6" s="19">
        <v>0.4</v>
      </c>
      <c r="D6" s="19">
        <v>0.02</v>
      </c>
    </row>
    <row r="7" spans="1:4" x14ac:dyDescent="0.25">
      <c r="A7" t="s">
        <v>170</v>
      </c>
      <c r="B7">
        <v>246</v>
      </c>
      <c r="C7" s="19">
        <v>0.4</v>
      </c>
      <c r="D7" s="19">
        <v>0.02</v>
      </c>
    </row>
    <row r="8" spans="1:4" x14ac:dyDescent="0.25">
      <c r="A8" t="s">
        <v>170</v>
      </c>
      <c r="B8">
        <v>247</v>
      </c>
      <c r="C8" s="19">
        <v>0.4</v>
      </c>
      <c r="D8" s="19">
        <v>0.02</v>
      </c>
    </row>
    <row r="9" spans="1:4" x14ac:dyDescent="0.25">
      <c r="A9" t="s">
        <v>170</v>
      </c>
      <c r="B9">
        <v>248</v>
      </c>
      <c r="C9" s="19">
        <v>0.4</v>
      </c>
      <c r="D9" s="19">
        <v>0.02</v>
      </c>
    </row>
    <row r="10" spans="1:4" x14ac:dyDescent="0.25">
      <c r="A10" t="s">
        <v>170</v>
      </c>
      <c r="B10">
        <v>249</v>
      </c>
      <c r="C10" s="19">
        <v>0.4</v>
      </c>
      <c r="D10" s="19">
        <v>0.02</v>
      </c>
    </row>
    <row r="11" spans="1:4" x14ac:dyDescent="0.25">
      <c r="A11" t="s">
        <v>170</v>
      </c>
      <c r="B11">
        <v>250</v>
      </c>
      <c r="C11" s="19">
        <v>0.4</v>
      </c>
      <c r="D11" s="19">
        <v>0.02</v>
      </c>
    </row>
    <row r="12" spans="1:4" x14ac:dyDescent="0.25">
      <c r="A12" t="s">
        <v>170</v>
      </c>
      <c r="B12">
        <v>251</v>
      </c>
      <c r="C12" s="19">
        <v>0.4</v>
      </c>
      <c r="D12" s="19">
        <v>0.02</v>
      </c>
    </row>
    <row r="13" spans="1:4" x14ac:dyDescent="0.25">
      <c r="A13" t="s">
        <v>170</v>
      </c>
      <c r="B13">
        <v>252</v>
      </c>
      <c r="C13" s="19">
        <v>0.4</v>
      </c>
      <c r="D13" s="19">
        <v>0.02</v>
      </c>
    </row>
    <row r="14" spans="1:4" x14ac:dyDescent="0.25">
      <c r="A14" t="s">
        <v>170</v>
      </c>
      <c r="B14">
        <v>253</v>
      </c>
      <c r="C14" s="19">
        <v>0.4</v>
      </c>
      <c r="D14" s="19">
        <v>0.02</v>
      </c>
    </row>
    <row r="15" spans="1:4" x14ac:dyDescent="0.25">
      <c r="A15" t="s">
        <v>170</v>
      </c>
      <c r="B15">
        <v>254</v>
      </c>
      <c r="C15" s="19">
        <v>0.4</v>
      </c>
      <c r="D15" s="19">
        <v>0.02</v>
      </c>
    </row>
    <row r="16" spans="1:4" x14ac:dyDescent="0.25">
      <c r="A16" t="s">
        <v>170</v>
      </c>
      <c r="B16">
        <v>255</v>
      </c>
      <c r="C16" s="19">
        <v>0.4</v>
      </c>
      <c r="D16" s="19">
        <v>0.02</v>
      </c>
    </row>
    <row r="17" spans="1:4" x14ac:dyDescent="0.25">
      <c r="A17" t="s">
        <v>170</v>
      </c>
      <c r="B17">
        <v>256</v>
      </c>
      <c r="C17" s="19">
        <v>0.4</v>
      </c>
      <c r="D17" s="19">
        <v>0.02</v>
      </c>
    </row>
    <row r="18" spans="1:4" x14ac:dyDescent="0.25">
      <c r="A18" t="s">
        <v>170</v>
      </c>
      <c r="B18">
        <v>257</v>
      </c>
      <c r="C18" s="19">
        <v>0.4</v>
      </c>
      <c r="D18" s="19">
        <v>0.02</v>
      </c>
    </row>
    <row r="19" spans="1:4" x14ac:dyDescent="0.25">
      <c r="A19" t="s">
        <v>170</v>
      </c>
      <c r="B19">
        <v>258</v>
      </c>
      <c r="C19" s="19">
        <v>0.4</v>
      </c>
      <c r="D19" s="19">
        <v>0.02</v>
      </c>
    </row>
    <row r="20" spans="1:4" x14ac:dyDescent="0.25">
      <c r="A20" t="s">
        <v>170</v>
      </c>
      <c r="B20">
        <v>259</v>
      </c>
      <c r="C20" s="19">
        <v>0.4</v>
      </c>
      <c r="D20" s="19">
        <v>0.02</v>
      </c>
    </row>
    <row r="21" spans="1:4" x14ac:dyDescent="0.25">
      <c r="A21" t="s">
        <v>170</v>
      </c>
      <c r="B21">
        <v>260</v>
      </c>
      <c r="C21" s="19">
        <v>0.4</v>
      </c>
      <c r="D21" s="19">
        <v>0.02</v>
      </c>
    </row>
    <row r="22" spans="1:4" x14ac:dyDescent="0.25">
      <c r="A22" t="s">
        <v>170</v>
      </c>
      <c r="B22">
        <v>261</v>
      </c>
      <c r="C22" s="19">
        <v>0.4</v>
      </c>
      <c r="D22" s="19">
        <v>0.02</v>
      </c>
    </row>
    <row r="23" spans="1:4" x14ac:dyDescent="0.25">
      <c r="A23" t="s">
        <v>170</v>
      </c>
      <c r="B23">
        <v>262</v>
      </c>
      <c r="C23" s="19">
        <v>0.4</v>
      </c>
      <c r="D23" s="19">
        <v>0.02</v>
      </c>
    </row>
    <row r="24" spans="1:4" x14ac:dyDescent="0.25">
      <c r="A24" t="s">
        <v>170</v>
      </c>
      <c r="B24">
        <v>263</v>
      </c>
      <c r="C24" s="19">
        <v>0.4</v>
      </c>
      <c r="D24" s="19">
        <v>0.02</v>
      </c>
    </row>
    <row r="25" spans="1:4" x14ac:dyDescent="0.25">
      <c r="A25" t="s">
        <v>170</v>
      </c>
      <c r="B25">
        <v>264</v>
      </c>
      <c r="C25" s="19">
        <v>0.4</v>
      </c>
      <c r="D25" s="19">
        <v>0.02</v>
      </c>
    </row>
    <row r="26" spans="1:4" x14ac:dyDescent="0.25">
      <c r="A26" t="s">
        <v>170</v>
      </c>
      <c r="B26">
        <v>265</v>
      </c>
      <c r="C26" s="19">
        <v>0.4</v>
      </c>
      <c r="D26" s="19">
        <v>0.02</v>
      </c>
    </row>
    <row r="27" spans="1:4" x14ac:dyDescent="0.25">
      <c r="A27" t="s">
        <v>170</v>
      </c>
      <c r="B27">
        <v>266</v>
      </c>
      <c r="C27" s="19">
        <v>0.4</v>
      </c>
      <c r="D27" s="19">
        <v>0.02</v>
      </c>
    </row>
    <row r="28" spans="1:4" x14ac:dyDescent="0.25">
      <c r="A28" t="s">
        <v>170</v>
      </c>
      <c r="B28">
        <v>267</v>
      </c>
      <c r="C28" s="19">
        <v>0.4</v>
      </c>
      <c r="D28" s="19">
        <v>0.02</v>
      </c>
    </row>
    <row r="29" spans="1:4" x14ac:dyDescent="0.25">
      <c r="A29" t="s">
        <v>170</v>
      </c>
      <c r="B29">
        <v>268</v>
      </c>
      <c r="C29" s="19">
        <v>0.4</v>
      </c>
      <c r="D29" s="19">
        <v>0.02</v>
      </c>
    </row>
    <row r="30" spans="1:4" x14ac:dyDescent="0.25">
      <c r="A30" t="s">
        <v>170</v>
      </c>
      <c r="B30">
        <v>269</v>
      </c>
      <c r="C30" s="19">
        <v>0.4</v>
      </c>
      <c r="D30" s="19">
        <v>0.02</v>
      </c>
    </row>
    <row r="31" spans="1:4" x14ac:dyDescent="0.25">
      <c r="A31" t="s">
        <v>170</v>
      </c>
      <c r="B31">
        <v>270</v>
      </c>
      <c r="C31" s="19">
        <v>0.4</v>
      </c>
      <c r="D31" s="19">
        <v>0.02</v>
      </c>
    </row>
    <row r="32" spans="1:4" x14ac:dyDescent="0.25">
      <c r="A32" t="s">
        <v>170</v>
      </c>
      <c r="B32">
        <v>271</v>
      </c>
      <c r="C32" s="19">
        <v>0.4</v>
      </c>
      <c r="D32" s="19">
        <v>0.02</v>
      </c>
    </row>
    <row r="33" spans="1:4" x14ac:dyDescent="0.25">
      <c r="A33" t="s">
        <v>170</v>
      </c>
      <c r="B33">
        <v>272</v>
      </c>
      <c r="C33" s="19">
        <v>0.4</v>
      </c>
      <c r="D33" s="19">
        <v>0.02</v>
      </c>
    </row>
    <row r="34" spans="1:4" x14ac:dyDescent="0.25">
      <c r="A34" t="s">
        <v>170</v>
      </c>
      <c r="B34">
        <v>273</v>
      </c>
      <c r="C34" s="19">
        <v>0.4</v>
      </c>
      <c r="D34" s="19">
        <v>0.02</v>
      </c>
    </row>
    <row r="35" spans="1:4" x14ac:dyDescent="0.25">
      <c r="A35" t="s">
        <v>170</v>
      </c>
      <c r="B35">
        <v>274</v>
      </c>
      <c r="C35" s="19">
        <v>0.4</v>
      </c>
      <c r="D35" s="19">
        <v>0.02</v>
      </c>
    </row>
    <row r="36" spans="1:4" x14ac:dyDescent="0.25">
      <c r="A36" t="s">
        <v>170</v>
      </c>
      <c r="B36">
        <v>275</v>
      </c>
      <c r="C36" s="19">
        <v>0.4</v>
      </c>
      <c r="D36" s="19">
        <v>0.02</v>
      </c>
    </row>
    <row r="37" spans="1:4" x14ac:dyDescent="0.25">
      <c r="A37" t="s">
        <v>170</v>
      </c>
      <c r="B37">
        <v>276</v>
      </c>
      <c r="C37" s="19">
        <v>0.4</v>
      </c>
      <c r="D37" s="19">
        <v>0.02</v>
      </c>
    </row>
    <row r="38" spans="1:4" x14ac:dyDescent="0.25">
      <c r="A38" t="s">
        <v>170</v>
      </c>
      <c r="B38">
        <v>277</v>
      </c>
      <c r="C38" s="19">
        <v>0.4</v>
      </c>
      <c r="D38" s="19">
        <v>0.02</v>
      </c>
    </row>
    <row r="39" spans="1:4" x14ac:dyDescent="0.25">
      <c r="A39" t="s">
        <v>170</v>
      </c>
      <c r="B39">
        <v>278</v>
      </c>
      <c r="C39" s="19">
        <v>0.4</v>
      </c>
      <c r="D39" s="19">
        <v>0.02</v>
      </c>
    </row>
    <row r="40" spans="1:4" x14ac:dyDescent="0.25">
      <c r="A40" t="s">
        <v>170</v>
      </c>
      <c r="B40">
        <v>279</v>
      </c>
      <c r="C40" s="19">
        <v>0.4</v>
      </c>
      <c r="D40" s="19">
        <v>0.02</v>
      </c>
    </row>
    <row r="41" spans="1:4" x14ac:dyDescent="0.25">
      <c r="A41" t="s">
        <v>170</v>
      </c>
      <c r="B41">
        <v>280</v>
      </c>
      <c r="C41" s="19">
        <v>0.4</v>
      </c>
      <c r="D41" s="19">
        <v>0.02</v>
      </c>
    </row>
    <row r="42" spans="1:4" x14ac:dyDescent="0.25">
      <c r="A42" t="s">
        <v>170</v>
      </c>
      <c r="B42">
        <v>281</v>
      </c>
      <c r="C42" s="19">
        <v>0.4</v>
      </c>
      <c r="D42" s="19">
        <v>0.02</v>
      </c>
    </row>
    <row r="43" spans="1:4" x14ac:dyDescent="0.25">
      <c r="A43" t="s">
        <v>170</v>
      </c>
      <c r="B43">
        <v>282</v>
      </c>
      <c r="C43" s="19">
        <v>0.4</v>
      </c>
      <c r="D43" s="19">
        <v>0.02</v>
      </c>
    </row>
    <row r="44" spans="1:4" x14ac:dyDescent="0.25">
      <c r="A44" t="s">
        <v>170</v>
      </c>
      <c r="B44">
        <v>283</v>
      </c>
      <c r="C44" s="19">
        <v>0.4</v>
      </c>
      <c r="D44" s="19">
        <v>0.02</v>
      </c>
    </row>
    <row r="45" spans="1:4" x14ac:dyDescent="0.25">
      <c r="A45" t="s">
        <v>170</v>
      </c>
      <c r="B45">
        <v>284</v>
      </c>
      <c r="C45" s="19">
        <v>0.4</v>
      </c>
      <c r="D45" s="19">
        <v>0.02</v>
      </c>
    </row>
    <row r="46" spans="1:4" x14ac:dyDescent="0.25">
      <c r="A46" t="s">
        <v>170</v>
      </c>
      <c r="B46">
        <v>285</v>
      </c>
      <c r="C46" s="19">
        <v>0.4</v>
      </c>
      <c r="D46" s="19">
        <v>0.02</v>
      </c>
    </row>
    <row r="47" spans="1:4" x14ac:dyDescent="0.25">
      <c r="A47" t="s">
        <v>170</v>
      </c>
      <c r="B47">
        <v>286</v>
      </c>
      <c r="C47" s="19">
        <v>0.4</v>
      </c>
      <c r="D47" s="19">
        <v>0.02</v>
      </c>
    </row>
    <row r="48" spans="1:4" x14ac:dyDescent="0.25">
      <c r="A48" t="s">
        <v>170</v>
      </c>
      <c r="B48">
        <v>287</v>
      </c>
      <c r="C48" s="19">
        <v>0.4</v>
      </c>
      <c r="D48" s="19">
        <v>0.02</v>
      </c>
    </row>
    <row r="49" spans="1:4" x14ac:dyDescent="0.25">
      <c r="A49" t="s">
        <v>170</v>
      </c>
      <c r="B49">
        <v>288</v>
      </c>
      <c r="C49" s="19">
        <v>0.4</v>
      </c>
      <c r="D49" s="19">
        <v>0.02</v>
      </c>
    </row>
    <row r="50" spans="1:4" x14ac:dyDescent="0.25">
      <c r="A50" t="s">
        <v>170</v>
      </c>
      <c r="B50">
        <v>289</v>
      </c>
      <c r="C50" s="19">
        <v>0.4</v>
      </c>
      <c r="D50" s="19">
        <v>0.02</v>
      </c>
    </row>
    <row r="51" spans="1:4" x14ac:dyDescent="0.25">
      <c r="A51" t="s">
        <v>170</v>
      </c>
      <c r="B51">
        <v>290</v>
      </c>
      <c r="C51" s="19">
        <v>0.4</v>
      </c>
      <c r="D51" s="19">
        <v>0.02</v>
      </c>
    </row>
    <row r="52" spans="1:4" x14ac:dyDescent="0.25">
      <c r="A52" t="s">
        <v>170</v>
      </c>
      <c r="B52">
        <v>291</v>
      </c>
      <c r="C52" s="19">
        <v>0.4</v>
      </c>
      <c r="D52" s="19">
        <v>0.02</v>
      </c>
    </row>
    <row r="53" spans="1:4" x14ac:dyDescent="0.25">
      <c r="A53" t="s">
        <v>170</v>
      </c>
      <c r="B53">
        <v>292</v>
      </c>
      <c r="C53" s="19">
        <v>0.4</v>
      </c>
      <c r="D53" s="19">
        <v>0.02</v>
      </c>
    </row>
    <row r="54" spans="1:4" x14ac:dyDescent="0.25">
      <c r="A54" t="s">
        <v>170</v>
      </c>
      <c r="B54">
        <v>293</v>
      </c>
      <c r="C54" s="19">
        <v>0.4</v>
      </c>
      <c r="D54" s="19">
        <v>0.02</v>
      </c>
    </row>
    <row r="55" spans="1:4" x14ac:dyDescent="0.25">
      <c r="A55" t="s">
        <v>170</v>
      </c>
      <c r="B55">
        <v>294</v>
      </c>
      <c r="C55" s="19">
        <v>0.4</v>
      </c>
      <c r="D55" s="19">
        <v>0.02</v>
      </c>
    </row>
    <row r="56" spans="1:4" x14ac:dyDescent="0.25">
      <c r="A56" t="s">
        <v>170</v>
      </c>
      <c r="B56">
        <v>295</v>
      </c>
      <c r="C56" s="19">
        <v>0.4</v>
      </c>
      <c r="D56" s="19">
        <v>0.02</v>
      </c>
    </row>
    <row r="57" spans="1:4" x14ac:dyDescent="0.25">
      <c r="A57" t="s">
        <v>170</v>
      </c>
      <c r="B57">
        <v>296</v>
      </c>
      <c r="C57" s="19">
        <v>0.4</v>
      </c>
      <c r="D57" s="19">
        <v>0.02</v>
      </c>
    </row>
    <row r="58" spans="1:4" x14ac:dyDescent="0.25">
      <c r="A58" t="s">
        <v>170</v>
      </c>
      <c r="B58">
        <v>297</v>
      </c>
      <c r="C58" s="19">
        <v>0.4</v>
      </c>
      <c r="D58" s="19">
        <v>0.02</v>
      </c>
    </row>
    <row r="59" spans="1:4" x14ac:dyDescent="0.25">
      <c r="A59" t="s">
        <v>170</v>
      </c>
      <c r="B59">
        <v>298</v>
      </c>
      <c r="C59" s="19">
        <v>0.4</v>
      </c>
      <c r="D59" s="19">
        <v>0.02</v>
      </c>
    </row>
    <row r="60" spans="1:4" x14ac:dyDescent="0.25">
      <c r="A60" t="s">
        <v>170</v>
      </c>
      <c r="B60">
        <v>299</v>
      </c>
      <c r="C60" s="19">
        <v>0.4</v>
      </c>
      <c r="D60" s="19">
        <v>0.02</v>
      </c>
    </row>
    <row r="61" spans="1:4" x14ac:dyDescent="0.25">
      <c r="A61" t="s">
        <v>170</v>
      </c>
      <c r="B61">
        <v>300</v>
      </c>
      <c r="C61" s="19">
        <v>0.4</v>
      </c>
      <c r="D61" s="19">
        <v>0.02</v>
      </c>
    </row>
    <row r="62" spans="1:4" x14ac:dyDescent="0.25">
      <c r="A62" t="s">
        <v>170</v>
      </c>
      <c r="B62">
        <v>301</v>
      </c>
      <c r="C62" s="19">
        <v>0.4</v>
      </c>
      <c r="D62" s="19">
        <v>0.02</v>
      </c>
    </row>
    <row r="63" spans="1:4" x14ac:dyDescent="0.25">
      <c r="A63" t="s">
        <v>170</v>
      </c>
      <c r="B63">
        <v>302</v>
      </c>
      <c r="C63" s="19">
        <v>0.4</v>
      </c>
      <c r="D63" s="19">
        <v>0.02</v>
      </c>
    </row>
    <row r="64" spans="1:4" x14ac:dyDescent="0.25">
      <c r="A64" t="s">
        <v>170</v>
      </c>
      <c r="B64">
        <v>303</v>
      </c>
      <c r="C64" s="19">
        <v>0.4</v>
      </c>
      <c r="D64" s="19">
        <v>0.02</v>
      </c>
    </row>
    <row r="65" spans="1:4" x14ac:dyDescent="0.25">
      <c r="A65" t="s">
        <v>170</v>
      </c>
      <c r="B65">
        <v>304</v>
      </c>
      <c r="C65" s="19">
        <v>0.4</v>
      </c>
      <c r="D65" s="19">
        <v>0.02</v>
      </c>
    </row>
    <row r="66" spans="1:4" x14ac:dyDescent="0.25">
      <c r="A66" t="s">
        <v>170</v>
      </c>
      <c r="B66">
        <v>305</v>
      </c>
      <c r="C66" s="19">
        <v>0.4</v>
      </c>
      <c r="D66" s="19">
        <v>0.02</v>
      </c>
    </row>
    <row r="67" spans="1:4" x14ac:dyDescent="0.25">
      <c r="A67" t="s">
        <v>170</v>
      </c>
      <c r="B67">
        <v>306</v>
      </c>
      <c r="C67" s="19">
        <v>0.4</v>
      </c>
      <c r="D67" s="19">
        <v>0.02</v>
      </c>
    </row>
    <row r="68" spans="1:4" x14ac:dyDescent="0.25">
      <c r="A68" t="s">
        <v>170</v>
      </c>
      <c r="B68">
        <v>307</v>
      </c>
      <c r="C68" s="19">
        <v>0.4</v>
      </c>
      <c r="D68" s="19">
        <v>0.02</v>
      </c>
    </row>
    <row r="69" spans="1:4" x14ac:dyDescent="0.25">
      <c r="A69" t="s">
        <v>170</v>
      </c>
      <c r="B69">
        <v>308</v>
      </c>
      <c r="C69" s="19">
        <v>0.4</v>
      </c>
      <c r="D69" s="19">
        <v>0.02</v>
      </c>
    </row>
    <row r="70" spans="1:4" x14ac:dyDescent="0.25">
      <c r="A70" t="s">
        <v>170</v>
      </c>
      <c r="B70">
        <v>309</v>
      </c>
      <c r="C70" s="19">
        <v>0.4</v>
      </c>
      <c r="D70" s="19">
        <v>0.02</v>
      </c>
    </row>
    <row r="71" spans="1:4" x14ac:dyDescent="0.25">
      <c r="A71" t="s">
        <v>170</v>
      </c>
      <c r="B71">
        <v>310</v>
      </c>
      <c r="C71" s="19">
        <v>0.4</v>
      </c>
      <c r="D71" s="19">
        <v>0.02</v>
      </c>
    </row>
    <row r="72" spans="1:4" x14ac:dyDescent="0.25">
      <c r="A72" t="s">
        <v>170</v>
      </c>
      <c r="B72">
        <v>311</v>
      </c>
      <c r="C72" s="19">
        <v>0.4</v>
      </c>
      <c r="D72" s="19">
        <v>0.02</v>
      </c>
    </row>
    <row r="73" spans="1:4" x14ac:dyDescent="0.25">
      <c r="A73" t="s">
        <v>170</v>
      </c>
      <c r="B73">
        <v>312</v>
      </c>
      <c r="C73" s="19">
        <v>0.4</v>
      </c>
      <c r="D73" s="19">
        <v>0.02</v>
      </c>
    </row>
    <row r="74" spans="1:4" x14ac:dyDescent="0.25">
      <c r="A74" t="s">
        <v>170</v>
      </c>
      <c r="B74">
        <v>313</v>
      </c>
      <c r="C74" s="19">
        <v>0.4</v>
      </c>
      <c r="D74" s="19">
        <v>0.02</v>
      </c>
    </row>
    <row r="75" spans="1:4" x14ac:dyDescent="0.25">
      <c r="A75" t="s">
        <v>170</v>
      </c>
      <c r="B75">
        <v>314</v>
      </c>
      <c r="C75" s="19">
        <v>0.4</v>
      </c>
      <c r="D75" s="19">
        <v>0.02</v>
      </c>
    </row>
    <row r="76" spans="1:4" x14ac:dyDescent="0.25">
      <c r="A76" t="s">
        <v>170</v>
      </c>
      <c r="B76">
        <v>315</v>
      </c>
      <c r="C76" s="19">
        <v>0.4</v>
      </c>
      <c r="D76" s="19">
        <v>0.02</v>
      </c>
    </row>
    <row r="77" spans="1:4" x14ac:dyDescent="0.25">
      <c r="A77" t="s">
        <v>170</v>
      </c>
      <c r="B77">
        <v>316</v>
      </c>
      <c r="C77" s="19">
        <v>0.4</v>
      </c>
      <c r="D77" s="19">
        <v>0.02</v>
      </c>
    </row>
    <row r="78" spans="1:4" x14ac:dyDescent="0.25">
      <c r="A78" t="s">
        <v>170</v>
      </c>
      <c r="B78">
        <v>317</v>
      </c>
      <c r="C78" s="19">
        <v>0.4</v>
      </c>
      <c r="D78" s="19">
        <v>0.02</v>
      </c>
    </row>
    <row r="79" spans="1:4" x14ac:dyDescent="0.25">
      <c r="A79" t="s">
        <v>170</v>
      </c>
      <c r="B79">
        <v>318</v>
      </c>
      <c r="C79" s="19">
        <v>0.4</v>
      </c>
      <c r="D79" s="19">
        <v>0.02</v>
      </c>
    </row>
    <row r="80" spans="1:4" x14ac:dyDescent="0.25">
      <c r="A80" t="s">
        <v>170</v>
      </c>
      <c r="B80">
        <v>319</v>
      </c>
      <c r="C80" s="19">
        <v>0.4</v>
      </c>
      <c r="D80" s="19">
        <v>0.02</v>
      </c>
    </row>
    <row r="81" spans="1:4" x14ac:dyDescent="0.25">
      <c r="A81" t="s">
        <v>170</v>
      </c>
      <c r="B81">
        <v>320</v>
      </c>
      <c r="C81" s="19">
        <v>0.4</v>
      </c>
      <c r="D81" s="19">
        <v>0.02</v>
      </c>
    </row>
    <row r="82" spans="1:4" x14ac:dyDescent="0.25">
      <c r="A82" t="s">
        <v>170</v>
      </c>
      <c r="B82">
        <v>321</v>
      </c>
      <c r="C82" s="19">
        <v>0.4</v>
      </c>
      <c r="D82" s="19">
        <v>0.02</v>
      </c>
    </row>
    <row r="83" spans="1:4" x14ac:dyDescent="0.25">
      <c r="A83" t="s">
        <v>170</v>
      </c>
      <c r="B83">
        <v>322</v>
      </c>
      <c r="C83" s="19">
        <v>0.4</v>
      </c>
      <c r="D83" s="19">
        <v>0.02</v>
      </c>
    </row>
    <row r="84" spans="1:4" x14ac:dyDescent="0.25">
      <c r="A84" t="s">
        <v>171</v>
      </c>
      <c r="B84">
        <v>241</v>
      </c>
      <c r="C84" s="19">
        <v>28.2</v>
      </c>
      <c r="D84" s="19">
        <v>2.7</v>
      </c>
    </row>
    <row r="85" spans="1:4" x14ac:dyDescent="0.25">
      <c r="A85" t="s">
        <v>171</v>
      </c>
      <c r="B85">
        <v>242</v>
      </c>
      <c r="C85" s="19">
        <v>28.2</v>
      </c>
      <c r="D85" s="19">
        <v>2.7</v>
      </c>
    </row>
    <row r="86" spans="1:4" x14ac:dyDescent="0.25">
      <c r="A86" t="s">
        <v>171</v>
      </c>
      <c r="B86">
        <v>243</v>
      </c>
      <c r="C86" s="19">
        <v>28.2</v>
      </c>
      <c r="D86" s="19">
        <v>2.7</v>
      </c>
    </row>
    <row r="87" spans="1:4" x14ac:dyDescent="0.25">
      <c r="A87" t="s">
        <v>171</v>
      </c>
      <c r="B87">
        <v>244</v>
      </c>
      <c r="C87" s="19">
        <v>28.2</v>
      </c>
      <c r="D87" s="19">
        <v>2.7</v>
      </c>
    </row>
    <row r="88" spans="1:4" x14ac:dyDescent="0.25">
      <c r="A88" t="s">
        <v>171</v>
      </c>
      <c r="B88">
        <v>245</v>
      </c>
      <c r="C88" s="19">
        <v>28.2</v>
      </c>
      <c r="D88" s="19">
        <v>2.7</v>
      </c>
    </row>
    <row r="89" spans="1:4" x14ac:dyDescent="0.25">
      <c r="A89" t="s">
        <v>171</v>
      </c>
      <c r="B89">
        <v>246</v>
      </c>
      <c r="C89" s="19">
        <v>28.2</v>
      </c>
      <c r="D89" s="19">
        <v>2.7</v>
      </c>
    </row>
    <row r="90" spans="1:4" x14ac:dyDescent="0.25">
      <c r="A90" t="s">
        <v>171</v>
      </c>
      <c r="B90">
        <v>247</v>
      </c>
      <c r="C90" s="19">
        <v>28.2</v>
      </c>
      <c r="D90" s="19">
        <v>2.7</v>
      </c>
    </row>
    <row r="91" spans="1:4" x14ac:dyDescent="0.25">
      <c r="A91" t="s">
        <v>171</v>
      </c>
      <c r="B91">
        <v>248</v>
      </c>
      <c r="C91" s="19">
        <v>28.2</v>
      </c>
      <c r="D91" s="19">
        <v>2.7</v>
      </c>
    </row>
    <row r="92" spans="1:4" x14ac:dyDescent="0.25">
      <c r="A92" t="s">
        <v>171</v>
      </c>
      <c r="B92">
        <v>249</v>
      </c>
      <c r="C92" s="19">
        <v>28.2</v>
      </c>
      <c r="D92" s="19">
        <v>2.7</v>
      </c>
    </row>
    <row r="93" spans="1:4" x14ac:dyDescent="0.25">
      <c r="A93" t="s">
        <v>171</v>
      </c>
      <c r="B93">
        <v>250</v>
      </c>
      <c r="C93" s="19">
        <v>28.2</v>
      </c>
      <c r="D93" s="19">
        <v>2.7</v>
      </c>
    </row>
    <row r="94" spans="1:4" x14ac:dyDescent="0.25">
      <c r="A94" t="s">
        <v>171</v>
      </c>
      <c r="B94">
        <v>251</v>
      </c>
      <c r="C94" s="19">
        <v>28.2</v>
      </c>
      <c r="D94" s="19">
        <v>2.7</v>
      </c>
    </row>
    <row r="95" spans="1:4" x14ac:dyDescent="0.25">
      <c r="A95" t="s">
        <v>171</v>
      </c>
      <c r="B95">
        <v>252</v>
      </c>
      <c r="C95" s="19">
        <v>28.2</v>
      </c>
      <c r="D95" s="19">
        <v>2.7</v>
      </c>
    </row>
    <row r="96" spans="1:4" x14ac:dyDescent="0.25">
      <c r="A96" t="s">
        <v>171</v>
      </c>
      <c r="B96">
        <v>253</v>
      </c>
      <c r="C96" s="19">
        <v>28.2</v>
      </c>
      <c r="D96" s="19">
        <v>2.7</v>
      </c>
    </row>
    <row r="97" spans="1:4" x14ac:dyDescent="0.25">
      <c r="A97" t="s">
        <v>171</v>
      </c>
      <c r="B97">
        <v>254</v>
      </c>
      <c r="C97" s="19">
        <v>28.2</v>
      </c>
      <c r="D97" s="19">
        <v>2.7</v>
      </c>
    </row>
    <row r="98" spans="1:4" x14ac:dyDescent="0.25">
      <c r="A98" t="s">
        <v>171</v>
      </c>
      <c r="B98">
        <v>255</v>
      </c>
      <c r="C98" s="19">
        <v>28.2</v>
      </c>
      <c r="D98" s="19">
        <v>2.7</v>
      </c>
    </row>
    <row r="99" spans="1:4" x14ac:dyDescent="0.25">
      <c r="A99" t="s">
        <v>171</v>
      </c>
      <c r="B99">
        <v>256</v>
      </c>
      <c r="C99" s="19">
        <v>28.2</v>
      </c>
      <c r="D99" s="19">
        <v>2.7</v>
      </c>
    </row>
    <row r="100" spans="1:4" x14ac:dyDescent="0.25">
      <c r="A100" t="s">
        <v>171</v>
      </c>
      <c r="B100">
        <v>257</v>
      </c>
      <c r="C100" s="19">
        <v>28.2</v>
      </c>
      <c r="D100" s="19">
        <v>2.7</v>
      </c>
    </row>
    <row r="101" spans="1:4" x14ac:dyDescent="0.25">
      <c r="A101" t="s">
        <v>171</v>
      </c>
      <c r="B101">
        <v>258</v>
      </c>
      <c r="C101" s="19">
        <v>28.2</v>
      </c>
      <c r="D101" s="19">
        <v>2.7</v>
      </c>
    </row>
    <row r="102" spans="1:4" x14ac:dyDescent="0.25">
      <c r="A102" t="s">
        <v>171</v>
      </c>
      <c r="B102">
        <v>259</v>
      </c>
      <c r="C102" s="19">
        <v>28.2</v>
      </c>
      <c r="D102" s="19">
        <v>2.7</v>
      </c>
    </row>
    <row r="103" spans="1:4" x14ac:dyDescent="0.25">
      <c r="A103" t="s">
        <v>171</v>
      </c>
      <c r="B103">
        <v>260</v>
      </c>
      <c r="C103" s="19">
        <v>28.2</v>
      </c>
      <c r="D103" s="19">
        <v>2.7</v>
      </c>
    </row>
    <row r="104" spans="1:4" x14ac:dyDescent="0.25">
      <c r="A104" t="s">
        <v>171</v>
      </c>
      <c r="B104">
        <v>261</v>
      </c>
      <c r="C104" s="19">
        <v>28.2</v>
      </c>
      <c r="D104" s="19">
        <v>2.7</v>
      </c>
    </row>
    <row r="105" spans="1:4" x14ac:dyDescent="0.25">
      <c r="A105" t="s">
        <v>171</v>
      </c>
      <c r="B105">
        <v>262</v>
      </c>
      <c r="C105" s="19">
        <v>28.2</v>
      </c>
      <c r="D105" s="19">
        <v>2.7</v>
      </c>
    </row>
    <row r="106" spans="1:4" x14ac:dyDescent="0.25">
      <c r="A106" t="s">
        <v>171</v>
      </c>
      <c r="B106">
        <v>263</v>
      </c>
      <c r="C106" s="19">
        <v>28.2</v>
      </c>
      <c r="D106" s="19">
        <v>2.7</v>
      </c>
    </row>
    <row r="107" spans="1:4" x14ac:dyDescent="0.25">
      <c r="A107" t="s">
        <v>171</v>
      </c>
      <c r="B107">
        <v>264</v>
      </c>
      <c r="C107" s="19">
        <v>28.2</v>
      </c>
      <c r="D107" s="19">
        <v>2.7</v>
      </c>
    </row>
    <row r="108" spans="1:4" x14ac:dyDescent="0.25">
      <c r="A108" t="s">
        <v>171</v>
      </c>
      <c r="B108">
        <v>265</v>
      </c>
      <c r="C108" s="19">
        <v>28.2</v>
      </c>
      <c r="D108" s="19">
        <v>2.7</v>
      </c>
    </row>
    <row r="109" spans="1:4" x14ac:dyDescent="0.25">
      <c r="A109" t="s">
        <v>171</v>
      </c>
      <c r="B109">
        <v>266</v>
      </c>
      <c r="C109" s="19">
        <v>28.2</v>
      </c>
      <c r="D109" s="19">
        <v>2.7</v>
      </c>
    </row>
    <row r="110" spans="1:4" x14ac:dyDescent="0.25">
      <c r="A110" t="s">
        <v>171</v>
      </c>
      <c r="B110">
        <v>267</v>
      </c>
      <c r="C110" s="19">
        <v>28.2</v>
      </c>
      <c r="D110" s="19">
        <v>2.7</v>
      </c>
    </row>
    <row r="111" spans="1:4" x14ac:dyDescent="0.25">
      <c r="A111" t="s">
        <v>171</v>
      </c>
      <c r="B111">
        <v>268</v>
      </c>
      <c r="C111" s="19">
        <v>28.2</v>
      </c>
      <c r="D111" s="19">
        <v>2.7</v>
      </c>
    </row>
    <row r="112" spans="1:4" x14ac:dyDescent="0.25">
      <c r="A112" t="s">
        <v>171</v>
      </c>
      <c r="B112">
        <v>269</v>
      </c>
      <c r="C112" s="19">
        <v>28.2</v>
      </c>
      <c r="D112" s="19">
        <v>2.7</v>
      </c>
    </row>
    <row r="113" spans="1:4" x14ac:dyDescent="0.25">
      <c r="A113" t="s">
        <v>171</v>
      </c>
      <c r="B113">
        <v>270</v>
      </c>
      <c r="C113" s="19">
        <v>28.2</v>
      </c>
      <c r="D113" s="19">
        <v>2.7</v>
      </c>
    </row>
    <row r="114" spans="1:4" x14ac:dyDescent="0.25">
      <c r="A114" t="s">
        <v>171</v>
      </c>
      <c r="B114">
        <v>271</v>
      </c>
      <c r="C114" s="19">
        <v>28.2</v>
      </c>
      <c r="D114" s="19">
        <v>2.7</v>
      </c>
    </row>
    <row r="115" spans="1:4" x14ac:dyDescent="0.25">
      <c r="A115" t="s">
        <v>171</v>
      </c>
      <c r="B115">
        <v>272</v>
      </c>
      <c r="C115" s="19">
        <v>28.2</v>
      </c>
      <c r="D115" s="19">
        <v>2.7</v>
      </c>
    </row>
    <row r="116" spans="1:4" x14ac:dyDescent="0.25">
      <c r="A116" t="s">
        <v>171</v>
      </c>
      <c r="B116">
        <v>273</v>
      </c>
      <c r="C116" s="19">
        <v>28.2</v>
      </c>
      <c r="D116" s="19">
        <v>2.7</v>
      </c>
    </row>
    <row r="117" spans="1:4" x14ac:dyDescent="0.25">
      <c r="A117" t="s">
        <v>171</v>
      </c>
      <c r="B117">
        <v>274</v>
      </c>
      <c r="C117" s="19">
        <v>28.2</v>
      </c>
      <c r="D117" s="19">
        <v>2.7</v>
      </c>
    </row>
    <row r="118" spans="1:4" x14ac:dyDescent="0.25">
      <c r="A118" t="s">
        <v>171</v>
      </c>
      <c r="B118">
        <v>275</v>
      </c>
      <c r="C118" s="19">
        <v>28.2</v>
      </c>
      <c r="D118" s="19">
        <v>2.7</v>
      </c>
    </row>
    <row r="119" spans="1:4" x14ac:dyDescent="0.25">
      <c r="A119" t="s">
        <v>171</v>
      </c>
      <c r="B119">
        <v>276</v>
      </c>
      <c r="C119" s="19">
        <v>28.2</v>
      </c>
      <c r="D119" s="19">
        <v>2.7</v>
      </c>
    </row>
    <row r="120" spans="1:4" x14ac:dyDescent="0.25">
      <c r="A120" t="s">
        <v>171</v>
      </c>
      <c r="B120">
        <v>277</v>
      </c>
      <c r="C120" s="19">
        <v>28.2</v>
      </c>
      <c r="D120" s="19">
        <v>2.7</v>
      </c>
    </row>
    <row r="121" spans="1:4" x14ac:dyDescent="0.25">
      <c r="A121" t="s">
        <v>171</v>
      </c>
      <c r="B121">
        <v>278</v>
      </c>
      <c r="C121" s="19">
        <v>28.2</v>
      </c>
      <c r="D121" s="19">
        <v>2.7</v>
      </c>
    </row>
    <row r="122" spans="1:4" x14ac:dyDescent="0.25">
      <c r="A122" t="s">
        <v>171</v>
      </c>
      <c r="B122">
        <v>279</v>
      </c>
      <c r="C122" s="19">
        <v>28.2</v>
      </c>
      <c r="D122" s="19">
        <v>2.7</v>
      </c>
    </row>
    <row r="123" spans="1:4" x14ac:dyDescent="0.25">
      <c r="A123" t="s">
        <v>171</v>
      </c>
      <c r="B123">
        <v>280</v>
      </c>
      <c r="C123" s="19">
        <v>28.2</v>
      </c>
      <c r="D123" s="19">
        <v>2.7</v>
      </c>
    </row>
    <row r="124" spans="1:4" x14ac:dyDescent="0.25">
      <c r="A124" t="s">
        <v>171</v>
      </c>
      <c r="B124">
        <v>281</v>
      </c>
      <c r="C124" s="19">
        <v>28.2</v>
      </c>
      <c r="D124" s="19">
        <v>2.7</v>
      </c>
    </row>
    <row r="125" spans="1:4" x14ac:dyDescent="0.25">
      <c r="A125" t="s">
        <v>171</v>
      </c>
      <c r="B125">
        <v>282</v>
      </c>
      <c r="C125" s="19">
        <v>28.2</v>
      </c>
      <c r="D125" s="19">
        <v>2.7</v>
      </c>
    </row>
    <row r="126" spans="1:4" x14ac:dyDescent="0.25">
      <c r="A126" t="s">
        <v>171</v>
      </c>
      <c r="B126">
        <v>283</v>
      </c>
      <c r="C126" s="19">
        <v>28.2</v>
      </c>
      <c r="D126" s="19">
        <v>2.7</v>
      </c>
    </row>
    <row r="127" spans="1:4" x14ac:dyDescent="0.25">
      <c r="A127" t="s">
        <v>171</v>
      </c>
      <c r="B127">
        <v>284</v>
      </c>
      <c r="C127" s="19">
        <v>28.2</v>
      </c>
      <c r="D127" s="19">
        <v>2.7</v>
      </c>
    </row>
    <row r="128" spans="1:4" x14ac:dyDescent="0.25">
      <c r="A128" t="s">
        <v>171</v>
      </c>
      <c r="B128">
        <v>285</v>
      </c>
      <c r="C128" s="19">
        <v>28.2</v>
      </c>
      <c r="D128" s="19">
        <v>2.7</v>
      </c>
    </row>
    <row r="129" spans="1:4" x14ac:dyDescent="0.25">
      <c r="A129" t="s">
        <v>171</v>
      </c>
      <c r="B129">
        <v>286</v>
      </c>
      <c r="C129" s="19">
        <v>28.2</v>
      </c>
      <c r="D129" s="19">
        <v>2.7</v>
      </c>
    </row>
    <row r="130" spans="1:4" x14ac:dyDescent="0.25">
      <c r="A130" t="s">
        <v>171</v>
      </c>
      <c r="B130">
        <v>287</v>
      </c>
      <c r="C130" s="19">
        <v>28.2</v>
      </c>
      <c r="D130" s="19">
        <v>2.7</v>
      </c>
    </row>
    <row r="131" spans="1:4" x14ac:dyDescent="0.25">
      <c r="A131" t="s">
        <v>171</v>
      </c>
      <c r="B131">
        <v>288</v>
      </c>
      <c r="C131" s="19">
        <v>28.2</v>
      </c>
      <c r="D131" s="19">
        <v>2.7</v>
      </c>
    </row>
    <row r="132" spans="1:4" x14ac:dyDescent="0.25">
      <c r="A132" t="s">
        <v>171</v>
      </c>
      <c r="B132">
        <v>289</v>
      </c>
      <c r="C132" s="19">
        <v>28.2</v>
      </c>
      <c r="D132" s="19">
        <v>2.7</v>
      </c>
    </row>
    <row r="133" spans="1:4" x14ac:dyDescent="0.25">
      <c r="A133" t="s">
        <v>171</v>
      </c>
      <c r="B133">
        <v>290</v>
      </c>
      <c r="C133" s="19">
        <v>28.2</v>
      </c>
      <c r="D133" s="19">
        <v>2.7</v>
      </c>
    </row>
    <row r="134" spans="1:4" x14ac:dyDescent="0.25">
      <c r="A134" t="s">
        <v>171</v>
      </c>
      <c r="B134">
        <v>291</v>
      </c>
      <c r="C134" s="19">
        <v>28.2</v>
      </c>
      <c r="D134" s="19">
        <v>2.7</v>
      </c>
    </row>
    <row r="135" spans="1:4" x14ac:dyDescent="0.25">
      <c r="A135" t="s">
        <v>171</v>
      </c>
      <c r="B135">
        <v>292</v>
      </c>
      <c r="C135" s="19">
        <v>28.2</v>
      </c>
      <c r="D135" s="19">
        <v>2.7</v>
      </c>
    </row>
    <row r="136" spans="1:4" x14ac:dyDescent="0.25">
      <c r="A136" t="s">
        <v>171</v>
      </c>
      <c r="B136">
        <v>293</v>
      </c>
      <c r="C136" s="19">
        <v>28.2</v>
      </c>
      <c r="D136" s="19">
        <v>2.7</v>
      </c>
    </row>
    <row r="137" spans="1:4" x14ac:dyDescent="0.25">
      <c r="A137" t="s">
        <v>171</v>
      </c>
      <c r="B137">
        <v>294</v>
      </c>
      <c r="C137" s="19">
        <v>28.2</v>
      </c>
      <c r="D137" s="19">
        <v>2.7</v>
      </c>
    </row>
    <row r="138" spans="1:4" x14ac:dyDescent="0.25">
      <c r="A138" t="s">
        <v>171</v>
      </c>
      <c r="B138">
        <v>295</v>
      </c>
      <c r="C138" s="19">
        <v>28.2</v>
      </c>
      <c r="D138" s="19">
        <v>2.7</v>
      </c>
    </row>
    <row r="139" spans="1:4" x14ac:dyDescent="0.25">
      <c r="A139" t="s">
        <v>171</v>
      </c>
      <c r="B139">
        <v>296</v>
      </c>
      <c r="C139" s="19">
        <v>28.2</v>
      </c>
      <c r="D139" s="19">
        <v>2.7</v>
      </c>
    </row>
    <row r="140" spans="1:4" x14ac:dyDescent="0.25">
      <c r="A140" t="s">
        <v>171</v>
      </c>
      <c r="B140">
        <v>297</v>
      </c>
      <c r="C140" s="19">
        <v>28.2</v>
      </c>
      <c r="D140" s="19">
        <v>2.7</v>
      </c>
    </row>
    <row r="141" spans="1:4" x14ac:dyDescent="0.25">
      <c r="A141" t="s">
        <v>171</v>
      </c>
      <c r="B141">
        <v>298</v>
      </c>
      <c r="C141" s="19">
        <v>28.2</v>
      </c>
      <c r="D141" s="19">
        <v>2.7</v>
      </c>
    </row>
    <row r="142" spans="1:4" x14ac:dyDescent="0.25">
      <c r="A142" t="s">
        <v>171</v>
      </c>
      <c r="B142">
        <v>299</v>
      </c>
      <c r="C142" s="19">
        <v>28.2</v>
      </c>
      <c r="D142" s="19">
        <v>2.7</v>
      </c>
    </row>
    <row r="143" spans="1:4" x14ac:dyDescent="0.25">
      <c r="A143" t="s">
        <v>171</v>
      </c>
      <c r="B143">
        <v>300</v>
      </c>
      <c r="C143" s="19">
        <v>28.2</v>
      </c>
      <c r="D143" s="19">
        <v>2.7</v>
      </c>
    </row>
    <row r="144" spans="1:4" x14ac:dyDescent="0.25">
      <c r="A144" t="s">
        <v>171</v>
      </c>
      <c r="B144">
        <v>301</v>
      </c>
      <c r="C144" s="19">
        <v>28.2</v>
      </c>
      <c r="D144" s="19">
        <v>2.7</v>
      </c>
    </row>
    <row r="145" spans="1:4" x14ac:dyDescent="0.25">
      <c r="A145" t="s">
        <v>171</v>
      </c>
      <c r="B145">
        <v>302</v>
      </c>
      <c r="C145" s="19">
        <v>28.2</v>
      </c>
      <c r="D145" s="19">
        <v>2.7</v>
      </c>
    </row>
    <row r="146" spans="1:4" x14ac:dyDescent="0.25">
      <c r="A146" t="s">
        <v>171</v>
      </c>
      <c r="B146">
        <v>303</v>
      </c>
      <c r="C146" s="19">
        <v>28.2</v>
      </c>
      <c r="D146" s="19">
        <v>2.7</v>
      </c>
    </row>
    <row r="147" spans="1:4" x14ac:dyDescent="0.25">
      <c r="A147" t="s">
        <v>171</v>
      </c>
      <c r="B147">
        <v>304</v>
      </c>
      <c r="C147" s="19">
        <v>28.2</v>
      </c>
      <c r="D147" s="19">
        <v>2.7</v>
      </c>
    </row>
    <row r="148" spans="1:4" x14ac:dyDescent="0.25">
      <c r="A148" t="s">
        <v>171</v>
      </c>
      <c r="B148">
        <v>305</v>
      </c>
      <c r="C148" s="19">
        <v>28.2</v>
      </c>
      <c r="D148" s="19">
        <v>2.7</v>
      </c>
    </row>
    <row r="149" spans="1:4" x14ac:dyDescent="0.25">
      <c r="A149" t="s">
        <v>171</v>
      </c>
      <c r="B149">
        <v>306</v>
      </c>
      <c r="C149" s="19">
        <v>28.2</v>
      </c>
      <c r="D149" s="19">
        <v>2.7</v>
      </c>
    </row>
    <row r="150" spans="1:4" x14ac:dyDescent="0.25">
      <c r="A150" t="s">
        <v>171</v>
      </c>
      <c r="B150">
        <v>307</v>
      </c>
      <c r="C150" s="19">
        <v>28.2</v>
      </c>
      <c r="D150" s="19">
        <v>2.7</v>
      </c>
    </row>
    <row r="151" spans="1:4" x14ac:dyDescent="0.25">
      <c r="A151" t="s">
        <v>171</v>
      </c>
      <c r="B151">
        <v>308</v>
      </c>
      <c r="C151" s="19">
        <v>28.2</v>
      </c>
      <c r="D151" s="19">
        <v>2.7</v>
      </c>
    </row>
    <row r="152" spans="1:4" x14ac:dyDescent="0.25">
      <c r="A152" t="s">
        <v>171</v>
      </c>
      <c r="B152">
        <v>309</v>
      </c>
      <c r="C152" s="19">
        <v>28.2</v>
      </c>
      <c r="D152" s="19">
        <v>2.7</v>
      </c>
    </row>
    <row r="153" spans="1:4" x14ac:dyDescent="0.25">
      <c r="A153" t="s">
        <v>171</v>
      </c>
      <c r="B153">
        <v>310</v>
      </c>
      <c r="C153" s="19">
        <v>28.2</v>
      </c>
      <c r="D153" s="19">
        <v>2.7</v>
      </c>
    </row>
    <row r="154" spans="1:4" x14ac:dyDescent="0.25">
      <c r="A154" t="s">
        <v>171</v>
      </c>
      <c r="B154">
        <v>311</v>
      </c>
      <c r="C154" s="19">
        <v>28.2</v>
      </c>
      <c r="D154" s="19">
        <v>2.7</v>
      </c>
    </row>
    <row r="155" spans="1:4" x14ac:dyDescent="0.25">
      <c r="A155" t="s">
        <v>171</v>
      </c>
      <c r="B155">
        <v>312</v>
      </c>
      <c r="C155" s="19">
        <v>28.2</v>
      </c>
      <c r="D155" s="19">
        <v>2.7</v>
      </c>
    </row>
    <row r="156" spans="1:4" x14ac:dyDescent="0.25">
      <c r="A156" t="s">
        <v>171</v>
      </c>
      <c r="B156">
        <v>313</v>
      </c>
      <c r="C156" s="19">
        <v>28.2</v>
      </c>
      <c r="D156" s="19">
        <v>2.7</v>
      </c>
    </row>
    <row r="157" spans="1:4" x14ac:dyDescent="0.25">
      <c r="A157" t="s">
        <v>171</v>
      </c>
      <c r="B157">
        <v>314</v>
      </c>
      <c r="C157" s="19">
        <v>28.2</v>
      </c>
      <c r="D157" s="19">
        <v>2.7</v>
      </c>
    </row>
    <row r="158" spans="1:4" x14ac:dyDescent="0.25">
      <c r="A158" t="s">
        <v>171</v>
      </c>
      <c r="B158">
        <v>315</v>
      </c>
      <c r="C158" s="19">
        <v>28.2</v>
      </c>
      <c r="D158" s="19">
        <v>2.7</v>
      </c>
    </row>
    <row r="159" spans="1:4" x14ac:dyDescent="0.25">
      <c r="A159" t="s">
        <v>171</v>
      </c>
      <c r="B159">
        <v>316</v>
      </c>
      <c r="C159" s="19">
        <v>28.2</v>
      </c>
      <c r="D159" s="19">
        <v>2.7</v>
      </c>
    </row>
    <row r="160" spans="1:4" x14ac:dyDescent="0.25">
      <c r="A160" t="s">
        <v>171</v>
      </c>
      <c r="B160">
        <v>317</v>
      </c>
      <c r="C160" s="19">
        <v>28.2</v>
      </c>
      <c r="D160" s="19">
        <v>2.7</v>
      </c>
    </row>
    <row r="161" spans="1:4" x14ac:dyDescent="0.25">
      <c r="A161" t="s">
        <v>171</v>
      </c>
      <c r="B161">
        <v>318</v>
      </c>
      <c r="C161" s="19">
        <v>28.2</v>
      </c>
      <c r="D161" s="19">
        <v>2.7</v>
      </c>
    </row>
    <row r="162" spans="1:4" x14ac:dyDescent="0.25">
      <c r="A162" t="s">
        <v>171</v>
      </c>
      <c r="B162">
        <v>319</v>
      </c>
      <c r="C162" s="19">
        <v>28.2</v>
      </c>
      <c r="D162" s="19">
        <v>2.7</v>
      </c>
    </row>
    <row r="163" spans="1:4" x14ac:dyDescent="0.25">
      <c r="A163" t="s">
        <v>171</v>
      </c>
      <c r="B163">
        <v>320</v>
      </c>
      <c r="C163" s="19">
        <v>28.2</v>
      </c>
      <c r="D163" s="19">
        <v>2.7</v>
      </c>
    </row>
    <row r="164" spans="1:4" x14ac:dyDescent="0.25">
      <c r="A164" t="s">
        <v>171</v>
      </c>
      <c r="B164">
        <v>321</v>
      </c>
      <c r="C164" s="19">
        <v>28.2</v>
      </c>
      <c r="D164" s="19">
        <v>2.7</v>
      </c>
    </row>
    <row r="165" spans="1:4" x14ac:dyDescent="0.25">
      <c r="A165" t="s">
        <v>171</v>
      </c>
      <c r="B165">
        <v>322</v>
      </c>
      <c r="C165" s="19">
        <v>28.2</v>
      </c>
      <c r="D165" s="19">
        <v>2.7</v>
      </c>
    </row>
  </sheetData>
  <pageMargins left="0.7" right="0.7" top="0.75" bottom="0.75" header="0.3" footer="0.3"/>
  <pageSetup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3CB35-E99B-4591-A17A-A9D0A088B84D}">
  <dimension ref="A1:Q78"/>
  <sheetViews>
    <sheetView zoomScale="93" workbookViewId="0">
      <selection activeCell="N7" sqref="N7"/>
    </sheetView>
  </sheetViews>
  <sheetFormatPr defaultRowHeight="15" x14ac:dyDescent="0.25"/>
  <cols>
    <col min="1" max="1" width="15.85546875" bestFit="1" customWidth="1"/>
    <col min="2" max="3" width="27.5703125" bestFit="1" customWidth="1"/>
    <col min="4" max="5" width="25.28515625" bestFit="1" customWidth="1"/>
    <col min="6" max="6" width="16.7109375" bestFit="1" customWidth="1"/>
    <col min="7" max="7" width="9.42578125" bestFit="1" customWidth="1"/>
    <col min="8" max="8" width="27.5703125" bestFit="1" customWidth="1"/>
    <col min="9" max="9" width="12.42578125" bestFit="1" customWidth="1"/>
    <col min="12" max="12" width="18.140625" bestFit="1" customWidth="1"/>
    <col min="13" max="14" width="27.5703125" bestFit="1" customWidth="1"/>
    <col min="15" max="15" width="12.28515625" bestFit="1" customWidth="1"/>
    <col min="17" max="17" width="12.7109375" bestFit="1" customWidth="1"/>
  </cols>
  <sheetData>
    <row r="1" spans="1:17" x14ac:dyDescent="0.25">
      <c r="A1" s="32" t="s">
        <v>297</v>
      </c>
      <c r="B1" s="32"/>
      <c r="C1" s="32"/>
    </row>
    <row r="3" spans="1:17" x14ac:dyDescent="0.25">
      <c r="G3" t="s">
        <v>135</v>
      </c>
      <c r="H3" t="s">
        <v>299</v>
      </c>
      <c r="L3" t="s">
        <v>305</v>
      </c>
    </row>
    <row r="4" spans="1:17" x14ac:dyDescent="0.25">
      <c r="A4" t="s">
        <v>14</v>
      </c>
      <c r="B4" t="s">
        <v>14</v>
      </c>
      <c r="C4" t="s">
        <v>7</v>
      </c>
      <c r="E4" t="s">
        <v>13</v>
      </c>
      <c r="F4" t="s">
        <v>301</v>
      </c>
      <c r="G4">
        <v>2</v>
      </c>
      <c r="H4">
        <f>G4*0.000001</f>
        <v>1.9999999999999999E-6</v>
      </c>
      <c r="M4" t="s">
        <v>306</v>
      </c>
      <c r="O4" t="s">
        <v>307</v>
      </c>
      <c r="Q4" t="s">
        <v>308</v>
      </c>
    </row>
    <row r="5" spans="1:17" x14ac:dyDescent="0.25">
      <c r="A5">
        <v>9.7665204851993259E-4</v>
      </c>
      <c r="B5">
        <f>A5</f>
        <v>9.7665204851993259E-4</v>
      </c>
      <c r="C5">
        <v>6.0558925622242202E-2</v>
      </c>
      <c r="E5">
        <v>3.0279462811121101</v>
      </c>
      <c r="L5" t="s">
        <v>219</v>
      </c>
      <c r="M5" t="s">
        <v>309</v>
      </c>
      <c r="N5" t="s">
        <v>310</v>
      </c>
      <c r="O5" t="s">
        <v>195</v>
      </c>
      <c r="Q5" t="s">
        <v>311</v>
      </c>
    </row>
    <row r="6" spans="1:17" x14ac:dyDescent="0.25">
      <c r="A6">
        <v>4.4898319099859973E-2</v>
      </c>
      <c r="B6">
        <f t="shared" ref="B6:B34" si="0">A6</f>
        <v>4.4898319099859973E-2</v>
      </c>
      <c r="C6">
        <v>6.2123164421656794E-2</v>
      </c>
      <c r="E6">
        <v>3.1061582210828398</v>
      </c>
    </row>
    <row r="7" spans="1:17" x14ac:dyDescent="0.25">
      <c r="A7">
        <v>0.46529141801998986</v>
      </c>
      <c r="B7">
        <f t="shared" si="0"/>
        <v>0.46529141801998986</v>
      </c>
      <c r="C7">
        <v>7.7095164358911603E-2</v>
      </c>
      <c r="E7">
        <v>3.8547582179455802</v>
      </c>
    </row>
    <row r="8" spans="1:17" x14ac:dyDescent="0.25">
      <c r="A8">
        <v>0.49666403734236986</v>
      </c>
      <c r="B8">
        <f t="shared" si="0"/>
        <v>0.49666403734236986</v>
      </c>
      <c r="C8">
        <v>7.8212477787064999E-2</v>
      </c>
      <c r="E8">
        <v>3.9106238893532499</v>
      </c>
    </row>
    <row r="9" spans="1:17" x14ac:dyDescent="0.25">
      <c r="A9">
        <v>0.52803665666477984</v>
      </c>
      <c r="B9">
        <f t="shared" si="0"/>
        <v>0.52803665666477984</v>
      </c>
      <c r="C9">
        <v>7.9329791215218395E-2</v>
      </c>
      <c r="E9">
        <v>3.9664895607609201</v>
      </c>
    </row>
    <row r="10" spans="1:17" x14ac:dyDescent="0.25">
      <c r="A10">
        <v>1.5727448801005846</v>
      </c>
      <c r="B10">
        <f t="shared" si="0"/>
        <v>1.5727448801005846</v>
      </c>
      <c r="C10">
        <v>5.6536328372724605E-2</v>
      </c>
      <c r="E10">
        <v>2.8268164186362301</v>
      </c>
    </row>
    <row r="11" spans="1:17" x14ac:dyDescent="0.25">
      <c r="A11">
        <v>3.15078763201709</v>
      </c>
      <c r="B11">
        <f t="shared" si="0"/>
        <v>3.15078763201709</v>
      </c>
      <c r="C11">
        <v>5.2737193808837596E-2</v>
      </c>
      <c r="E11">
        <v>2.63685969044188</v>
      </c>
    </row>
    <row r="12" spans="1:17" x14ac:dyDescent="0.25">
      <c r="A12">
        <v>3.2072583467974098</v>
      </c>
      <c r="B12">
        <f t="shared" si="0"/>
        <v>3.2072583467974098</v>
      </c>
      <c r="C12">
        <v>5.47483579795136E-2</v>
      </c>
      <c r="E12">
        <v>2.7374178989756799</v>
      </c>
    </row>
    <row r="13" spans="1:17" x14ac:dyDescent="0.25">
      <c r="A13">
        <v>7.9162885070890701</v>
      </c>
      <c r="B13">
        <f t="shared" si="0"/>
        <v>7.9162885070890701</v>
      </c>
      <c r="C13">
        <v>4.2457103545329999E-2</v>
      </c>
      <c r="E13">
        <v>2.1228551772665001</v>
      </c>
    </row>
    <row r="14" spans="1:17" x14ac:dyDescent="0.25">
      <c r="A14">
        <v>8.0731516037010387</v>
      </c>
      <c r="B14">
        <f t="shared" si="0"/>
        <v>8.0731516037010387</v>
      </c>
      <c r="C14">
        <v>4.80436706860966E-2</v>
      </c>
      <c r="E14">
        <v>2.4021835343048301</v>
      </c>
    </row>
    <row r="15" spans="1:17" x14ac:dyDescent="0.25">
      <c r="A15">
        <v>8.1672694616682495</v>
      </c>
      <c r="B15">
        <f t="shared" si="0"/>
        <v>8.1672694616682495</v>
      </c>
      <c r="C15">
        <v>5.1395610970556602E-2</v>
      </c>
      <c r="E15">
        <v>2.56978054852783</v>
      </c>
    </row>
    <row r="16" spans="1:17" x14ac:dyDescent="0.25">
      <c r="A16">
        <v>11.51159068143569</v>
      </c>
      <c r="B16">
        <f t="shared" si="0"/>
        <v>11.51159068143569</v>
      </c>
      <c r="C16">
        <v>5.0501222411702802E-2</v>
      </c>
      <c r="E16">
        <v>2.5250611205851401</v>
      </c>
    </row>
    <row r="17" spans="1:5" x14ac:dyDescent="0.25">
      <c r="A17">
        <v>21.381416720261498</v>
      </c>
      <c r="B17">
        <f t="shared" si="0"/>
        <v>21.381416720261498</v>
      </c>
      <c r="C17">
        <v>4.2008026908743598E-2</v>
      </c>
      <c r="E17">
        <v>2.1004013454371799</v>
      </c>
    </row>
    <row r="18" spans="1:5" x14ac:dyDescent="0.25">
      <c r="A18">
        <v>21.601025055518299</v>
      </c>
      <c r="B18">
        <f t="shared" si="0"/>
        <v>21.601025055518299</v>
      </c>
      <c r="C18">
        <v>4.9829220905816998E-2</v>
      </c>
      <c r="E18">
        <v>2.4914610452908499</v>
      </c>
    </row>
    <row r="19" spans="1:5" x14ac:dyDescent="0.25">
      <c r="A19">
        <v>26.303780691945498</v>
      </c>
      <c r="B19">
        <f t="shared" si="0"/>
        <v>26.303780691945498</v>
      </c>
      <c r="C19">
        <v>3.7314503786002803E-2</v>
      </c>
      <c r="E19">
        <v>1.8657251893001401</v>
      </c>
    </row>
    <row r="20" spans="1:5" x14ac:dyDescent="0.25">
      <c r="A20">
        <v>31.5775180000403</v>
      </c>
      <c r="B20">
        <f t="shared" si="0"/>
        <v>31.5775180000403</v>
      </c>
      <c r="C20">
        <v>4.5134891058579193E-2</v>
      </c>
      <c r="E20">
        <v>2.2567445529289598</v>
      </c>
    </row>
    <row r="21" spans="1:5" x14ac:dyDescent="0.25">
      <c r="A21">
        <v>38.128120914556604</v>
      </c>
      <c r="B21">
        <f t="shared" si="0"/>
        <v>38.128120914556604</v>
      </c>
      <c r="C21">
        <v>3.8429934856996799E-2</v>
      </c>
      <c r="E21">
        <v>1.92149674284984</v>
      </c>
    </row>
    <row r="22" spans="1:5" x14ac:dyDescent="0.25">
      <c r="A22">
        <v>83.433320478029003</v>
      </c>
      <c r="B22">
        <f t="shared" si="0"/>
        <v>83.433320478029003</v>
      </c>
      <c r="C22">
        <v>3.1942256453235597E-2</v>
      </c>
      <c r="E22">
        <v>1.5971128226617799</v>
      </c>
    </row>
    <row r="23" spans="1:5" x14ac:dyDescent="0.25">
      <c r="A23">
        <v>83.496065716673797</v>
      </c>
      <c r="B23">
        <f t="shared" si="0"/>
        <v>83.496065716673797</v>
      </c>
      <c r="C23">
        <v>3.4176883309542404E-2</v>
      </c>
      <c r="E23">
        <v>1.70884416547712</v>
      </c>
    </row>
    <row r="24" spans="1:5" x14ac:dyDescent="0.25">
      <c r="A24">
        <v>95.081974032434701</v>
      </c>
      <c r="B24">
        <f t="shared" si="0"/>
        <v>95.081974032434701</v>
      </c>
      <c r="C24">
        <v>2.6800732326571E-2</v>
      </c>
      <c r="E24">
        <v>1.34003661632855</v>
      </c>
    </row>
    <row r="25" spans="1:5" x14ac:dyDescent="0.25">
      <c r="A25">
        <v>115.279666352193</v>
      </c>
      <c r="B25">
        <f t="shared" si="0"/>
        <v>115.279666352193</v>
      </c>
      <c r="C25">
        <v>2.6127117371691398E-2</v>
      </c>
      <c r="E25">
        <v>1.30635586858457</v>
      </c>
    </row>
    <row r="26" spans="1:5" x14ac:dyDescent="0.25">
      <c r="A26">
        <v>145.48522423579598</v>
      </c>
      <c r="B26">
        <f t="shared" si="0"/>
        <v>145.48522423579598</v>
      </c>
      <c r="C26">
        <v>2.1876485997727603E-2</v>
      </c>
      <c r="E26">
        <v>1.0938242998863801</v>
      </c>
    </row>
    <row r="27" spans="1:5" x14ac:dyDescent="0.25">
      <c r="A27">
        <v>174.01234698565099</v>
      </c>
      <c r="B27">
        <f t="shared" si="0"/>
        <v>174.01234698565099</v>
      </c>
      <c r="C27">
        <v>1.7849586217560141E-2</v>
      </c>
      <c r="E27">
        <v>0.89247931087800703</v>
      </c>
    </row>
    <row r="28" spans="1:5" x14ac:dyDescent="0.25">
      <c r="A28">
        <v>236.396800508236</v>
      </c>
      <c r="B28">
        <f t="shared" si="0"/>
        <v>236.396800508236</v>
      </c>
      <c r="C28">
        <v>1.962733810047752E-2</v>
      </c>
      <c r="E28">
        <v>0.98136690502387602</v>
      </c>
    </row>
    <row r="29" spans="1:5" x14ac:dyDescent="0.25">
      <c r="A29">
        <v>596.72388247368599</v>
      </c>
      <c r="B29">
        <f t="shared" si="0"/>
        <v>596.72388247368599</v>
      </c>
      <c r="C29">
        <v>1.2418985812853341E-2</v>
      </c>
      <c r="E29">
        <v>0.62094929064266702</v>
      </c>
    </row>
    <row r="30" spans="1:5" x14ac:dyDescent="0.25">
      <c r="A30">
        <v>598.37094498811098</v>
      </c>
      <c r="B30">
        <f t="shared" si="0"/>
        <v>598.37094498811098</v>
      </c>
      <c r="C30">
        <v>1.1077940790903719E-2</v>
      </c>
      <c r="E30">
        <v>0.55389703954518599</v>
      </c>
    </row>
    <row r="31" spans="1:5" x14ac:dyDescent="0.25">
      <c r="A31">
        <v>600.12467440823298</v>
      </c>
      <c r="B31">
        <f t="shared" si="0"/>
        <v>600.12467440823298</v>
      </c>
      <c r="C31">
        <v>1.3535761424675441E-2</v>
      </c>
      <c r="E31">
        <v>0.67678807123377205</v>
      </c>
    </row>
    <row r="32" spans="1:5" x14ac:dyDescent="0.25">
      <c r="A32">
        <v>1442.2912674986301</v>
      </c>
      <c r="B32">
        <f t="shared" si="0"/>
        <v>1442.2912674986301</v>
      </c>
      <c r="C32">
        <v>6.6974267729451396E-3</v>
      </c>
      <c r="E32">
        <v>0.33487133864725699</v>
      </c>
    </row>
    <row r="33" spans="1:8" x14ac:dyDescent="0.25">
      <c r="A33">
        <v>1445.61049062294</v>
      </c>
      <c r="B33">
        <f t="shared" si="0"/>
        <v>1445.61049062294</v>
      </c>
      <c r="C33">
        <v>4.90918747156856E-3</v>
      </c>
      <c r="E33">
        <v>0.24545937357842801</v>
      </c>
    </row>
    <row r="34" spans="1:8" x14ac:dyDescent="0.25">
      <c r="A34">
        <v>1445.7234320525001</v>
      </c>
      <c r="B34">
        <f t="shared" si="0"/>
        <v>1445.7234320525001</v>
      </c>
      <c r="C34">
        <v>8.9315158129205791E-3</v>
      </c>
      <c r="E34">
        <v>0.44657579064602898</v>
      </c>
    </row>
    <row r="37" spans="1:8" x14ac:dyDescent="0.25">
      <c r="A37" s="32" t="s">
        <v>298</v>
      </c>
      <c r="B37" s="32"/>
      <c r="C37" s="32"/>
    </row>
    <row r="38" spans="1:8" x14ac:dyDescent="0.25">
      <c r="A38" s="22" t="s">
        <v>0</v>
      </c>
      <c r="B38" t="s">
        <v>14</v>
      </c>
      <c r="C38" s="23" t="s">
        <v>199</v>
      </c>
      <c r="D38" s="22" t="s">
        <v>200</v>
      </c>
      <c r="G38">
        <f>800*2.3</f>
        <v>1839.9999999999998</v>
      </c>
      <c r="H38">
        <f>G38*0.000001</f>
        <v>1.8399999999999996E-3</v>
      </c>
    </row>
    <row r="39" spans="1:8" x14ac:dyDescent="0.25">
      <c r="A39">
        <v>240</v>
      </c>
      <c r="B39">
        <f>(A39-240)*60</f>
        <v>0</v>
      </c>
      <c r="C39">
        <v>6.39652189887176</v>
      </c>
      <c r="D39">
        <v>0</v>
      </c>
      <c r="E39">
        <f>C39/$G$38*100</f>
        <v>0.34763705972129133</v>
      </c>
    </row>
    <row r="40" spans="1:8" x14ac:dyDescent="0.25">
      <c r="A40">
        <v>242</v>
      </c>
      <c r="B40">
        <f t="shared" ref="B40:B42" si="1">(A40-240)*60</f>
        <v>120</v>
      </c>
      <c r="C40">
        <v>114.014971755736</v>
      </c>
      <c r="D40">
        <v>2.6741865933007456E-2</v>
      </c>
      <c r="E40">
        <f t="shared" ref="E40:E42" si="2">C40/$G$38*100</f>
        <v>6.1964658562900006</v>
      </c>
    </row>
    <row r="41" spans="1:8" x14ac:dyDescent="0.25">
      <c r="A41">
        <v>244</v>
      </c>
      <c r="B41">
        <f t="shared" si="1"/>
        <v>240</v>
      </c>
      <c r="C41">
        <v>91.597752705784998</v>
      </c>
      <c r="D41">
        <v>1.9351670404121651E-2</v>
      </c>
      <c r="E41">
        <f t="shared" si="2"/>
        <v>4.9781387340100549</v>
      </c>
    </row>
    <row r="42" spans="1:8" x14ac:dyDescent="0.25">
      <c r="A42">
        <v>247</v>
      </c>
      <c r="B42">
        <f t="shared" si="1"/>
        <v>420</v>
      </c>
      <c r="C42">
        <v>70.512376957580003</v>
      </c>
      <c r="D42">
        <v>1.1982758638358132E-2</v>
      </c>
      <c r="E42">
        <f t="shared" si="2"/>
        <v>3.8321943998684791</v>
      </c>
    </row>
    <row r="45" spans="1:8" x14ac:dyDescent="0.25">
      <c r="A45" s="32" t="s">
        <v>300</v>
      </c>
      <c r="B45" s="32"/>
      <c r="C45" s="32"/>
      <c r="D45" s="32"/>
    </row>
    <row r="46" spans="1:8" x14ac:dyDescent="0.25">
      <c r="A46" t="s">
        <v>0</v>
      </c>
      <c r="G46">
        <f>1*0.23*1000</f>
        <v>230</v>
      </c>
      <c r="H46">
        <f>G46*0.000001</f>
        <v>2.2999999999999998E-4</v>
      </c>
    </row>
    <row r="47" spans="1:8" x14ac:dyDescent="0.25">
      <c r="A47">
        <v>4</v>
      </c>
      <c r="B47">
        <f>A47*60</f>
        <v>240</v>
      </c>
      <c r="C47">
        <f>$G$46*E47/100</f>
        <v>13.657198858708444</v>
      </c>
      <c r="D47">
        <f>$G$46*F47/100</f>
        <v>13.657198858708444</v>
      </c>
      <c r="E47">
        <v>5.9379125472645402</v>
      </c>
      <c r="F47">
        <f t="shared" ref="F47:F52" si="3">ABS(G47-E47)</f>
        <v>5.9379125472645402</v>
      </c>
    </row>
    <row r="48" spans="1:8" x14ac:dyDescent="0.25">
      <c r="A48">
        <v>8</v>
      </c>
      <c r="B48">
        <f t="shared" ref="B48:B52" si="4">A48*60</f>
        <v>480</v>
      </c>
      <c r="C48">
        <f t="shared" ref="C48:D52" si="5">$G$46*E48/100</f>
        <v>9.3475705055191458</v>
      </c>
      <c r="D48">
        <f t="shared" si="5"/>
        <v>9.3475705055191458</v>
      </c>
      <c r="E48">
        <v>4.0641610893561504</v>
      </c>
      <c r="F48">
        <f t="shared" si="3"/>
        <v>4.0641610893561504</v>
      </c>
    </row>
    <row r="49" spans="1:8" x14ac:dyDescent="0.25">
      <c r="A49">
        <v>24</v>
      </c>
      <c r="B49">
        <f t="shared" si="4"/>
        <v>1440</v>
      </c>
      <c r="C49">
        <f t="shared" si="5"/>
        <v>5.3460216100827527</v>
      </c>
      <c r="D49">
        <f t="shared" si="5"/>
        <v>5.3460216100827527</v>
      </c>
      <c r="E49">
        <v>2.3243572217751098</v>
      </c>
      <c r="F49">
        <f t="shared" si="3"/>
        <v>2.3243572217751098</v>
      </c>
    </row>
    <row r="50" spans="1:8" x14ac:dyDescent="0.25">
      <c r="A50">
        <v>48</v>
      </c>
      <c r="B50">
        <f t="shared" si="4"/>
        <v>2880</v>
      </c>
      <c r="C50">
        <f t="shared" si="5"/>
        <v>2.6934510183992106</v>
      </c>
      <c r="D50">
        <f t="shared" si="5"/>
        <v>2.6934510183992106</v>
      </c>
      <c r="E50">
        <v>1.1710656601735701</v>
      </c>
      <c r="F50">
        <f t="shared" si="3"/>
        <v>1.1710656601735701</v>
      </c>
    </row>
    <row r="51" spans="1:8" x14ac:dyDescent="0.25">
      <c r="A51">
        <v>72</v>
      </c>
      <c r="B51">
        <f t="shared" si="4"/>
        <v>4320</v>
      </c>
      <c r="C51">
        <f t="shared" si="5"/>
        <v>1.314840554850164</v>
      </c>
      <c r="D51">
        <f t="shared" si="5"/>
        <v>1.314840554850164</v>
      </c>
      <c r="E51">
        <v>0.57166980645659304</v>
      </c>
      <c r="F51">
        <f t="shared" si="3"/>
        <v>0.57166980645659304</v>
      </c>
    </row>
    <row r="52" spans="1:8" x14ac:dyDescent="0.25">
      <c r="A52">
        <v>96</v>
      </c>
      <c r="B52">
        <f t="shared" si="4"/>
        <v>5760</v>
      </c>
      <c r="C52">
        <f t="shared" si="5"/>
        <v>0.70565350855240649</v>
      </c>
      <c r="D52">
        <f t="shared" si="5"/>
        <v>0.70565350855240649</v>
      </c>
      <c r="E52">
        <v>0.306805873283655</v>
      </c>
      <c r="F52">
        <f t="shared" si="3"/>
        <v>0.306805873283655</v>
      </c>
    </row>
    <row r="54" spans="1:8" x14ac:dyDescent="0.25">
      <c r="A54" t="s">
        <v>302</v>
      </c>
    </row>
    <row r="55" spans="1:8" x14ac:dyDescent="0.25">
      <c r="B55">
        <v>6.44875435522526</v>
      </c>
      <c r="C55">
        <f>$G$55*E55/100</f>
        <v>6.9116736820198801</v>
      </c>
      <c r="E55">
        <v>6.9116736820198801</v>
      </c>
      <c r="G55">
        <f>0.1*1000</f>
        <v>100</v>
      </c>
      <c r="H55">
        <f>G55*0.000001</f>
        <v>9.9999999999999991E-5</v>
      </c>
    </row>
    <row r="56" spans="1:8" x14ac:dyDescent="0.25">
      <c r="B56">
        <v>15.419813505729699</v>
      </c>
      <c r="C56">
        <f t="shared" ref="C56:C60" si="6">$G$55*E56/100</f>
        <v>5.7701515182029901</v>
      </c>
      <c r="E56">
        <v>5.7701515182029901</v>
      </c>
    </row>
    <row r="57" spans="1:8" x14ac:dyDescent="0.25">
      <c r="B57">
        <v>29.8253881940668</v>
      </c>
      <c r="C57">
        <f t="shared" si="6"/>
        <v>5.0937237763411396</v>
      </c>
      <c r="E57">
        <v>5.0937237763411396</v>
      </c>
    </row>
    <row r="58" spans="1:8" x14ac:dyDescent="0.25">
      <c r="B58">
        <v>60.292026665055403</v>
      </c>
      <c r="C58">
        <f t="shared" si="6"/>
        <v>4.4375432165898001</v>
      </c>
      <c r="E58">
        <v>4.4375432165898001</v>
      </c>
    </row>
    <row r="59" spans="1:8" x14ac:dyDescent="0.25">
      <c r="B59">
        <v>90.583851932410894</v>
      </c>
      <c r="C59">
        <f t="shared" si="6"/>
        <v>3.9063366429688697</v>
      </c>
      <c r="E59">
        <v>3.9063366429688702</v>
      </c>
    </row>
    <row r="60" spans="1:8" x14ac:dyDescent="0.25">
      <c r="B60">
        <v>120.51155015809699</v>
      </c>
      <c r="C60">
        <f t="shared" si="6"/>
        <v>3.3036473123476902</v>
      </c>
      <c r="E60">
        <v>3.3036473123476902</v>
      </c>
    </row>
    <row r="62" spans="1:8" x14ac:dyDescent="0.25">
      <c r="A62" t="s">
        <v>303</v>
      </c>
    </row>
    <row r="63" spans="1:8" x14ac:dyDescent="0.25">
      <c r="A63">
        <v>0</v>
      </c>
      <c r="B63">
        <f>A63*60</f>
        <v>0</v>
      </c>
      <c r="E63">
        <v>1.7279062145192601</v>
      </c>
      <c r="F63">
        <v>0.82459845938143994</v>
      </c>
    </row>
    <row r="64" spans="1:8" x14ac:dyDescent="0.25">
      <c r="A64">
        <v>0.26087552830181798</v>
      </c>
      <c r="B64">
        <f t="shared" ref="B64:B71" si="7">A64*60</f>
        <v>15.65253169810908</v>
      </c>
      <c r="E64">
        <v>1.2900561852580701</v>
      </c>
      <c r="F64">
        <v>0.47052227014933989</v>
      </c>
    </row>
    <row r="65" spans="1:7" x14ac:dyDescent="0.25">
      <c r="A65">
        <v>0.93692861293477603</v>
      </c>
      <c r="B65">
        <f t="shared" si="7"/>
        <v>56.215716776086559</v>
      </c>
      <c r="E65">
        <v>1.0624745693819599</v>
      </c>
      <c r="F65">
        <v>0.50698627914915995</v>
      </c>
    </row>
    <row r="66" spans="1:7" x14ac:dyDescent="0.25">
      <c r="A66">
        <v>1.90556074884414</v>
      </c>
      <c r="B66">
        <f t="shared" si="7"/>
        <v>114.3336449306484</v>
      </c>
      <c r="E66">
        <v>0.85243835128756695</v>
      </c>
      <c r="F66">
        <v>0.28977640094939294</v>
      </c>
    </row>
    <row r="67" spans="1:7" x14ac:dyDescent="0.25">
      <c r="A67">
        <v>3.9340087415679199</v>
      </c>
      <c r="B67">
        <f t="shared" si="7"/>
        <v>236.04052449407519</v>
      </c>
      <c r="E67">
        <v>0.45555148393443901</v>
      </c>
      <c r="F67">
        <v>0.24797819997675297</v>
      </c>
    </row>
    <row r="68" spans="1:7" x14ac:dyDescent="0.25">
      <c r="A68">
        <v>6.0010899890640097</v>
      </c>
      <c r="B68">
        <f t="shared" si="7"/>
        <v>360.06539934384057</v>
      </c>
      <c r="E68">
        <v>0.64573863788709196</v>
      </c>
      <c r="F68">
        <v>0.13229987233146301</v>
      </c>
    </row>
    <row r="69" spans="1:7" x14ac:dyDescent="0.25">
      <c r="A69">
        <v>7.9816073368535401</v>
      </c>
      <c r="B69">
        <f t="shared" si="7"/>
        <v>478.89644021121239</v>
      </c>
      <c r="E69">
        <v>0.54238309197894896</v>
      </c>
    </row>
    <row r="70" spans="1:7" x14ac:dyDescent="0.25">
      <c r="A70">
        <v>11.9416025726629</v>
      </c>
      <c r="B70">
        <f t="shared" si="7"/>
        <v>716.49615435977398</v>
      </c>
      <c r="E70">
        <v>0.44887338389265202</v>
      </c>
    </row>
    <row r="71" spans="1:7" x14ac:dyDescent="0.25">
      <c r="A71">
        <v>24.046804563517099</v>
      </c>
      <c r="B71">
        <f t="shared" si="7"/>
        <v>1442.8082738110261</v>
      </c>
      <c r="E71">
        <v>0.24348156773155599</v>
      </c>
    </row>
    <row r="74" spans="1:7" x14ac:dyDescent="0.25">
      <c r="A74" t="s">
        <v>304</v>
      </c>
    </row>
    <row r="75" spans="1:7" x14ac:dyDescent="0.25">
      <c r="A75">
        <v>6.4077538600247896</v>
      </c>
      <c r="B75">
        <f>A75*60</f>
        <v>384.4652316014874</v>
      </c>
      <c r="C75">
        <f>$G$75*E75/100</f>
        <v>1.0135353733155399</v>
      </c>
      <c r="E75">
        <v>2.5338384332888499</v>
      </c>
      <c r="G75">
        <f>0.04*1000</f>
        <v>40</v>
      </c>
    </row>
    <row r="76" spans="1:7" x14ac:dyDescent="0.25">
      <c r="A76">
        <v>24.272415514160102</v>
      </c>
      <c r="B76">
        <f t="shared" ref="B76:B78" si="8">A76*60</f>
        <v>1456.344930849606</v>
      </c>
      <c r="C76">
        <f t="shared" ref="C76:C78" si="9">$G$75*E76/100</f>
        <v>0.40397608186567202</v>
      </c>
      <c r="E76">
        <v>1.0099402046641801</v>
      </c>
    </row>
    <row r="77" spans="1:7" x14ac:dyDescent="0.25">
      <c r="A77">
        <v>30.004347056076998</v>
      </c>
      <c r="B77">
        <f t="shared" si="8"/>
        <v>1800.2608233646199</v>
      </c>
      <c r="C77">
        <f t="shared" si="9"/>
        <v>0.32933577845628842</v>
      </c>
      <c r="E77">
        <v>0.82333944614072097</v>
      </c>
    </row>
    <row r="78" spans="1:7" x14ac:dyDescent="0.25">
      <c r="A78">
        <v>48.032458018708397</v>
      </c>
      <c r="B78">
        <f t="shared" si="8"/>
        <v>2881.9474811225036</v>
      </c>
      <c r="C78">
        <f t="shared" si="9"/>
        <v>0.1465382528681112</v>
      </c>
      <c r="E78">
        <v>0.36634563217027799</v>
      </c>
    </row>
  </sheetData>
  <mergeCells count="3">
    <mergeCell ref="A1:C1"/>
    <mergeCell ref="A37:C37"/>
    <mergeCell ref="A45:D4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BED8-5E4C-4D4B-A50D-A4683F8BA49C}">
  <dimension ref="A1:D83"/>
  <sheetViews>
    <sheetView workbookViewId="0">
      <selection activeCell="C10" sqref="C10"/>
    </sheetView>
  </sheetViews>
  <sheetFormatPr defaultRowHeight="15" x14ac:dyDescent="0.25"/>
  <cols>
    <col min="1" max="1" width="19.5703125" bestFit="1" customWidth="1"/>
    <col min="2" max="2" width="12" bestFit="1" customWidth="1"/>
    <col min="3" max="3" width="21.42578125" bestFit="1" customWidth="1"/>
    <col min="4" max="4" width="14.42578125" bestFit="1" customWidth="1"/>
  </cols>
  <sheetData>
    <row r="1" spans="1:4" x14ac:dyDescent="0.25">
      <c r="A1" t="s">
        <v>2</v>
      </c>
      <c r="B1" t="s">
        <v>0</v>
      </c>
      <c r="C1" s="19" t="s">
        <v>7</v>
      </c>
      <c r="D1" s="19" t="s">
        <v>68</v>
      </c>
    </row>
    <row r="2" spans="1:4" x14ac:dyDescent="0.25">
      <c r="A2" t="s">
        <v>172</v>
      </c>
      <c r="B2">
        <v>241</v>
      </c>
      <c r="C2" s="19">
        <v>2.5</v>
      </c>
      <c r="D2" s="19">
        <v>0.75</v>
      </c>
    </row>
    <row r="3" spans="1:4" x14ac:dyDescent="0.25">
      <c r="A3" t="s">
        <v>172</v>
      </c>
      <c r="B3">
        <v>242</v>
      </c>
      <c r="C3" s="19">
        <v>2.5</v>
      </c>
      <c r="D3" s="19">
        <v>0.75</v>
      </c>
    </row>
    <row r="4" spans="1:4" x14ac:dyDescent="0.25">
      <c r="A4" t="s">
        <v>172</v>
      </c>
      <c r="B4">
        <v>243</v>
      </c>
      <c r="C4" s="19">
        <v>2.5</v>
      </c>
      <c r="D4" s="19">
        <v>0.75</v>
      </c>
    </row>
    <row r="5" spans="1:4" x14ac:dyDescent="0.25">
      <c r="A5" t="s">
        <v>172</v>
      </c>
      <c r="B5">
        <v>244</v>
      </c>
      <c r="C5" s="19">
        <v>2.5</v>
      </c>
      <c r="D5" s="19">
        <v>0.75</v>
      </c>
    </row>
    <row r="6" spans="1:4" x14ac:dyDescent="0.25">
      <c r="A6" t="s">
        <v>172</v>
      </c>
      <c r="B6">
        <v>245</v>
      </c>
      <c r="C6" s="19">
        <v>2.5</v>
      </c>
      <c r="D6" s="19">
        <v>0.75</v>
      </c>
    </row>
    <row r="7" spans="1:4" x14ac:dyDescent="0.25">
      <c r="A7" t="s">
        <v>172</v>
      </c>
      <c r="B7">
        <v>246</v>
      </c>
      <c r="C7" s="19">
        <v>2.5</v>
      </c>
      <c r="D7" s="19">
        <v>0.75</v>
      </c>
    </row>
    <row r="8" spans="1:4" x14ac:dyDescent="0.25">
      <c r="A8" t="s">
        <v>172</v>
      </c>
      <c r="B8">
        <v>247</v>
      </c>
      <c r="C8" s="19">
        <v>2.5</v>
      </c>
      <c r="D8" s="19">
        <v>0.75</v>
      </c>
    </row>
    <row r="9" spans="1:4" x14ac:dyDescent="0.25">
      <c r="A9" t="s">
        <v>172</v>
      </c>
      <c r="B9">
        <v>248</v>
      </c>
      <c r="C9" s="19">
        <v>2.5</v>
      </c>
      <c r="D9" s="19">
        <v>0.75</v>
      </c>
    </row>
    <row r="10" spans="1:4" x14ac:dyDescent="0.25">
      <c r="A10" t="s">
        <v>172</v>
      </c>
      <c r="B10">
        <v>249</v>
      </c>
      <c r="C10" s="19">
        <v>2.5</v>
      </c>
      <c r="D10" s="19">
        <v>0.75</v>
      </c>
    </row>
    <row r="11" spans="1:4" x14ac:dyDescent="0.25">
      <c r="A11" t="s">
        <v>172</v>
      </c>
      <c r="B11">
        <v>250</v>
      </c>
      <c r="C11" s="19">
        <v>2.5</v>
      </c>
      <c r="D11" s="19">
        <v>0.75</v>
      </c>
    </row>
    <row r="12" spans="1:4" x14ac:dyDescent="0.25">
      <c r="A12" t="s">
        <v>172</v>
      </c>
      <c r="B12">
        <v>251</v>
      </c>
      <c r="C12" s="19">
        <v>2.5</v>
      </c>
      <c r="D12" s="19">
        <v>0.75</v>
      </c>
    </row>
    <row r="13" spans="1:4" x14ac:dyDescent="0.25">
      <c r="A13" t="s">
        <v>172</v>
      </c>
      <c r="B13">
        <v>252</v>
      </c>
      <c r="C13" s="19">
        <v>2.5</v>
      </c>
      <c r="D13" s="19">
        <v>0.75</v>
      </c>
    </row>
    <row r="14" spans="1:4" x14ac:dyDescent="0.25">
      <c r="A14" t="s">
        <v>172</v>
      </c>
      <c r="B14">
        <v>253</v>
      </c>
      <c r="C14" s="19">
        <v>2.5</v>
      </c>
      <c r="D14" s="19">
        <v>0.75</v>
      </c>
    </row>
    <row r="15" spans="1:4" x14ac:dyDescent="0.25">
      <c r="A15" t="s">
        <v>172</v>
      </c>
      <c r="B15">
        <v>254</v>
      </c>
      <c r="C15" s="19">
        <v>2.5</v>
      </c>
      <c r="D15" s="19">
        <v>0.75</v>
      </c>
    </row>
    <row r="16" spans="1:4" x14ac:dyDescent="0.25">
      <c r="A16" t="s">
        <v>172</v>
      </c>
      <c r="B16">
        <v>255</v>
      </c>
      <c r="C16" s="19">
        <v>2.5</v>
      </c>
      <c r="D16" s="19">
        <v>0.75</v>
      </c>
    </row>
    <row r="17" spans="1:4" x14ac:dyDescent="0.25">
      <c r="A17" t="s">
        <v>172</v>
      </c>
      <c r="B17">
        <v>256</v>
      </c>
      <c r="C17" s="19">
        <v>2.5</v>
      </c>
      <c r="D17" s="19">
        <v>0.75</v>
      </c>
    </row>
    <row r="18" spans="1:4" x14ac:dyDescent="0.25">
      <c r="A18" t="s">
        <v>172</v>
      </c>
      <c r="B18">
        <v>257</v>
      </c>
      <c r="C18" s="19">
        <v>2.5</v>
      </c>
      <c r="D18" s="19">
        <v>0.75</v>
      </c>
    </row>
    <row r="19" spans="1:4" x14ac:dyDescent="0.25">
      <c r="A19" t="s">
        <v>172</v>
      </c>
      <c r="B19">
        <v>258</v>
      </c>
      <c r="C19" s="19">
        <v>2.5</v>
      </c>
      <c r="D19" s="19">
        <v>0.75</v>
      </c>
    </row>
    <row r="20" spans="1:4" x14ac:dyDescent="0.25">
      <c r="A20" t="s">
        <v>172</v>
      </c>
      <c r="B20">
        <v>259</v>
      </c>
      <c r="C20" s="19">
        <v>2.5</v>
      </c>
      <c r="D20" s="19">
        <v>0.75</v>
      </c>
    </row>
    <row r="21" spans="1:4" x14ac:dyDescent="0.25">
      <c r="A21" t="s">
        <v>172</v>
      </c>
      <c r="B21">
        <v>260</v>
      </c>
      <c r="C21" s="19">
        <v>2.5</v>
      </c>
      <c r="D21" s="19">
        <v>0.75</v>
      </c>
    </row>
    <row r="22" spans="1:4" x14ac:dyDescent="0.25">
      <c r="A22" t="s">
        <v>172</v>
      </c>
      <c r="B22">
        <v>261</v>
      </c>
      <c r="C22" s="19">
        <v>2.5</v>
      </c>
      <c r="D22" s="19">
        <v>0.75</v>
      </c>
    </row>
    <row r="23" spans="1:4" x14ac:dyDescent="0.25">
      <c r="A23" t="s">
        <v>172</v>
      </c>
      <c r="B23">
        <v>262</v>
      </c>
      <c r="C23" s="19">
        <v>2.5</v>
      </c>
      <c r="D23" s="19">
        <v>0.75</v>
      </c>
    </row>
    <row r="24" spans="1:4" x14ac:dyDescent="0.25">
      <c r="A24" t="s">
        <v>172</v>
      </c>
      <c r="B24">
        <v>263</v>
      </c>
      <c r="C24" s="19">
        <v>2.5</v>
      </c>
      <c r="D24" s="19">
        <v>0.75</v>
      </c>
    </row>
    <row r="25" spans="1:4" x14ac:dyDescent="0.25">
      <c r="A25" t="s">
        <v>172</v>
      </c>
      <c r="B25">
        <v>264</v>
      </c>
      <c r="C25" s="19">
        <v>2.5</v>
      </c>
      <c r="D25" s="19">
        <v>0.75</v>
      </c>
    </row>
    <row r="26" spans="1:4" x14ac:dyDescent="0.25">
      <c r="A26" t="s">
        <v>172</v>
      </c>
      <c r="B26">
        <v>265</v>
      </c>
      <c r="C26" s="19">
        <v>2.5</v>
      </c>
      <c r="D26" s="19">
        <v>0.75</v>
      </c>
    </row>
    <row r="27" spans="1:4" x14ac:dyDescent="0.25">
      <c r="A27" t="s">
        <v>172</v>
      </c>
      <c r="B27">
        <v>266</v>
      </c>
      <c r="C27" s="19">
        <v>2.5</v>
      </c>
      <c r="D27" s="19">
        <v>0.75</v>
      </c>
    </row>
    <row r="28" spans="1:4" x14ac:dyDescent="0.25">
      <c r="A28" t="s">
        <v>172</v>
      </c>
      <c r="B28">
        <v>267</v>
      </c>
      <c r="C28" s="19">
        <v>2.5</v>
      </c>
      <c r="D28" s="19">
        <v>0.75</v>
      </c>
    </row>
    <row r="29" spans="1:4" x14ac:dyDescent="0.25">
      <c r="A29" t="s">
        <v>172</v>
      </c>
      <c r="B29">
        <v>268</v>
      </c>
      <c r="C29" s="19">
        <v>2.5</v>
      </c>
      <c r="D29" s="19">
        <v>0.75</v>
      </c>
    </row>
    <row r="30" spans="1:4" x14ac:dyDescent="0.25">
      <c r="A30" t="s">
        <v>172</v>
      </c>
      <c r="B30">
        <v>269</v>
      </c>
      <c r="C30" s="19">
        <v>2.5</v>
      </c>
      <c r="D30" s="19">
        <v>0.75</v>
      </c>
    </row>
    <row r="31" spans="1:4" x14ac:dyDescent="0.25">
      <c r="A31" t="s">
        <v>172</v>
      </c>
      <c r="B31">
        <v>270</v>
      </c>
      <c r="C31" s="19">
        <v>2.5</v>
      </c>
      <c r="D31" s="19">
        <v>0.75</v>
      </c>
    </row>
    <row r="32" spans="1:4" x14ac:dyDescent="0.25">
      <c r="A32" t="s">
        <v>172</v>
      </c>
      <c r="B32">
        <v>271</v>
      </c>
      <c r="C32" s="19">
        <v>2.5</v>
      </c>
      <c r="D32" s="19">
        <v>0.75</v>
      </c>
    </row>
    <row r="33" spans="1:4" x14ac:dyDescent="0.25">
      <c r="A33" t="s">
        <v>172</v>
      </c>
      <c r="B33">
        <v>272</v>
      </c>
      <c r="C33" s="19">
        <v>2.5</v>
      </c>
      <c r="D33" s="19">
        <v>0.75</v>
      </c>
    </row>
    <row r="34" spans="1:4" x14ac:dyDescent="0.25">
      <c r="A34" t="s">
        <v>172</v>
      </c>
      <c r="B34">
        <v>273</v>
      </c>
      <c r="C34" s="19">
        <v>2.5</v>
      </c>
      <c r="D34" s="19">
        <v>0.75</v>
      </c>
    </row>
    <row r="35" spans="1:4" x14ac:dyDescent="0.25">
      <c r="A35" t="s">
        <v>172</v>
      </c>
      <c r="B35">
        <v>274</v>
      </c>
      <c r="C35" s="19">
        <v>2.5</v>
      </c>
      <c r="D35" s="19">
        <v>0.75</v>
      </c>
    </row>
    <row r="36" spans="1:4" x14ac:dyDescent="0.25">
      <c r="A36" t="s">
        <v>172</v>
      </c>
      <c r="B36">
        <v>275</v>
      </c>
      <c r="C36" s="19">
        <v>2.5</v>
      </c>
      <c r="D36" s="19">
        <v>0.75</v>
      </c>
    </row>
    <row r="37" spans="1:4" x14ac:dyDescent="0.25">
      <c r="A37" t="s">
        <v>172</v>
      </c>
      <c r="B37">
        <v>276</v>
      </c>
      <c r="C37" s="19">
        <v>2.5</v>
      </c>
      <c r="D37" s="19">
        <v>0.75</v>
      </c>
    </row>
    <row r="38" spans="1:4" x14ac:dyDescent="0.25">
      <c r="A38" t="s">
        <v>172</v>
      </c>
      <c r="B38">
        <v>277</v>
      </c>
      <c r="C38" s="19">
        <v>2.5</v>
      </c>
      <c r="D38" s="19">
        <v>0.75</v>
      </c>
    </row>
    <row r="39" spans="1:4" x14ac:dyDescent="0.25">
      <c r="A39" t="s">
        <v>172</v>
      </c>
      <c r="B39">
        <v>278</v>
      </c>
      <c r="C39" s="19">
        <v>2.5</v>
      </c>
      <c r="D39" s="19">
        <v>0.75</v>
      </c>
    </row>
    <row r="40" spans="1:4" x14ac:dyDescent="0.25">
      <c r="A40" t="s">
        <v>172</v>
      </c>
      <c r="B40">
        <v>279</v>
      </c>
      <c r="C40" s="19">
        <v>2.5</v>
      </c>
      <c r="D40" s="19">
        <v>0.75</v>
      </c>
    </row>
    <row r="41" spans="1:4" x14ac:dyDescent="0.25">
      <c r="A41" t="s">
        <v>172</v>
      </c>
      <c r="B41">
        <v>280</v>
      </c>
      <c r="C41" s="19">
        <v>2.5</v>
      </c>
      <c r="D41" s="19">
        <v>0.75</v>
      </c>
    </row>
    <row r="42" spans="1:4" x14ac:dyDescent="0.25">
      <c r="A42" t="s">
        <v>172</v>
      </c>
      <c r="B42">
        <v>281</v>
      </c>
      <c r="C42" s="19">
        <v>2.5</v>
      </c>
      <c r="D42" s="19">
        <v>0.75</v>
      </c>
    </row>
    <row r="43" spans="1:4" x14ac:dyDescent="0.25">
      <c r="A43" t="s">
        <v>172</v>
      </c>
      <c r="B43">
        <v>282</v>
      </c>
      <c r="C43" s="19">
        <v>2.5</v>
      </c>
      <c r="D43" s="19">
        <v>0.75</v>
      </c>
    </row>
    <row r="44" spans="1:4" x14ac:dyDescent="0.25">
      <c r="A44" t="s">
        <v>172</v>
      </c>
      <c r="B44">
        <v>283</v>
      </c>
      <c r="C44" s="19">
        <v>2.5</v>
      </c>
      <c r="D44" s="19">
        <v>0.75</v>
      </c>
    </row>
    <row r="45" spans="1:4" x14ac:dyDescent="0.25">
      <c r="A45" t="s">
        <v>172</v>
      </c>
      <c r="B45">
        <v>284</v>
      </c>
      <c r="C45" s="19">
        <v>2.5</v>
      </c>
      <c r="D45" s="19">
        <v>0.75</v>
      </c>
    </row>
    <row r="46" spans="1:4" x14ac:dyDescent="0.25">
      <c r="A46" t="s">
        <v>172</v>
      </c>
      <c r="B46">
        <v>285</v>
      </c>
      <c r="C46" s="19">
        <v>2.5</v>
      </c>
      <c r="D46" s="19">
        <v>0.75</v>
      </c>
    </row>
    <row r="47" spans="1:4" x14ac:dyDescent="0.25">
      <c r="A47" t="s">
        <v>172</v>
      </c>
      <c r="B47">
        <v>286</v>
      </c>
      <c r="C47" s="19">
        <v>2.5</v>
      </c>
      <c r="D47" s="19">
        <v>0.75</v>
      </c>
    </row>
    <row r="48" spans="1:4" x14ac:dyDescent="0.25">
      <c r="A48" t="s">
        <v>172</v>
      </c>
      <c r="B48">
        <v>287</v>
      </c>
      <c r="C48" s="19">
        <v>2.5</v>
      </c>
      <c r="D48" s="19">
        <v>0.75</v>
      </c>
    </row>
    <row r="49" spans="1:4" x14ac:dyDescent="0.25">
      <c r="A49" t="s">
        <v>172</v>
      </c>
      <c r="B49">
        <v>288</v>
      </c>
      <c r="C49" s="19">
        <v>2.5</v>
      </c>
      <c r="D49" s="19">
        <v>0.75</v>
      </c>
    </row>
    <row r="50" spans="1:4" x14ac:dyDescent="0.25">
      <c r="A50" t="s">
        <v>172</v>
      </c>
      <c r="B50">
        <v>289</v>
      </c>
      <c r="C50" s="19">
        <v>2.5</v>
      </c>
      <c r="D50" s="19">
        <v>0.75</v>
      </c>
    </row>
    <row r="51" spans="1:4" x14ac:dyDescent="0.25">
      <c r="A51" t="s">
        <v>172</v>
      </c>
      <c r="B51">
        <v>290</v>
      </c>
      <c r="C51" s="19">
        <v>2.5</v>
      </c>
      <c r="D51" s="19">
        <v>0.75</v>
      </c>
    </row>
    <row r="52" spans="1:4" x14ac:dyDescent="0.25">
      <c r="A52" t="s">
        <v>172</v>
      </c>
      <c r="B52">
        <v>291</v>
      </c>
      <c r="C52" s="19">
        <v>2.5</v>
      </c>
      <c r="D52" s="19">
        <v>0.75</v>
      </c>
    </row>
    <row r="53" spans="1:4" x14ac:dyDescent="0.25">
      <c r="A53" t="s">
        <v>172</v>
      </c>
      <c r="B53">
        <v>292</v>
      </c>
      <c r="C53" s="19">
        <v>2.5</v>
      </c>
      <c r="D53" s="19">
        <v>0.75</v>
      </c>
    </row>
    <row r="54" spans="1:4" x14ac:dyDescent="0.25">
      <c r="A54" t="s">
        <v>172</v>
      </c>
      <c r="B54">
        <v>293</v>
      </c>
      <c r="C54" s="19">
        <v>2.5</v>
      </c>
      <c r="D54" s="19">
        <v>0.75</v>
      </c>
    </row>
    <row r="55" spans="1:4" x14ac:dyDescent="0.25">
      <c r="A55" t="s">
        <v>172</v>
      </c>
      <c r="B55">
        <v>294</v>
      </c>
      <c r="C55" s="19">
        <v>2.5</v>
      </c>
      <c r="D55" s="19">
        <v>0.75</v>
      </c>
    </row>
    <row r="56" spans="1:4" x14ac:dyDescent="0.25">
      <c r="A56" t="s">
        <v>172</v>
      </c>
      <c r="B56">
        <v>295</v>
      </c>
      <c r="C56" s="19">
        <v>2.5</v>
      </c>
      <c r="D56" s="19">
        <v>0.75</v>
      </c>
    </row>
    <row r="57" spans="1:4" x14ac:dyDescent="0.25">
      <c r="A57" t="s">
        <v>172</v>
      </c>
      <c r="B57">
        <v>296</v>
      </c>
      <c r="C57" s="19">
        <v>2.5</v>
      </c>
      <c r="D57" s="19">
        <v>0.75</v>
      </c>
    </row>
    <row r="58" spans="1:4" x14ac:dyDescent="0.25">
      <c r="A58" t="s">
        <v>172</v>
      </c>
      <c r="B58">
        <v>297</v>
      </c>
      <c r="C58" s="19">
        <v>2.5</v>
      </c>
      <c r="D58" s="19">
        <v>0.75</v>
      </c>
    </row>
    <row r="59" spans="1:4" x14ac:dyDescent="0.25">
      <c r="A59" t="s">
        <v>172</v>
      </c>
      <c r="B59">
        <v>298</v>
      </c>
      <c r="C59" s="19">
        <v>2.5</v>
      </c>
      <c r="D59" s="19">
        <v>0.75</v>
      </c>
    </row>
    <row r="60" spans="1:4" x14ac:dyDescent="0.25">
      <c r="A60" t="s">
        <v>172</v>
      </c>
      <c r="B60">
        <v>299</v>
      </c>
      <c r="C60" s="19">
        <v>2.5</v>
      </c>
      <c r="D60" s="19">
        <v>0.75</v>
      </c>
    </row>
    <row r="61" spans="1:4" x14ac:dyDescent="0.25">
      <c r="A61" t="s">
        <v>172</v>
      </c>
      <c r="B61">
        <v>300</v>
      </c>
      <c r="C61" s="19">
        <v>2.5</v>
      </c>
      <c r="D61" s="19">
        <v>0.75</v>
      </c>
    </row>
    <row r="62" spans="1:4" x14ac:dyDescent="0.25">
      <c r="A62" t="s">
        <v>172</v>
      </c>
      <c r="B62">
        <v>301</v>
      </c>
      <c r="C62" s="19">
        <v>2.5</v>
      </c>
      <c r="D62" s="19">
        <v>0.75</v>
      </c>
    </row>
    <row r="63" spans="1:4" x14ac:dyDescent="0.25">
      <c r="A63" t="s">
        <v>172</v>
      </c>
      <c r="B63">
        <v>302</v>
      </c>
      <c r="C63" s="19">
        <v>2.5</v>
      </c>
      <c r="D63" s="19">
        <v>0.75</v>
      </c>
    </row>
    <row r="64" spans="1:4" x14ac:dyDescent="0.25">
      <c r="A64" t="s">
        <v>172</v>
      </c>
      <c r="B64">
        <v>303</v>
      </c>
      <c r="C64" s="19">
        <v>2.5</v>
      </c>
      <c r="D64" s="19">
        <v>0.75</v>
      </c>
    </row>
    <row r="65" spans="1:4" x14ac:dyDescent="0.25">
      <c r="A65" t="s">
        <v>172</v>
      </c>
      <c r="B65">
        <v>304</v>
      </c>
      <c r="C65" s="19">
        <v>2.5</v>
      </c>
      <c r="D65" s="19">
        <v>0.75</v>
      </c>
    </row>
    <row r="66" spans="1:4" x14ac:dyDescent="0.25">
      <c r="A66" t="s">
        <v>172</v>
      </c>
      <c r="B66">
        <v>305</v>
      </c>
      <c r="C66" s="19">
        <v>2.5</v>
      </c>
      <c r="D66" s="19">
        <v>0.75</v>
      </c>
    </row>
    <row r="67" spans="1:4" x14ac:dyDescent="0.25">
      <c r="A67" t="s">
        <v>172</v>
      </c>
      <c r="B67">
        <v>306</v>
      </c>
      <c r="C67" s="19">
        <v>2.5</v>
      </c>
      <c r="D67" s="19">
        <v>0.75</v>
      </c>
    </row>
    <row r="68" spans="1:4" x14ac:dyDescent="0.25">
      <c r="A68" t="s">
        <v>172</v>
      </c>
      <c r="B68">
        <v>307</v>
      </c>
      <c r="C68" s="19">
        <v>2.5</v>
      </c>
      <c r="D68" s="19">
        <v>0.75</v>
      </c>
    </row>
    <row r="69" spans="1:4" x14ac:dyDescent="0.25">
      <c r="A69" t="s">
        <v>172</v>
      </c>
      <c r="B69">
        <v>308</v>
      </c>
      <c r="C69" s="19">
        <v>2.5</v>
      </c>
      <c r="D69" s="19">
        <v>0.75</v>
      </c>
    </row>
    <row r="70" spans="1:4" x14ac:dyDescent="0.25">
      <c r="A70" t="s">
        <v>172</v>
      </c>
      <c r="B70">
        <v>309</v>
      </c>
      <c r="C70" s="19">
        <v>2.5</v>
      </c>
      <c r="D70" s="19">
        <v>0.75</v>
      </c>
    </row>
    <row r="71" spans="1:4" x14ac:dyDescent="0.25">
      <c r="A71" t="s">
        <v>172</v>
      </c>
      <c r="B71">
        <v>310</v>
      </c>
      <c r="C71" s="19">
        <v>2.5</v>
      </c>
      <c r="D71" s="19">
        <v>0.75</v>
      </c>
    </row>
    <row r="72" spans="1:4" x14ac:dyDescent="0.25">
      <c r="A72" t="s">
        <v>172</v>
      </c>
      <c r="B72">
        <v>311</v>
      </c>
      <c r="C72" s="19">
        <v>2.5</v>
      </c>
      <c r="D72" s="19">
        <v>0.75</v>
      </c>
    </row>
    <row r="73" spans="1:4" x14ac:dyDescent="0.25">
      <c r="A73" t="s">
        <v>172</v>
      </c>
      <c r="B73">
        <v>312</v>
      </c>
      <c r="C73" s="19">
        <v>2.5</v>
      </c>
      <c r="D73" s="19">
        <v>0.75</v>
      </c>
    </row>
    <row r="74" spans="1:4" x14ac:dyDescent="0.25">
      <c r="A74" t="s">
        <v>172</v>
      </c>
      <c r="B74">
        <v>313</v>
      </c>
      <c r="C74" s="19">
        <v>2.5</v>
      </c>
      <c r="D74" s="19">
        <v>0.75</v>
      </c>
    </row>
    <row r="75" spans="1:4" x14ac:dyDescent="0.25">
      <c r="A75" t="s">
        <v>172</v>
      </c>
      <c r="B75">
        <v>314</v>
      </c>
      <c r="C75" s="19">
        <v>2.5</v>
      </c>
      <c r="D75" s="19">
        <v>0.75</v>
      </c>
    </row>
    <row r="76" spans="1:4" x14ac:dyDescent="0.25">
      <c r="A76" t="s">
        <v>172</v>
      </c>
      <c r="B76">
        <v>315</v>
      </c>
      <c r="C76" s="19">
        <v>2.5</v>
      </c>
      <c r="D76" s="19">
        <v>0.75</v>
      </c>
    </row>
    <row r="77" spans="1:4" x14ac:dyDescent="0.25">
      <c r="A77" t="s">
        <v>172</v>
      </c>
      <c r="B77">
        <v>316</v>
      </c>
      <c r="C77" s="19">
        <v>2.5</v>
      </c>
      <c r="D77" s="19">
        <v>0.75</v>
      </c>
    </row>
    <row r="78" spans="1:4" x14ac:dyDescent="0.25">
      <c r="A78" t="s">
        <v>172</v>
      </c>
      <c r="B78">
        <v>317</v>
      </c>
      <c r="C78" s="19">
        <v>2.5</v>
      </c>
      <c r="D78" s="19">
        <v>0.75</v>
      </c>
    </row>
    <row r="79" spans="1:4" x14ac:dyDescent="0.25">
      <c r="A79" t="s">
        <v>172</v>
      </c>
      <c r="B79">
        <v>318</v>
      </c>
      <c r="C79" s="19">
        <v>2.5</v>
      </c>
      <c r="D79" s="19">
        <v>0.75</v>
      </c>
    </row>
    <row r="80" spans="1:4" x14ac:dyDescent="0.25">
      <c r="A80" t="s">
        <v>172</v>
      </c>
      <c r="B80">
        <v>319</v>
      </c>
      <c r="C80" s="19">
        <v>2.5</v>
      </c>
      <c r="D80" s="19">
        <v>0.75</v>
      </c>
    </row>
    <row r="81" spans="1:4" x14ac:dyDescent="0.25">
      <c r="A81" t="s">
        <v>172</v>
      </c>
      <c r="B81">
        <v>320</v>
      </c>
      <c r="C81" s="19">
        <v>2.5</v>
      </c>
      <c r="D81" s="19">
        <v>0.75</v>
      </c>
    </row>
    <row r="82" spans="1:4" x14ac:dyDescent="0.25">
      <c r="A82" t="s">
        <v>172</v>
      </c>
      <c r="B82">
        <v>321</v>
      </c>
      <c r="C82" s="19">
        <v>2.5</v>
      </c>
      <c r="D82" s="19">
        <v>0.75</v>
      </c>
    </row>
    <row r="83" spans="1:4" x14ac:dyDescent="0.25">
      <c r="A83" t="s">
        <v>172</v>
      </c>
      <c r="B83">
        <v>322</v>
      </c>
      <c r="C83" s="19">
        <v>2.5</v>
      </c>
      <c r="D83" s="19">
        <v>0.75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338E7-CB19-481D-899D-6A360D86BC37}">
  <dimension ref="A1:F31"/>
  <sheetViews>
    <sheetView workbookViewId="0">
      <selection activeCell="C2" sqref="C2"/>
    </sheetView>
  </sheetViews>
  <sheetFormatPr defaultColWidth="10.5703125" defaultRowHeight="15" x14ac:dyDescent="0.25"/>
  <cols>
    <col min="1" max="1" width="25.7109375" bestFit="1" customWidth="1"/>
    <col min="2" max="2" width="12" bestFit="1" customWidth="1"/>
    <col min="3" max="3" width="21.28515625" bestFit="1" customWidth="1"/>
    <col min="4" max="4" width="25.140625" bestFit="1" customWidth="1"/>
    <col min="5" max="5" width="9.42578125" bestFit="1" customWidth="1"/>
    <col min="6" max="6" width="21.28515625" bestFit="1" customWidth="1"/>
  </cols>
  <sheetData>
    <row r="1" spans="1:6" x14ac:dyDescent="0.25">
      <c r="A1" t="s">
        <v>2</v>
      </c>
      <c r="B1" t="s">
        <v>14</v>
      </c>
      <c r="C1" t="s">
        <v>7</v>
      </c>
      <c r="D1" t="s">
        <v>13</v>
      </c>
      <c r="E1" t="s">
        <v>135</v>
      </c>
      <c r="F1" t="s">
        <v>7</v>
      </c>
    </row>
    <row r="2" spans="1:6" x14ac:dyDescent="0.25">
      <c r="A2" t="s">
        <v>15</v>
      </c>
      <c r="B2">
        <v>9.7665204851993259E-4</v>
      </c>
      <c r="C2">
        <v>6.0558925622242202E-2</v>
      </c>
      <c r="D2">
        <v>3.0279462811121101</v>
      </c>
      <c r="E2">
        <v>2</v>
      </c>
      <c r="F2">
        <f>D2*E2/100</f>
        <v>6.0558925622242202E-2</v>
      </c>
    </row>
    <row r="3" spans="1:6" x14ac:dyDescent="0.25">
      <c r="A3" t="s">
        <v>15</v>
      </c>
      <c r="B3">
        <v>4.4898319099859973E-2</v>
      </c>
      <c r="C3">
        <v>6.2123164421656794E-2</v>
      </c>
      <c r="D3">
        <v>3.1061582210828398</v>
      </c>
      <c r="E3">
        <v>2</v>
      </c>
      <c r="F3">
        <f t="shared" ref="F3:F31" si="0">D3*E3/100</f>
        <v>6.2123164421656794E-2</v>
      </c>
    </row>
    <row r="4" spans="1:6" x14ac:dyDescent="0.25">
      <c r="A4" t="s">
        <v>15</v>
      </c>
      <c r="B4">
        <v>0.46529141801998986</v>
      </c>
      <c r="C4">
        <v>7.7095164358911603E-2</v>
      </c>
      <c r="D4">
        <v>3.8547582179455802</v>
      </c>
      <c r="E4">
        <v>2</v>
      </c>
      <c r="F4">
        <f t="shared" si="0"/>
        <v>7.7095164358911603E-2</v>
      </c>
    </row>
    <row r="5" spans="1:6" x14ac:dyDescent="0.25">
      <c r="A5" t="s">
        <v>15</v>
      </c>
      <c r="B5">
        <v>0.49666403734236986</v>
      </c>
      <c r="C5">
        <v>7.8212477787064999E-2</v>
      </c>
      <c r="D5">
        <v>3.9106238893532499</v>
      </c>
      <c r="E5">
        <v>2</v>
      </c>
      <c r="F5">
        <f t="shared" si="0"/>
        <v>7.8212477787064999E-2</v>
      </c>
    </row>
    <row r="6" spans="1:6" x14ac:dyDescent="0.25">
      <c r="A6" t="s">
        <v>15</v>
      </c>
      <c r="B6">
        <v>0.52803665666477984</v>
      </c>
      <c r="C6">
        <v>7.9329791215218395E-2</v>
      </c>
      <c r="D6">
        <v>3.9664895607609201</v>
      </c>
      <c r="E6">
        <v>2</v>
      </c>
      <c r="F6">
        <f t="shared" si="0"/>
        <v>7.9329791215218395E-2</v>
      </c>
    </row>
    <row r="7" spans="1:6" x14ac:dyDescent="0.25">
      <c r="A7" t="s">
        <v>15</v>
      </c>
      <c r="B7">
        <v>1.5727448801005846</v>
      </c>
      <c r="C7">
        <v>5.6536328372724605E-2</v>
      </c>
      <c r="D7">
        <v>2.8268164186362301</v>
      </c>
      <c r="E7">
        <v>2</v>
      </c>
      <c r="F7">
        <f t="shared" si="0"/>
        <v>5.6536328372724605E-2</v>
      </c>
    </row>
    <row r="8" spans="1:6" x14ac:dyDescent="0.25">
      <c r="A8" t="s">
        <v>15</v>
      </c>
      <c r="B8">
        <v>3.15078763201709</v>
      </c>
      <c r="C8">
        <v>5.2737193808837596E-2</v>
      </c>
      <c r="D8">
        <v>2.63685969044188</v>
      </c>
      <c r="E8">
        <v>2</v>
      </c>
      <c r="F8">
        <f t="shared" si="0"/>
        <v>5.2737193808837596E-2</v>
      </c>
    </row>
    <row r="9" spans="1:6" x14ac:dyDescent="0.25">
      <c r="A9" t="s">
        <v>15</v>
      </c>
      <c r="B9">
        <v>3.2072583467974098</v>
      </c>
      <c r="C9">
        <v>5.47483579795136E-2</v>
      </c>
      <c r="D9">
        <v>2.7374178989756799</v>
      </c>
      <c r="E9">
        <v>2</v>
      </c>
      <c r="F9">
        <f t="shared" si="0"/>
        <v>5.47483579795136E-2</v>
      </c>
    </row>
    <row r="10" spans="1:6" x14ac:dyDescent="0.25">
      <c r="A10" t="s">
        <v>15</v>
      </c>
      <c r="B10">
        <v>7.9162885070890701</v>
      </c>
      <c r="C10">
        <v>4.2457103545329999E-2</v>
      </c>
      <c r="D10">
        <v>2.1228551772665001</v>
      </c>
      <c r="E10">
        <v>2</v>
      </c>
      <c r="F10">
        <f t="shared" si="0"/>
        <v>4.2457103545329999E-2</v>
      </c>
    </row>
    <row r="11" spans="1:6" x14ac:dyDescent="0.25">
      <c r="A11" t="s">
        <v>15</v>
      </c>
      <c r="B11">
        <v>8.0731516037010387</v>
      </c>
      <c r="C11">
        <v>4.80436706860966E-2</v>
      </c>
      <c r="D11">
        <v>2.4021835343048301</v>
      </c>
      <c r="E11">
        <v>2</v>
      </c>
      <c r="F11">
        <f t="shared" si="0"/>
        <v>4.80436706860966E-2</v>
      </c>
    </row>
    <row r="12" spans="1:6" x14ac:dyDescent="0.25">
      <c r="A12" t="s">
        <v>15</v>
      </c>
      <c r="B12">
        <v>8.1672694616682495</v>
      </c>
      <c r="C12">
        <v>5.1395610970556602E-2</v>
      </c>
      <c r="D12">
        <v>2.56978054852783</v>
      </c>
      <c r="E12">
        <v>2</v>
      </c>
      <c r="F12">
        <f t="shared" si="0"/>
        <v>5.1395610970556602E-2</v>
      </c>
    </row>
    <row r="13" spans="1:6" x14ac:dyDescent="0.25">
      <c r="A13" t="s">
        <v>15</v>
      </c>
      <c r="B13">
        <v>11.51159068143569</v>
      </c>
      <c r="C13">
        <v>5.0501222411702802E-2</v>
      </c>
      <c r="D13">
        <v>2.5250611205851401</v>
      </c>
      <c r="E13">
        <v>2</v>
      </c>
      <c r="F13">
        <f>D13*E13/100</f>
        <v>5.0501222411702802E-2</v>
      </c>
    </row>
    <row r="14" spans="1:6" x14ac:dyDescent="0.25">
      <c r="A14" t="s">
        <v>15</v>
      </c>
      <c r="B14">
        <v>21.381416720261498</v>
      </c>
      <c r="C14">
        <v>4.2008026908743598E-2</v>
      </c>
      <c r="D14">
        <v>2.1004013454371799</v>
      </c>
      <c r="E14">
        <v>2</v>
      </c>
      <c r="F14">
        <f t="shared" si="0"/>
        <v>4.2008026908743598E-2</v>
      </c>
    </row>
    <row r="15" spans="1:6" x14ac:dyDescent="0.25">
      <c r="A15" t="s">
        <v>15</v>
      </c>
      <c r="B15">
        <v>21.601025055518299</v>
      </c>
      <c r="C15">
        <v>4.9829220905816998E-2</v>
      </c>
      <c r="D15">
        <v>2.4914610452908499</v>
      </c>
      <c r="E15">
        <v>2</v>
      </c>
      <c r="F15">
        <f t="shared" si="0"/>
        <v>4.9829220905816998E-2</v>
      </c>
    </row>
    <row r="16" spans="1:6" x14ac:dyDescent="0.25">
      <c r="A16" t="s">
        <v>15</v>
      </c>
      <c r="B16">
        <v>26.303780691945498</v>
      </c>
      <c r="C16">
        <v>3.7314503786002803E-2</v>
      </c>
      <c r="D16">
        <v>1.8657251893001401</v>
      </c>
      <c r="E16">
        <v>2</v>
      </c>
      <c r="F16">
        <f t="shared" si="0"/>
        <v>3.7314503786002803E-2</v>
      </c>
    </row>
    <row r="17" spans="1:6" x14ac:dyDescent="0.25">
      <c r="A17" t="s">
        <v>15</v>
      </c>
      <c r="B17">
        <v>31.5775180000403</v>
      </c>
      <c r="C17">
        <v>4.5134891058579193E-2</v>
      </c>
      <c r="D17">
        <v>2.2567445529289598</v>
      </c>
      <c r="E17">
        <v>2</v>
      </c>
      <c r="F17">
        <f t="shared" si="0"/>
        <v>4.5134891058579193E-2</v>
      </c>
    </row>
    <row r="18" spans="1:6" x14ac:dyDescent="0.25">
      <c r="A18" t="s">
        <v>15</v>
      </c>
      <c r="B18">
        <v>38.128120914556604</v>
      </c>
      <c r="C18">
        <v>3.8429934856996799E-2</v>
      </c>
      <c r="D18">
        <v>1.92149674284984</v>
      </c>
      <c r="E18">
        <v>2</v>
      </c>
      <c r="F18">
        <f t="shared" si="0"/>
        <v>3.8429934856996799E-2</v>
      </c>
    </row>
    <row r="19" spans="1:6" x14ac:dyDescent="0.25">
      <c r="A19" t="s">
        <v>15</v>
      </c>
      <c r="B19">
        <v>83.433320478029003</v>
      </c>
      <c r="C19">
        <v>3.1942256453235597E-2</v>
      </c>
      <c r="D19">
        <v>1.5971128226617799</v>
      </c>
      <c r="E19">
        <v>2</v>
      </c>
      <c r="F19">
        <f t="shared" si="0"/>
        <v>3.1942256453235597E-2</v>
      </c>
    </row>
    <row r="20" spans="1:6" x14ac:dyDescent="0.25">
      <c r="A20" t="s">
        <v>15</v>
      </c>
      <c r="B20">
        <v>83.496065716673797</v>
      </c>
      <c r="C20">
        <v>3.4176883309542404E-2</v>
      </c>
      <c r="D20">
        <v>1.70884416547712</v>
      </c>
      <c r="E20">
        <v>2</v>
      </c>
      <c r="F20">
        <f t="shared" si="0"/>
        <v>3.4176883309542404E-2</v>
      </c>
    </row>
    <row r="21" spans="1:6" x14ac:dyDescent="0.25">
      <c r="A21" t="s">
        <v>15</v>
      </c>
      <c r="B21">
        <v>95.081974032434701</v>
      </c>
      <c r="C21">
        <v>2.6800732326571E-2</v>
      </c>
      <c r="D21">
        <v>1.34003661632855</v>
      </c>
      <c r="E21">
        <v>2</v>
      </c>
      <c r="F21">
        <f t="shared" si="0"/>
        <v>2.6800732326571E-2</v>
      </c>
    </row>
    <row r="22" spans="1:6" x14ac:dyDescent="0.25">
      <c r="A22" t="s">
        <v>15</v>
      </c>
      <c r="B22">
        <v>115.279666352193</v>
      </c>
      <c r="C22">
        <v>2.6127117371691398E-2</v>
      </c>
      <c r="D22">
        <v>1.30635586858457</v>
      </c>
      <c r="E22">
        <v>2</v>
      </c>
      <c r="F22">
        <f t="shared" si="0"/>
        <v>2.6127117371691398E-2</v>
      </c>
    </row>
    <row r="23" spans="1:6" x14ac:dyDescent="0.25">
      <c r="A23" t="s">
        <v>15</v>
      </c>
      <c r="B23">
        <v>145.48522423579598</v>
      </c>
      <c r="C23">
        <v>2.1876485997727603E-2</v>
      </c>
      <c r="D23">
        <v>1.0938242998863801</v>
      </c>
      <c r="E23">
        <v>2</v>
      </c>
      <c r="F23">
        <f t="shared" si="0"/>
        <v>2.1876485997727603E-2</v>
      </c>
    </row>
    <row r="24" spans="1:6" x14ac:dyDescent="0.25">
      <c r="A24" t="s">
        <v>15</v>
      </c>
      <c r="B24">
        <v>174.01234698565099</v>
      </c>
      <c r="C24">
        <v>1.7849586217560141E-2</v>
      </c>
      <c r="D24">
        <v>0.89247931087800703</v>
      </c>
      <c r="E24">
        <v>2</v>
      </c>
      <c r="F24">
        <f t="shared" si="0"/>
        <v>1.7849586217560141E-2</v>
      </c>
    </row>
    <row r="25" spans="1:6" x14ac:dyDescent="0.25">
      <c r="A25" t="s">
        <v>15</v>
      </c>
      <c r="B25">
        <v>236.396800508236</v>
      </c>
      <c r="C25">
        <v>1.962733810047752E-2</v>
      </c>
      <c r="D25">
        <v>0.98136690502387602</v>
      </c>
      <c r="E25">
        <v>2</v>
      </c>
      <c r="F25">
        <f t="shared" si="0"/>
        <v>1.962733810047752E-2</v>
      </c>
    </row>
    <row r="26" spans="1:6" x14ac:dyDescent="0.25">
      <c r="A26" t="s">
        <v>15</v>
      </c>
      <c r="B26">
        <v>596.72388247368599</v>
      </c>
      <c r="C26">
        <v>1.2418985812853341E-2</v>
      </c>
      <c r="D26">
        <v>0.62094929064266702</v>
      </c>
      <c r="E26">
        <v>2</v>
      </c>
      <c r="F26">
        <f t="shared" si="0"/>
        <v>1.2418985812853341E-2</v>
      </c>
    </row>
    <row r="27" spans="1:6" x14ac:dyDescent="0.25">
      <c r="A27" t="s">
        <v>15</v>
      </c>
      <c r="B27">
        <v>598.37094498811098</v>
      </c>
      <c r="C27">
        <v>1.1077940790903719E-2</v>
      </c>
      <c r="D27">
        <v>0.55389703954518599</v>
      </c>
      <c r="E27">
        <v>2</v>
      </c>
      <c r="F27">
        <f t="shared" si="0"/>
        <v>1.1077940790903719E-2</v>
      </c>
    </row>
    <row r="28" spans="1:6" x14ac:dyDescent="0.25">
      <c r="A28" t="s">
        <v>15</v>
      </c>
      <c r="B28">
        <v>600.12467440823298</v>
      </c>
      <c r="C28">
        <v>1.3535761424675441E-2</v>
      </c>
      <c r="D28">
        <v>0.67678807123377205</v>
      </c>
      <c r="E28">
        <v>2</v>
      </c>
      <c r="F28">
        <f t="shared" si="0"/>
        <v>1.3535761424675441E-2</v>
      </c>
    </row>
    <row r="29" spans="1:6" x14ac:dyDescent="0.25">
      <c r="A29" t="s">
        <v>15</v>
      </c>
      <c r="B29">
        <v>1442.2912674986301</v>
      </c>
      <c r="C29">
        <v>6.6974267729451396E-3</v>
      </c>
      <c r="D29">
        <v>0.33487133864725699</v>
      </c>
      <c r="E29">
        <v>2</v>
      </c>
      <c r="F29">
        <f t="shared" si="0"/>
        <v>6.6974267729451396E-3</v>
      </c>
    </row>
    <row r="30" spans="1:6" x14ac:dyDescent="0.25">
      <c r="A30" t="s">
        <v>15</v>
      </c>
      <c r="B30">
        <v>1445.61049062294</v>
      </c>
      <c r="C30">
        <v>4.90918747156856E-3</v>
      </c>
      <c r="D30">
        <v>0.24545937357842801</v>
      </c>
      <c r="E30">
        <v>2</v>
      </c>
      <c r="F30">
        <f t="shared" si="0"/>
        <v>4.90918747156856E-3</v>
      </c>
    </row>
    <row r="31" spans="1:6" x14ac:dyDescent="0.25">
      <c r="A31" t="s">
        <v>15</v>
      </c>
      <c r="B31">
        <v>1445.7234320525001</v>
      </c>
      <c r="C31">
        <v>8.9315158129205791E-3</v>
      </c>
      <c r="D31">
        <v>0.44657579064602898</v>
      </c>
      <c r="E31">
        <v>2</v>
      </c>
      <c r="F31">
        <f t="shared" si="0"/>
        <v>8.9315158129205791E-3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11DE6-732B-4741-9125-262D09C478B9}">
  <dimension ref="A1:R191"/>
  <sheetViews>
    <sheetView topLeftCell="A118" zoomScale="70" zoomScaleNormal="70" workbookViewId="0">
      <selection activeCell="C175" sqref="C175"/>
    </sheetView>
  </sheetViews>
  <sheetFormatPr defaultColWidth="10.5703125" defaultRowHeight="15" x14ac:dyDescent="0.25"/>
  <cols>
    <col min="1" max="1" width="40.85546875" customWidth="1"/>
    <col min="2" max="2" width="12" bestFit="1" customWidth="1"/>
    <col min="3" max="3" width="22.85546875" bestFit="1" customWidth="1"/>
    <col min="4" max="4" width="23.5703125" style="19" bestFit="1" customWidth="1"/>
    <col min="5" max="5" width="20.5703125" style="2" bestFit="1" customWidth="1"/>
    <col min="6" max="6" width="21.28515625" style="2" bestFit="1" customWidth="1"/>
  </cols>
  <sheetData>
    <row r="1" spans="1:13" x14ac:dyDescent="0.25">
      <c r="A1" s="4" t="s">
        <v>2</v>
      </c>
      <c r="B1" s="5" t="s">
        <v>80</v>
      </c>
      <c r="C1" s="6" t="s">
        <v>88</v>
      </c>
      <c r="D1" s="19" t="s">
        <v>87</v>
      </c>
      <c r="E1" s="7" t="s">
        <v>89</v>
      </c>
      <c r="F1" s="7" t="s">
        <v>90</v>
      </c>
    </row>
    <row r="2" spans="1:13" x14ac:dyDescent="0.25">
      <c r="A2" t="s">
        <v>81</v>
      </c>
      <c r="B2">
        <f>10*24 + M2</f>
        <v>240</v>
      </c>
      <c r="C2">
        <v>1.2660897421988999</v>
      </c>
      <c r="M2">
        <v>0</v>
      </c>
    </row>
    <row r="3" spans="1:13" x14ac:dyDescent="0.25">
      <c r="A3" t="s">
        <v>81</v>
      </c>
      <c r="B3">
        <f t="shared" ref="B3:B63" si="0">10*24 + M3</f>
        <v>240.27428571428572</v>
      </c>
      <c r="C3">
        <v>1.23900207714736</v>
      </c>
      <c r="M3">
        <v>0.27428571428571402</v>
      </c>
    </row>
    <row r="4" spans="1:13" x14ac:dyDescent="0.25">
      <c r="A4" t="s">
        <v>81</v>
      </c>
      <c r="B4">
        <f t="shared" si="0"/>
        <v>241.09714285714284</v>
      </c>
      <c r="C4">
        <v>1.2566910485466301</v>
      </c>
      <c r="M4">
        <v>1.0971428571428501</v>
      </c>
    </row>
    <row r="5" spans="1:13" x14ac:dyDescent="0.25">
      <c r="A5" t="s">
        <v>81</v>
      </c>
      <c r="B5">
        <f t="shared" si="0"/>
        <v>241.50857142857143</v>
      </c>
      <c r="C5">
        <v>1.25080634588254</v>
      </c>
      <c r="M5">
        <v>1.50857142857142</v>
      </c>
    </row>
    <row r="6" spans="1:13" x14ac:dyDescent="0.25">
      <c r="A6" t="s">
        <v>81</v>
      </c>
      <c r="B6">
        <f t="shared" si="0"/>
        <v>242.33142857142857</v>
      </c>
      <c r="C6">
        <v>1.2402234985787599</v>
      </c>
      <c r="M6">
        <v>2.3314285714285701</v>
      </c>
    </row>
    <row r="7" spans="1:13" x14ac:dyDescent="0.25">
      <c r="A7" t="s">
        <v>81</v>
      </c>
      <c r="B7">
        <f t="shared" si="0"/>
        <v>241.64571428571429</v>
      </c>
      <c r="C7">
        <v>1.22489682355026</v>
      </c>
      <c r="M7">
        <v>1.6457142857142799</v>
      </c>
    </row>
    <row r="8" spans="1:13" x14ac:dyDescent="0.25">
      <c r="A8" t="s">
        <v>81</v>
      </c>
      <c r="B8">
        <f t="shared" si="0"/>
        <v>242.88</v>
      </c>
      <c r="C8">
        <v>1.2272735461584099</v>
      </c>
      <c r="M8">
        <v>2.8799999999999901</v>
      </c>
    </row>
    <row r="9" spans="1:13" x14ac:dyDescent="0.25">
      <c r="A9" t="s">
        <v>81</v>
      </c>
      <c r="B9">
        <f t="shared" si="0"/>
        <v>243.97714285714284</v>
      </c>
      <c r="C9">
        <v>1.2143368177889999</v>
      </c>
      <c r="M9">
        <v>3.9771428571428502</v>
      </c>
    </row>
    <row r="10" spans="1:13" x14ac:dyDescent="0.25">
      <c r="A10" t="s">
        <v>81</v>
      </c>
      <c r="B10">
        <f t="shared" si="0"/>
        <v>245.89714285714285</v>
      </c>
      <c r="C10">
        <v>1.18021275545596</v>
      </c>
      <c r="M10">
        <v>5.8971428571428497</v>
      </c>
    </row>
    <row r="11" spans="1:13" x14ac:dyDescent="0.25">
      <c r="A11" t="s">
        <v>81</v>
      </c>
      <c r="B11">
        <f t="shared" si="0"/>
        <v>247.9542857142857</v>
      </c>
      <c r="C11">
        <v>1.1614009419140401</v>
      </c>
      <c r="M11">
        <v>7.9542857142857102</v>
      </c>
    </row>
    <row r="12" spans="1:13" x14ac:dyDescent="0.25">
      <c r="A12" t="s">
        <v>81</v>
      </c>
      <c r="B12">
        <f t="shared" si="0"/>
        <v>249.87428571428572</v>
      </c>
      <c r="C12">
        <v>1.2121007509952899</v>
      </c>
      <c r="M12">
        <v>9.8742857142857101</v>
      </c>
    </row>
    <row r="13" spans="1:13" x14ac:dyDescent="0.25">
      <c r="A13" t="s">
        <v>81</v>
      </c>
      <c r="B13">
        <f t="shared" si="0"/>
        <v>251.93142857142851</v>
      </c>
      <c r="C13">
        <v>1.192113199107</v>
      </c>
      <c r="M13">
        <v>11.9314285714285</v>
      </c>
    </row>
    <row r="14" spans="1:13" x14ac:dyDescent="0.25">
      <c r="A14" t="s">
        <v>81</v>
      </c>
      <c r="B14">
        <f t="shared" si="0"/>
        <v>257.96571428571417</v>
      </c>
      <c r="C14">
        <v>1.1215460567822799</v>
      </c>
      <c r="M14">
        <v>17.965714285714199</v>
      </c>
    </row>
    <row r="15" spans="1:13" x14ac:dyDescent="0.25">
      <c r="A15" t="s">
        <v>81</v>
      </c>
      <c r="B15">
        <f t="shared" si="0"/>
        <v>263.31428571428569</v>
      </c>
      <c r="C15">
        <v>1.1935281725565701</v>
      </c>
      <c r="M15">
        <v>23.314285714285699</v>
      </c>
    </row>
    <row r="16" spans="1:13" x14ac:dyDescent="0.25">
      <c r="A16" t="s">
        <v>81</v>
      </c>
      <c r="B16">
        <f t="shared" si="0"/>
        <v>263.72571428571422</v>
      </c>
      <c r="C16">
        <v>1.1958784470628601</v>
      </c>
      <c r="M16">
        <v>23.725714285714201</v>
      </c>
    </row>
    <row r="17" spans="1:13" x14ac:dyDescent="0.25">
      <c r="A17" t="s">
        <v>81</v>
      </c>
      <c r="B17">
        <f t="shared" si="0"/>
        <v>264.95999999999992</v>
      </c>
      <c r="C17">
        <v>1.19826358497615</v>
      </c>
      <c r="M17">
        <v>24.959999999999901</v>
      </c>
    </row>
    <row r="18" spans="1:13" x14ac:dyDescent="0.25">
      <c r="A18" t="s">
        <v>81</v>
      </c>
      <c r="B18">
        <f t="shared" si="0"/>
        <v>263.86285714285708</v>
      </c>
      <c r="C18">
        <v>1.2359497257553</v>
      </c>
      <c r="M18">
        <v>23.862857142857099</v>
      </c>
    </row>
    <row r="19" spans="1:13" x14ac:dyDescent="0.25">
      <c r="A19" t="s">
        <v>81</v>
      </c>
      <c r="B19">
        <f t="shared" si="0"/>
        <v>265.37142857142851</v>
      </c>
      <c r="C19">
        <v>1.24776120760917</v>
      </c>
      <c r="M19">
        <v>25.371428571428499</v>
      </c>
    </row>
    <row r="20" spans="1:13" x14ac:dyDescent="0.25">
      <c r="A20" t="s">
        <v>81</v>
      </c>
      <c r="B20">
        <f t="shared" si="0"/>
        <v>267.83999999999992</v>
      </c>
      <c r="C20">
        <v>1.2230286258097101</v>
      </c>
      <c r="M20">
        <v>27.8399999999999</v>
      </c>
    </row>
    <row r="21" spans="1:13" x14ac:dyDescent="0.25">
      <c r="A21" t="s">
        <v>81</v>
      </c>
      <c r="B21">
        <f t="shared" si="0"/>
        <v>266.46857142857141</v>
      </c>
      <c r="C21">
        <v>1.2501391324037701</v>
      </c>
      <c r="M21">
        <v>26.468571428571401</v>
      </c>
    </row>
    <row r="22" spans="1:13" x14ac:dyDescent="0.25">
      <c r="A22" t="s">
        <v>81</v>
      </c>
      <c r="B22">
        <f t="shared" si="0"/>
        <v>265.92</v>
      </c>
      <c r="C22">
        <v>1.2466335567207301</v>
      </c>
      <c r="M22">
        <v>25.92</v>
      </c>
    </row>
    <row r="23" spans="1:13" x14ac:dyDescent="0.25">
      <c r="A23" t="s">
        <v>81</v>
      </c>
      <c r="B23">
        <f t="shared" si="0"/>
        <v>269.8971428571428</v>
      </c>
      <c r="C23">
        <v>1.21486337545333</v>
      </c>
      <c r="M23">
        <v>29.8971428571428</v>
      </c>
    </row>
    <row r="24" spans="1:13" x14ac:dyDescent="0.25">
      <c r="A24" t="s">
        <v>81</v>
      </c>
      <c r="B24">
        <f t="shared" si="0"/>
        <v>271.95428571428567</v>
      </c>
      <c r="C24">
        <v>1.2420063410814901</v>
      </c>
      <c r="M24">
        <v>31.9542857142857</v>
      </c>
    </row>
    <row r="25" spans="1:13" x14ac:dyDescent="0.25">
      <c r="A25" t="s">
        <v>81</v>
      </c>
      <c r="B25">
        <f t="shared" si="0"/>
        <v>274.0114285714285</v>
      </c>
      <c r="C25">
        <v>1.24557803701918</v>
      </c>
      <c r="M25">
        <v>34.011428571428503</v>
      </c>
    </row>
    <row r="26" spans="1:13" x14ac:dyDescent="0.25">
      <c r="A26" t="s">
        <v>81</v>
      </c>
      <c r="B26">
        <f t="shared" si="0"/>
        <v>275.79428571428571</v>
      </c>
      <c r="C26">
        <v>1.2420844832006199</v>
      </c>
      <c r="M26">
        <v>35.794285714285699</v>
      </c>
    </row>
    <row r="27" spans="1:13" x14ac:dyDescent="0.25">
      <c r="A27" t="s">
        <v>81</v>
      </c>
      <c r="B27">
        <f t="shared" si="0"/>
        <v>281.82857142857142</v>
      </c>
      <c r="C27">
        <v>1.1797631377243201</v>
      </c>
      <c r="M27">
        <v>41.828571428571401</v>
      </c>
    </row>
    <row r="28" spans="1:13" x14ac:dyDescent="0.25">
      <c r="A28" t="s">
        <v>81</v>
      </c>
      <c r="B28">
        <f t="shared" si="0"/>
        <v>287.86285714285708</v>
      </c>
      <c r="C28">
        <v>1.2399722416110801</v>
      </c>
      <c r="M28">
        <v>47.862857142857102</v>
      </c>
    </row>
    <row r="29" spans="1:13" x14ac:dyDescent="0.25">
      <c r="A29" t="s">
        <v>81</v>
      </c>
      <c r="B29">
        <f t="shared" si="0"/>
        <v>299.93142857142851</v>
      </c>
      <c r="C29">
        <v>1.1813127560560901</v>
      </c>
      <c r="M29">
        <v>59.931428571428498</v>
      </c>
    </row>
    <row r="30" spans="1:13" x14ac:dyDescent="0.25">
      <c r="A30" t="s">
        <v>81</v>
      </c>
      <c r="B30">
        <f t="shared" si="0"/>
        <v>312</v>
      </c>
      <c r="C30">
        <v>1.20511724991752</v>
      </c>
      <c r="M30">
        <v>72</v>
      </c>
    </row>
    <row r="31" spans="1:13" x14ac:dyDescent="0.25">
      <c r="A31" t="s">
        <v>81</v>
      </c>
      <c r="B31">
        <f t="shared" si="0"/>
        <v>336</v>
      </c>
      <c r="C31">
        <v>1.1478775465578901</v>
      </c>
      <c r="M31">
        <v>96</v>
      </c>
    </row>
    <row r="32" spans="1:13" x14ac:dyDescent="0.25">
      <c r="A32" t="s">
        <v>81</v>
      </c>
      <c r="B32">
        <f t="shared" si="0"/>
        <v>360.13714285714201</v>
      </c>
      <c r="C32">
        <v>1.2308332202316301</v>
      </c>
      <c r="M32">
        <v>120.137142857142</v>
      </c>
    </row>
    <row r="33" spans="1:13" x14ac:dyDescent="0.25">
      <c r="A33" t="s">
        <v>82</v>
      </c>
      <c r="B33">
        <f t="shared" si="0"/>
        <v>240</v>
      </c>
      <c r="C33">
        <v>76.853146853146797</v>
      </c>
      <c r="E33" s="2">
        <v>7.6853146853146797</v>
      </c>
      <c r="F33" s="2">
        <f>10*E33</f>
        <v>76.853146853146797</v>
      </c>
      <c r="M33">
        <v>0</v>
      </c>
    </row>
    <row r="34" spans="1:13" x14ac:dyDescent="0.25">
      <c r="A34" t="s">
        <v>82</v>
      </c>
      <c r="B34">
        <f t="shared" si="0"/>
        <v>240.46469905640211</v>
      </c>
      <c r="C34">
        <v>76.608391608391599</v>
      </c>
      <c r="E34" s="2">
        <v>7.6608391608391599</v>
      </c>
      <c r="F34" s="2">
        <f t="shared" ref="F34:F62" si="1">10*E34</f>
        <v>76.608391608391599</v>
      </c>
      <c r="M34">
        <v>0.46469905640211401</v>
      </c>
    </row>
    <row r="35" spans="1:13" x14ac:dyDescent="0.25">
      <c r="A35" t="s">
        <v>82</v>
      </c>
      <c r="B35">
        <f t="shared" si="0"/>
        <v>240.98917458087763</v>
      </c>
      <c r="C35">
        <v>77.097902097902107</v>
      </c>
      <c r="E35" s="2">
        <v>7.70979020979021</v>
      </c>
      <c r="F35" s="2">
        <f t="shared" si="1"/>
        <v>77.097902097902107</v>
      </c>
      <c r="M35">
        <v>0.98917458087763699</v>
      </c>
    </row>
    <row r="36" spans="1:13" x14ac:dyDescent="0.25">
      <c r="A36" t="s">
        <v>82</v>
      </c>
      <c r="B36">
        <f t="shared" si="0"/>
        <v>242.30059242067975</v>
      </c>
      <c r="C36">
        <v>78.566433566433489</v>
      </c>
      <c r="E36" s="2">
        <v>7.8566433566433496</v>
      </c>
      <c r="F36" s="2">
        <f t="shared" si="1"/>
        <v>78.566433566433489</v>
      </c>
      <c r="M36">
        <v>2.3005924206797501</v>
      </c>
    </row>
    <row r="37" spans="1:13" x14ac:dyDescent="0.25">
      <c r="A37" t="s">
        <v>82</v>
      </c>
      <c r="B37">
        <f t="shared" si="0"/>
        <v>242.95607231196752</v>
      </c>
      <c r="C37">
        <v>79.055944055943996</v>
      </c>
      <c r="E37" s="2">
        <v>7.9055944055943996</v>
      </c>
      <c r="F37" s="2">
        <f t="shared" si="1"/>
        <v>79.055944055943996</v>
      </c>
      <c r="M37">
        <v>2.9560723119675099</v>
      </c>
    </row>
    <row r="38" spans="1:13" x14ac:dyDescent="0.25">
      <c r="A38" t="s">
        <v>82</v>
      </c>
      <c r="B38">
        <f t="shared" si="0"/>
        <v>244.00433627507863</v>
      </c>
      <c r="C38">
        <v>79.300699300699307</v>
      </c>
      <c r="E38" s="2">
        <v>7.93006993006993</v>
      </c>
      <c r="F38" s="2">
        <f t="shared" si="1"/>
        <v>79.300699300699307</v>
      </c>
      <c r="M38">
        <v>4.0043362750786304</v>
      </c>
    </row>
    <row r="39" spans="1:13" x14ac:dyDescent="0.25">
      <c r="A39" t="s">
        <v>82</v>
      </c>
      <c r="B39">
        <f t="shared" si="0"/>
        <v>245.96871469142212</v>
      </c>
      <c r="C39">
        <v>78.566433566433489</v>
      </c>
      <c r="E39" s="2">
        <v>7.8566433566433496</v>
      </c>
      <c r="F39" s="2">
        <f t="shared" si="1"/>
        <v>78.566433566433489</v>
      </c>
      <c r="M39">
        <v>5.9687146914221101</v>
      </c>
    </row>
    <row r="40" spans="1:13" x14ac:dyDescent="0.25">
      <c r="A40" t="s">
        <v>82</v>
      </c>
      <c r="B40">
        <f t="shared" si="0"/>
        <v>248.06272330289798</v>
      </c>
      <c r="C40">
        <v>76.363636363636289</v>
      </c>
      <c r="E40" s="2">
        <v>7.6363636363636296</v>
      </c>
      <c r="F40" s="2">
        <f t="shared" si="1"/>
        <v>76.363636363636289</v>
      </c>
      <c r="M40">
        <v>8.0627233028979699</v>
      </c>
    </row>
    <row r="41" spans="1:13" x14ac:dyDescent="0.25">
      <c r="A41" t="s">
        <v>82</v>
      </c>
      <c r="B41">
        <f t="shared" si="0"/>
        <v>250.02870491953459</v>
      </c>
      <c r="C41">
        <v>77.342657342657304</v>
      </c>
      <c r="E41" s="2">
        <v>7.7342657342657297</v>
      </c>
      <c r="F41" s="2">
        <f t="shared" si="1"/>
        <v>77.342657342657304</v>
      </c>
      <c r="M41">
        <v>10.028704919534601</v>
      </c>
    </row>
    <row r="42" spans="1:13" x14ac:dyDescent="0.25">
      <c r="A42" t="s">
        <v>82</v>
      </c>
      <c r="B42">
        <f t="shared" si="0"/>
        <v>252.12385867407701</v>
      </c>
      <c r="C42">
        <v>76.363636363636289</v>
      </c>
      <c r="E42" s="2">
        <v>7.6363636363636296</v>
      </c>
      <c r="F42" s="2">
        <f t="shared" si="1"/>
        <v>76.363636363636289</v>
      </c>
      <c r="M42">
        <v>12.123858674077001</v>
      </c>
    </row>
    <row r="43" spans="1:13" x14ac:dyDescent="0.25">
      <c r="A43" t="s">
        <v>82</v>
      </c>
      <c r="B43">
        <f t="shared" si="0"/>
        <v>257.88347024154882</v>
      </c>
      <c r="C43">
        <v>71.46853146853141</v>
      </c>
      <c r="E43" s="2">
        <v>7.1468531468531404</v>
      </c>
      <c r="F43" s="2">
        <f t="shared" si="1"/>
        <v>71.46853146853141</v>
      </c>
      <c r="M43">
        <v>17.8834702415488</v>
      </c>
    </row>
    <row r="44" spans="1:13" x14ac:dyDescent="0.25">
      <c r="A44" t="s">
        <v>82</v>
      </c>
      <c r="B44">
        <f t="shared" si="0"/>
        <v>263.51803218615441</v>
      </c>
      <c r="C44">
        <v>72.937062937062905</v>
      </c>
      <c r="E44" s="2">
        <v>7.2937062937062898</v>
      </c>
      <c r="F44" s="2">
        <f t="shared" si="1"/>
        <v>72.937062937062905</v>
      </c>
      <c r="M44">
        <v>23.5180321861544</v>
      </c>
    </row>
    <row r="45" spans="1:13" x14ac:dyDescent="0.25">
      <c r="A45" t="s">
        <v>82</v>
      </c>
      <c r="B45">
        <f t="shared" si="0"/>
        <v>263.78324732036521</v>
      </c>
      <c r="C45">
        <v>76.363636363636289</v>
      </c>
      <c r="E45" s="2">
        <v>7.6363636363636296</v>
      </c>
      <c r="F45" s="2">
        <f t="shared" si="1"/>
        <v>76.363636363636289</v>
      </c>
      <c r="M45">
        <v>23.783247320365199</v>
      </c>
    </row>
    <row r="46" spans="1:13" x14ac:dyDescent="0.25">
      <c r="A46" t="s">
        <v>82</v>
      </c>
      <c r="B46">
        <f t="shared" si="0"/>
        <v>264.17648944941521</v>
      </c>
      <c r="C46">
        <v>76.608391608391599</v>
      </c>
      <c r="E46" s="2">
        <v>7.6608391608391599</v>
      </c>
      <c r="F46" s="2">
        <f t="shared" si="1"/>
        <v>76.608391608391599</v>
      </c>
      <c r="M46">
        <v>24.1764894494152</v>
      </c>
    </row>
    <row r="47" spans="1:13" x14ac:dyDescent="0.25">
      <c r="A47" t="s">
        <v>82</v>
      </c>
      <c r="B47">
        <f t="shared" si="0"/>
        <v>264.57614437963781</v>
      </c>
      <c r="C47">
        <v>83.706293706293707</v>
      </c>
      <c r="E47" s="2">
        <v>8.37062937062937</v>
      </c>
      <c r="F47" s="2">
        <f t="shared" si="1"/>
        <v>83.706293706293707</v>
      </c>
      <c r="M47">
        <v>24.5761443796378</v>
      </c>
    </row>
    <row r="48" spans="1:13" x14ac:dyDescent="0.25">
      <c r="A48" t="s">
        <v>82</v>
      </c>
      <c r="B48">
        <f t="shared" si="0"/>
        <v>264.98839588359232</v>
      </c>
      <c r="C48">
        <v>104.265734265734</v>
      </c>
      <c r="E48" s="2">
        <v>10.4265734265734</v>
      </c>
      <c r="F48" s="2">
        <f t="shared" si="1"/>
        <v>104.265734265734</v>
      </c>
      <c r="M48">
        <v>24.9883958835923</v>
      </c>
    </row>
    <row r="49" spans="1:13" x14ac:dyDescent="0.25">
      <c r="A49" t="s">
        <v>82</v>
      </c>
      <c r="B49">
        <f t="shared" si="0"/>
        <v>265.52432283873333</v>
      </c>
      <c r="C49">
        <v>116.993006993007</v>
      </c>
      <c r="E49" s="2">
        <v>11.6993006993007</v>
      </c>
      <c r="F49" s="2">
        <f t="shared" si="1"/>
        <v>116.993006993007</v>
      </c>
      <c r="M49">
        <v>25.524322838733301</v>
      </c>
    </row>
    <row r="50" spans="1:13" x14ac:dyDescent="0.25">
      <c r="A50" t="s">
        <v>82</v>
      </c>
      <c r="B50">
        <f t="shared" si="0"/>
        <v>265.65830457751849</v>
      </c>
      <c r="C50">
        <v>120.174825174825</v>
      </c>
      <c r="E50" s="2">
        <v>12.017482517482501</v>
      </c>
      <c r="F50" s="2">
        <f t="shared" si="1"/>
        <v>120.174825174825</v>
      </c>
      <c r="M50">
        <v>25.6583045775185</v>
      </c>
    </row>
    <row r="51" spans="1:13" x14ac:dyDescent="0.25">
      <c r="A51" t="s">
        <v>82</v>
      </c>
      <c r="B51">
        <f t="shared" si="0"/>
        <v>266.3142425260329</v>
      </c>
      <c r="C51">
        <v>121.153846153846</v>
      </c>
      <c r="E51" s="2">
        <v>12.115384615384601</v>
      </c>
      <c r="F51" s="2">
        <f t="shared" si="1"/>
        <v>121.153846153846</v>
      </c>
      <c r="M51">
        <v>26.314242526032899</v>
      </c>
    </row>
    <row r="52" spans="1:13" x14ac:dyDescent="0.25">
      <c r="A52" t="s">
        <v>82</v>
      </c>
      <c r="B52">
        <f t="shared" si="0"/>
        <v>266.97132561761379</v>
      </c>
      <c r="C52">
        <v>123.35664335664299</v>
      </c>
      <c r="E52" s="2">
        <v>12.335664335664299</v>
      </c>
      <c r="F52" s="2">
        <f t="shared" si="1"/>
        <v>123.35664335664299</v>
      </c>
      <c r="M52">
        <v>26.9713256176138</v>
      </c>
    </row>
    <row r="53" spans="1:13" x14ac:dyDescent="0.25">
      <c r="A53" t="s">
        <v>82</v>
      </c>
      <c r="B53">
        <f t="shared" si="0"/>
        <v>268.01638318013858</v>
      </c>
      <c r="C53">
        <v>120.174825174825</v>
      </c>
      <c r="E53" s="2">
        <v>12.017482517482501</v>
      </c>
      <c r="F53" s="2">
        <f t="shared" si="1"/>
        <v>120.174825174825</v>
      </c>
      <c r="M53">
        <v>28.0163831801386</v>
      </c>
    </row>
    <row r="54" spans="1:13" x14ac:dyDescent="0.25">
      <c r="A54" t="s">
        <v>82</v>
      </c>
      <c r="B54">
        <f t="shared" si="0"/>
        <v>270.10489510489509</v>
      </c>
      <c r="C54">
        <v>112.09790209790199</v>
      </c>
      <c r="E54" s="2">
        <v>11.209790209790199</v>
      </c>
      <c r="F54" s="2">
        <f t="shared" si="1"/>
        <v>112.09790209790199</v>
      </c>
      <c r="M54">
        <v>30.1048951048951</v>
      </c>
    </row>
    <row r="55" spans="1:13" x14ac:dyDescent="0.25">
      <c r="A55" t="s">
        <v>82</v>
      </c>
      <c r="B55">
        <f t="shared" si="0"/>
        <v>272.2005069166641</v>
      </c>
      <c r="C55">
        <v>111.608391608391</v>
      </c>
      <c r="E55" s="2">
        <v>11.1608391608391</v>
      </c>
      <c r="F55" s="2">
        <f t="shared" si="1"/>
        <v>111.608391608391</v>
      </c>
      <c r="M55">
        <v>32.200506916664096</v>
      </c>
    </row>
    <row r="56" spans="1:13" x14ac:dyDescent="0.25">
      <c r="A56" t="s">
        <v>82</v>
      </c>
      <c r="B56">
        <f t="shared" si="0"/>
        <v>274.03365193758202</v>
      </c>
      <c r="C56">
        <v>110.62937062936999</v>
      </c>
      <c r="E56" s="2">
        <v>11.062937062936999</v>
      </c>
      <c r="F56" s="2">
        <f t="shared" si="1"/>
        <v>110.62937062936999</v>
      </c>
      <c r="M56">
        <v>34.033651937582</v>
      </c>
    </row>
    <row r="57" spans="1:13" x14ac:dyDescent="0.25">
      <c r="A57" t="s">
        <v>82</v>
      </c>
      <c r="B57">
        <f t="shared" si="0"/>
        <v>275.9978013253122</v>
      </c>
      <c r="C57">
        <v>109.650349650349</v>
      </c>
      <c r="E57" s="2">
        <v>10.965034965034899</v>
      </c>
      <c r="F57" s="2">
        <f t="shared" si="1"/>
        <v>109.650349650349</v>
      </c>
      <c r="M57">
        <v>35.997801325312203</v>
      </c>
    </row>
    <row r="58" spans="1:13" x14ac:dyDescent="0.25">
      <c r="A58" t="s">
        <v>82</v>
      </c>
      <c r="B58">
        <f t="shared" si="0"/>
        <v>282.14538736372788</v>
      </c>
      <c r="C58">
        <v>99.370629370629402</v>
      </c>
      <c r="E58" s="2">
        <v>9.9370629370629402</v>
      </c>
      <c r="F58" s="2">
        <f t="shared" si="1"/>
        <v>99.370629370629402</v>
      </c>
      <c r="M58">
        <v>42.145387363727899</v>
      </c>
    </row>
    <row r="59" spans="1:13" x14ac:dyDescent="0.25">
      <c r="A59" t="s">
        <v>82</v>
      </c>
      <c r="B59">
        <f t="shared" si="0"/>
        <v>288.04058387027811</v>
      </c>
      <c r="C59">
        <v>99.370629370629402</v>
      </c>
      <c r="E59" s="2">
        <v>9.9370629370629402</v>
      </c>
      <c r="F59" s="2">
        <f t="shared" si="1"/>
        <v>99.370629370629402</v>
      </c>
      <c r="M59">
        <v>48.040583870278098</v>
      </c>
    </row>
    <row r="60" spans="1:13" x14ac:dyDescent="0.25">
      <c r="A60" t="s">
        <v>82</v>
      </c>
      <c r="B60">
        <f t="shared" si="0"/>
        <v>300.08932115919009</v>
      </c>
      <c r="C60">
        <v>95.454545454545396</v>
      </c>
      <c r="E60" s="2">
        <v>9.5454545454545396</v>
      </c>
      <c r="F60" s="2">
        <f t="shared" si="1"/>
        <v>95.454545454545396</v>
      </c>
      <c r="M60">
        <v>60.089321159190099</v>
      </c>
    </row>
    <row r="61" spans="1:13" x14ac:dyDescent="0.25">
      <c r="A61" t="s">
        <v>82</v>
      </c>
      <c r="B61">
        <f t="shared" si="0"/>
        <v>312.00361865209021</v>
      </c>
      <c r="C61">
        <v>87.867132867132796</v>
      </c>
      <c r="E61" s="2">
        <v>8.7867132867132796</v>
      </c>
      <c r="F61" s="2">
        <f t="shared" si="1"/>
        <v>87.867132867132796</v>
      </c>
      <c r="M61">
        <v>72.003618652090196</v>
      </c>
    </row>
    <row r="62" spans="1:13" x14ac:dyDescent="0.25">
      <c r="A62" t="s">
        <v>82</v>
      </c>
      <c r="B62">
        <f t="shared" si="0"/>
        <v>336.1047576877271</v>
      </c>
      <c r="C62">
        <v>83.951048951048904</v>
      </c>
      <c r="E62" s="2">
        <v>8.3951048951048897</v>
      </c>
      <c r="F62" s="2">
        <f t="shared" si="1"/>
        <v>83.951048951048904</v>
      </c>
      <c r="M62">
        <v>96.104757687727101</v>
      </c>
    </row>
    <row r="63" spans="1:13" x14ac:dyDescent="0.25">
      <c r="A63" t="s">
        <v>82</v>
      </c>
      <c r="B63">
        <f t="shared" si="0"/>
        <v>359.94755244755197</v>
      </c>
      <c r="C63">
        <v>83.951048951048904</v>
      </c>
      <c r="E63" s="2">
        <v>8.3951048951048897</v>
      </c>
      <c r="F63" s="2">
        <f>10*E63</f>
        <v>83.951048951048904</v>
      </c>
      <c r="M63">
        <v>119.947552447552</v>
      </c>
    </row>
    <row r="64" spans="1:13" x14ac:dyDescent="0.25">
      <c r="A64" t="s">
        <v>83</v>
      </c>
      <c r="B64">
        <f t="shared" ref="B64:B96" si="2">10*24 + M64</f>
        <v>240</v>
      </c>
      <c r="C64">
        <f xml:space="preserve"> ((D64  + 0.9137 )/50.31)^1.35</f>
        <v>1.9018885452142094E-2</v>
      </c>
      <c r="D64" s="19">
        <v>1.75916230366492</v>
      </c>
      <c r="M64">
        <v>0</v>
      </c>
    </row>
    <row r="65" spans="1:13" x14ac:dyDescent="0.25">
      <c r="A65" t="s">
        <v>83</v>
      </c>
      <c r="B65">
        <f t="shared" si="2"/>
        <v>240.5</v>
      </c>
      <c r="C65">
        <f t="shared" ref="C65:C96" si="3" xml:space="preserve"> ((D65  + 0.9137 )/50.31)^1.35</f>
        <v>1.8417862921832437E-2</v>
      </c>
      <c r="D65" s="19">
        <v>1.6963350785340301</v>
      </c>
      <c r="M65">
        <v>0.5</v>
      </c>
    </row>
    <row r="66" spans="1:13" x14ac:dyDescent="0.25">
      <c r="A66" t="s">
        <v>83</v>
      </c>
      <c r="B66">
        <f t="shared" si="2"/>
        <v>241</v>
      </c>
      <c r="C66">
        <f t="shared" si="3"/>
        <v>1.736188105873375E-2</v>
      </c>
      <c r="D66" s="19">
        <v>1.58464223385689</v>
      </c>
      <c r="M66">
        <v>1</v>
      </c>
    </row>
    <row r="67" spans="1:13" x14ac:dyDescent="0.25">
      <c r="A67" t="s">
        <v>83</v>
      </c>
      <c r="B67">
        <f t="shared" si="2"/>
        <v>241.5</v>
      </c>
      <c r="C67">
        <f t="shared" si="3"/>
        <v>1.6775067077114209E-2</v>
      </c>
      <c r="D67" s="19">
        <v>1.5218150087260001</v>
      </c>
      <c r="M67">
        <v>1.5</v>
      </c>
    </row>
    <row r="68" spans="1:13" x14ac:dyDescent="0.25">
      <c r="A68" t="s">
        <v>83</v>
      </c>
      <c r="B68">
        <f t="shared" si="2"/>
        <v>242</v>
      </c>
      <c r="C68">
        <f t="shared" si="3"/>
        <v>1.5936782681139527E-2</v>
      </c>
      <c r="D68" s="19">
        <v>1.43106457242582</v>
      </c>
      <c r="M68">
        <v>2</v>
      </c>
    </row>
    <row r="69" spans="1:13" x14ac:dyDescent="0.25">
      <c r="A69" t="s">
        <v>83</v>
      </c>
      <c r="B69">
        <f t="shared" si="2"/>
        <v>242.5</v>
      </c>
      <c r="C69">
        <f t="shared" si="3"/>
        <v>1.5936782681139527E-2</v>
      </c>
      <c r="D69" s="19">
        <v>1.43106457242582</v>
      </c>
      <c r="M69">
        <v>2.5</v>
      </c>
    </row>
    <row r="70" spans="1:13" x14ac:dyDescent="0.25">
      <c r="A70" t="s">
        <v>83</v>
      </c>
      <c r="B70">
        <f t="shared" si="2"/>
        <v>243</v>
      </c>
      <c r="C70">
        <f t="shared" si="3"/>
        <v>1.5744924141036953E-2</v>
      </c>
      <c r="D70" s="19">
        <v>1.4101221640488599</v>
      </c>
      <c r="M70">
        <v>3</v>
      </c>
    </row>
    <row r="71" spans="1:13" x14ac:dyDescent="0.25">
      <c r="A71" t="s">
        <v>83</v>
      </c>
      <c r="B71">
        <f t="shared" si="2"/>
        <v>244</v>
      </c>
      <c r="C71">
        <f t="shared" si="3"/>
        <v>1.5363023278120759E-2</v>
      </c>
      <c r="D71" s="19">
        <v>1.3682373472949301</v>
      </c>
      <c r="M71">
        <v>4</v>
      </c>
    </row>
    <row r="72" spans="1:13" x14ac:dyDescent="0.25">
      <c r="A72" t="s">
        <v>83</v>
      </c>
      <c r="B72">
        <f t="shared" si="2"/>
        <v>246</v>
      </c>
      <c r="C72">
        <f t="shared" si="3"/>
        <v>1.3368265455898204E-2</v>
      </c>
      <c r="D72" s="19">
        <v>1.14485165794066</v>
      </c>
      <c r="M72">
        <v>6</v>
      </c>
    </row>
    <row r="73" spans="1:13" x14ac:dyDescent="0.25">
      <c r="A73" t="s">
        <v>83</v>
      </c>
      <c r="B73">
        <f t="shared" si="2"/>
        <v>248</v>
      </c>
      <c r="C73">
        <f t="shared" si="3"/>
        <v>1.5363023278120759E-2</v>
      </c>
      <c r="D73" s="19">
        <v>1.3682373472949301</v>
      </c>
      <c r="M73">
        <v>8</v>
      </c>
    </row>
    <row r="74" spans="1:13" x14ac:dyDescent="0.25">
      <c r="A74" t="s">
        <v>83</v>
      </c>
      <c r="B74">
        <f t="shared" si="2"/>
        <v>250</v>
      </c>
      <c r="C74">
        <f t="shared" si="3"/>
        <v>2.0031586933800433E-2</v>
      </c>
      <c r="D74" s="19">
        <v>1.86387434554973</v>
      </c>
      <c r="M74">
        <v>10</v>
      </c>
    </row>
    <row r="75" spans="1:13" x14ac:dyDescent="0.25">
      <c r="A75" t="s">
        <v>83</v>
      </c>
      <c r="B75">
        <f t="shared" si="2"/>
        <v>252</v>
      </c>
      <c r="C75">
        <f t="shared" si="3"/>
        <v>1.8617647344563521E-2</v>
      </c>
      <c r="D75" s="19">
        <v>1.7172774869109899</v>
      </c>
      <c r="M75">
        <v>12</v>
      </c>
    </row>
    <row r="76" spans="1:13" x14ac:dyDescent="0.25">
      <c r="A76" t="s">
        <v>83</v>
      </c>
      <c r="B76">
        <f t="shared" si="2"/>
        <v>258</v>
      </c>
      <c r="C76">
        <f t="shared" si="3"/>
        <v>3.5813402104855514E-2</v>
      </c>
      <c r="D76" s="19">
        <v>3.3577661431064501</v>
      </c>
      <c r="M76">
        <v>18</v>
      </c>
    </row>
    <row r="77" spans="1:13" x14ac:dyDescent="0.25">
      <c r="A77" t="s">
        <v>83</v>
      </c>
      <c r="B77">
        <f t="shared" si="2"/>
        <v>263.5</v>
      </c>
      <c r="C77">
        <f t="shared" si="3"/>
        <v>2.3361090118616895E-2</v>
      </c>
      <c r="D77" s="19">
        <v>2.1989528795811499</v>
      </c>
      <c r="M77">
        <v>23.5</v>
      </c>
    </row>
    <row r="78" spans="1:13" x14ac:dyDescent="0.25">
      <c r="A78" t="s">
        <v>83</v>
      </c>
      <c r="B78">
        <f t="shared" si="2"/>
        <v>263.75</v>
      </c>
      <c r="C78">
        <f t="shared" si="3"/>
        <v>2.265658313179815E-2</v>
      </c>
      <c r="D78" s="19">
        <v>2.1291448516579399</v>
      </c>
      <c r="M78">
        <v>23.75</v>
      </c>
    </row>
    <row r="79" spans="1:13" x14ac:dyDescent="0.25">
      <c r="A79" t="s">
        <v>83</v>
      </c>
      <c r="B79">
        <f t="shared" si="2"/>
        <v>264</v>
      </c>
      <c r="C79">
        <f t="shared" si="3"/>
        <v>2.1957710805808807E-2</v>
      </c>
      <c r="D79" s="19">
        <v>2.05933682373472</v>
      </c>
      <c r="M79">
        <v>24</v>
      </c>
    </row>
    <row r="80" spans="1:13" x14ac:dyDescent="0.25">
      <c r="A80" t="s">
        <v>83</v>
      </c>
      <c r="B80">
        <f t="shared" si="2"/>
        <v>264.5</v>
      </c>
      <c r="C80">
        <f t="shared" si="3"/>
        <v>2.0645686395220644E-2</v>
      </c>
      <c r="D80" s="19">
        <v>1.9267015706806201</v>
      </c>
      <c r="M80">
        <v>24.5</v>
      </c>
    </row>
    <row r="81" spans="1:13" x14ac:dyDescent="0.25">
      <c r="A81" t="s">
        <v>83</v>
      </c>
      <c r="B81">
        <f t="shared" si="2"/>
        <v>265</v>
      </c>
      <c r="C81">
        <f t="shared" si="3"/>
        <v>1.9422330326691408E-2</v>
      </c>
      <c r="D81" s="19">
        <v>1.8010471204188401</v>
      </c>
      <c r="M81">
        <v>25</v>
      </c>
    </row>
    <row r="82" spans="1:13" x14ac:dyDescent="0.25">
      <c r="A82" t="s">
        <v>83</v>
      </c>
      <c r="B82">
        <f t="shared" si="2"/>
        <v>265.5</v>
      </c>
      <c r="C82">
        <f t="shared" si="3"/>
        <v>1.9085973623260664E-2</v>
      </c>
      <c r="D82" s="19">
        <v>1.7661431064572399</v>
      </c>
      <c r="M82">
        <v>25.5</v>
      </c>
    </row>
    <row r="83" spans="1:13" x14ac:dyDescent="0.25">
      <c r="A83" t="s">
        <v>83</v>
      </c>
      <c r="B83">
        <f t="shared" si="2"/>
        <v>266</v>
      </c>
      <c r="C83">
        <f t="shared" si="3"/>
        <v>1.8218638777795552E-2</v>
      </c>
      <c r="D83" s="19">
        <v>1.6753926701570601</v>
      </c>
      <c r="M83">
        <v>26</v>
      </c>
    </row>
    <row r="84" spans="1:13" x14ac:dyDescent="0.25">
      <c r="A84" t="s">
        <v>83</v>
      </c>
      <c r="B84">
        <f t="shared" si="2"/>
        <v>266.5</v>
      </c>
      <c r="C84">
        <f t="shared" si="3"/>
        <v>1.7427404419700591E-2</v>
      </c>
      <c r="D84" s="19">
        <v>1.5916230366492099</v>
      </c>
      <c r="M84">
        <v>26.5</v>
      </c>
    </row>
    <row r="85" spans="1:13" x14ac:dyDescent="0.25">
      <c r="A85" t="s">
        <v>83</v>
      </c>
      <c r="B85">
        <f t="shared" si="2"/>
        <v>267</v>
      </c>
      <c r="C85">
        <f t="shared" si="3"/>
        <v>1.7231026597482147E-2</v>
      </c>
      <c r="D85" s="19">
        <v>1.5706806282722501</v>
      </c>
      <c r="M85">
        <v>27</v>
      </c>
    </row>
    <row r="86" spans="1:13" x14ac:dyDescent="0.25">
      <c r="A86" t="s">
        <v>83</v>
      </c>
      <c r="B86">
        <f t="shared" si="2"/>
        <v>268</v>
      </c>
      <c r="C86">
        <f t="shared" si="3"/>
        <v>1.6451332848353803E-2</v>
      </c>
      <c r="D86" s="19">
        <v>1.4869109947643899</v>
      </c>
      <c r="M86">
        <v>28</v>
      </c>
    </row>
    <row r="87" spans="1:13" x14ac:dyDescent="0.25">
      <c r="A87" t="s">
        <v>83</v>
      </c>
      <c r="B87">
        <f t="shared" si="2"/>
        <v>270</v>
      </c>
      <c r="C87">
        <f t="shared" si="3"/>
        <v>1.3124047710157495E-2</v>
      </c>
      <c r="D87" s="19">
        <v>1.11692844677137</v>
      </c>
      <c r="M87">
        <v>30</v>
      </c>
    </row>
    <row r="88" spans="1:13" x14ac:dyDescent="0.25">
      <c r="A88" t="s">
        <v>83</v>
      </c>
      <c r="B88">
        <f t="shared" si="2"/>
        <v>272</v>
      </c>
      <c r="C88">
        <f t="shared" si="3"/>
        <v>1.3675170828129614E-2</v>
      </c>
      <c r="D88" s="19">
        <v>1.1797556719022599</v>
      </c>
      <c r="M88">
        <v>32</v>
      </c>
    </row>
    <row r="89" spans="1:13" x14ac:dyDescent="0.25">
      <c r="A89" t="s">
        <v>83</v>
      </c>
      <c r="B89">
        <f t="shared" si="2"/>
        <v>274</v>
      </c>
      <c r="C89">
        <f t="shared" si="3"/>
        <v>1.5744924141036953E-2</v>
      </c>
      <c r="D89" s="19">
        <v>1.4101221640488599</v>
      </c>
      <c r="M89">
        <v>34</v>
      </c>
    </row>
    <row r="90" spans="1:13" x14ac:dyDescent="0.25">
      <c r="A90" t="s">
        <v>83</v>
      </c>
      <c r="B90">
        <f t="shared" si="2"/>
        <v>276</v>
      </c>
      <c r="C90">
        <f t="shared" si="3"/>
        <v>1.4481483539305015E-2</v>
      </c>
      <c r="D90" s="19">
        <v>1.27050610820244</v>
      </c>
      <c r="M90">
        <v>36</v>
      </c>
    </row>
    <row r="91" spans="1:13" x14ac:dyDescent="0.25">
      <c r="A91" t="s">
        <v>83</v>
      </c>
      <c r="B91">
        <f t="shared" si="2"/>
        <v>282</v>
      </c>
      <c r="C91">
        <f t="shared" si="3"/>
        <v>2.1264558801328336E-2</v>
      </c>
      <c r="D91" s="19">
        <v>1.98952879581151</v>
      </c>
      <c r="M91">
        <v>42</v>
      </c>
    </row>
    <row r="92" spans="1:13" x14ac:dyDescent="0.25">
      <c r="A92" t="s">
        <v>83</v>
      </c>
      <c r="B92">
        <f t="shared" si="2"/>
        <v>288</v>
      </c>
      <c r="C92">
        <f t="shared" si="3"/>
        <v>1.3184992624976454E-2</v>
      </c>
      <c r="D92" s="19">
        <v>1.12390924956369</v>
      </c>
      <c r="M92">
        <v>48</v>
      </c>
    </row>
    <row r="93" spans="1:13" x14ac:dyDescent="0.25">
      <c r="A93" t="s">
        <v>83</v>
      </c>
      <c r="B93">
        <f t="shared" si="2"/>
        <v>300</v>
      </c>
      <c r="C93">
        <f t="shared" si="3"/>
        <v>1.0922065051641281E-2</v>
      </c>
      <c r="D93" s="19">
        <v>0.85863874345549696</v>
      </c>
      <c r="M93">
        <v>60</v>
      </c>
    </row>
    <row r="94" spans="1:13" x14ac:dyDescent="0.25">
      <c r="A94" t="s">
        <v>83</v>
      </c>
      <c r="B94">
        <f t="shared" si="2"/>
        <v>312</v>
      </c>
      <c r="C94">
        <f t="shared" si="3"/>
        <v>1.1038377027667662E-2</v>
      </c>
      <c r="D94" s="19">
        <v>0.87260034904013895</v>
      </c>
      <c r="M94">
        <v>72</v>
      </c>
    </row>
    <row r="95" spans="1:13" x14ac:dyDescent="0.25">
      <c r="A95" t="s">
        <v>83</v>
      </c>
      <c r="B95">
        <f t="shared" si="2"/>
        <v>336</v>
      </c>
      <c r="C95">
        <f t="shared" si="3"/>
        <v>1.2039733988856953E-2</v>
      </c>
      <c r="D95" s="19">
        <v>0.99127399650959802</v>
      </c>
      <c r="M95">
        <v>96</v>
      </c>
    </row>
    <row r="96" spans="1:13" x14ac:dyDescent="0.25">
      <c r="A96" t="s">
        <v>83</v>
      </c>
      <c r="B96">
        <f t="shared" si="2"/>
        <v>360</v>
      </c>
      <c r="C96">
        <f t="shared" si="3"/>
        <v>1.5617353904770682E-2</v>
      </c>
      <c r="D96" s="19">
        <v>1.39616055846422</v>
      </c>
      <c r="M96">
        <v>120</v>
      </c>
    </row>
    <row r="97" spans="1:13" x14ac:dyDescent="0.25">
      <c r="A97" t="s">
        <v>84</v>
      </c>
      <c r="B97">
        <f t="shared" ref="B97:B130" si="4">10*24 + M97</f>
        <v>240.13392857142858</v>
      </c>
      <c r="C97">
        <v>1.2686567164179099</v>
      </c>
      <c r="M97">
        <v>0.13392857142857201</v>
      </c>
    </row>
    <row r="98" spans="1:13" x14ac:dyDescent="0.25">
      <c r="A98" t="s">
        <v>84</v>
      </c>
      <c r="B98">
        <f t="shared" si="4"/>
        <v>240.40178571428572</v>
      </c>
      <c r="C98">
        <v>1.25621890547263</v>
      </c>
      <c r="M98">
        <v>0.40178571428571502</v>
      </c>
    </row>
    <row r="99" spans="1:13" x14ac:dyDescent="0.25">
      <c r="A99" t="s">
        <v>84</v>
      </c>
      <c r="B99">
        <f t="shared" si="4"/>
        <v>240.9375</v>
      </c>
      <c r="C99">
        <v>1.22388059701492</v>
      </c>
      <c r="M99">
        <v>0.9375</v>
      </c>
    </row>
    <row r="100" spans="1:13" x14ac:dyDescent="0.25">
      <c r="A100" t="s">
        <v>84</v>
      </c>
      <c r="B100">
        <f t="shared" si="4"/>
        <v>242.00892857142858</v>
      </c>
      <c r="C100">
        <v>1.2114427860696499</v>
      </c>
      <c r="M100">
        <v>2.0089285714285698</v>
      </c>
    </row>
    <row r="101" spans="1:13" x14ac:dyDescent="0.25">
      <c r="A101" t="s">
        <v>84</v>
      </c>
      <c r="B101">
        <f t="shared" si="4"/>
        <v>242.54464285714286</v>
      </c>
      <c r="C101">
        <v>1.2164179104477599</v>
      </c>
      <c r="M101">
        <v>2.5446428571428501</v>
      </c>
    </row>
    <row r="102" spans="1:13" x14ac:dyDescent="0.25">
      <c r="A102" t="s">
        <v>84</v>
      </c>
      <c r="B102">
        <f t="shared" si="4"/>
        <v>242.94642857142858</v>
      </c>
      <c r="C102">
        <v>1.22885572139303</v>
      </c>
      <c r="M102">
        <v>2.9464285714285698</v>
      </c>
    </row>
    <row r="103" spans="1:13" x14ac:dyDescent="0.25">
      <c r="A103" t="s">
        <v>84</v>
      </c>
      <c r="B103">
        <f t="shared" si="4"/>
        <v>241.47321428571428</v>
      </c>
      <c r="C103">
        <v>1.2263681592039799</v>
      </c>
      <c r="M103">
        <v>1.47321428571428</v>
      </c>
    </row>
    <row r="104" spans="1:13" x14ac:dyDescent="0.25">
      <c r="A104" t="s">
        <v>84</v>
      </c>
      <c r="B104">
        <f t="shared" si="4"/>
        <v>244.01785714285714</v>
      </c>
      <c r="C104">
        <v>1.16417910447761</v>
      </c>
      <c r="M104">
        <v>4.0178571428571397</v>
      </c>
    </row>
    <row r="105" spans="1:13" x14ac:dyDescent="0.25">
      <c r="A105" t="s">
        <v>84</v>
      </c>
      <c r="B105">
        <f t="shared" si="4"/>
        <v>246.02678571428572</v>
      </c>
      <c r="C105">
        <v>1.14925373134328</v>
      </c>
      <c r="M105">
        <v>6.02678571428571</v>
      </c>
    </row>
    <row r="106" spans="1:13" x14ac:dyDescent="0.25">
      <c r="A106" t="s">
        <v>84</v>
      </c>
      <c r="B106">
        <f t="shared" si="4"/>
        <v>248.03571428571428</v>
      </c>
      <c r="C106">
        <v>1.20149253731343</v>
      </c>
      <c r="M106">
        <v>8.0357142857142794</v>
      </c>
    </row>
    <row r="107" spans="1:13" x14ac:dyDescent="0.25">
      <c r="A107" t="s">
        <v>84</v>
      </c>
      <c r="B107">
        <f t="shared" si="4"/>
        <v>250.0446428571428</v>
      </c>
      <c r="C107">
        <v>1.1791044776119399</v>
      </c>
      <c r="M107">
        <v>10.044642857142801</v>
      </c>
    </row>
    <row r="108" spans="1:13" x14ac:dyDescent="0.25">
      <c r="A108" t="s">
        <v>84</v>
      </c>
      <c r="B108">
        <f t="shared" si="4"/>
        <v>252.05357142857139</v>
      </c>
      <c r="C108">
        <v>1.12686567164179</v>
      </c>
      <c r="M108">
        <v>12.0535714285714</v>
      </c>
    </row>
    <row r="109" spans="1:13" x14ac:dyDescent="0.25">
      <c r="A109" t="s">
        <v>84</v>
      </c>
      <c r="B109">
        <f t="shared" si="4"/>
        <v>258.08035714285711</v>
      </c>
      <c r="C109">
        <v>1.2313432835820799</v>
      </c>
      <c r="M109">
        <v>18.0803571428571</v>
      </c>
    </row>
    <row r="110" spans="1:13" x14ac:dyDescent="0.25">
      <c r="A110" t="s">
        <v>84</v>
      </c>
      <c r="B110">
        <f t="shared" si="4"/>
        <v>263.4375</v>
      </c>
      <c r="C110">
        <v>1.23383084577114</v>
      </c>
      <c r="M110">
        <v>23.4375</v>
      </c>
    </row>
    <row r="111" spans="1:13" x14ac:dyDescent="0.25">
      <c r="A111" t="s">
        <v>84</v>
      </c>
      <c r="B111">
        <f t="shared" si="4"/>
        <v>264.5089285714285</v>
      </c>
      <c r="C111">
        <v>1.27114427860696</v>
      </c>
      <c r="M111">
        <v>24.508928571428498</v>
      </c>
    </row>
    <row r="112" spans="1:13" x14ac:dyDescent="0.25">
      <c r="A112" t="s">
        <v>84</v>
      </c>
      <c r="B112">
        <f t="shared" si="4"/>
        <v>265.04464285714278</v>
      </c>
      <c r="C112">
        <v>1.2164179104477599</v>
      </c>
      <c r="M112">
        <v>25.044642857142801</v>
      </c>
    </row>
    <row r="113" spans="1:13" x14ac:dyDescent="0.25">
      <c r="A113" t="s">
        <v>84</v>
      </c>
      <c r="B113">
        <f t="shared" si="4"/>
        <v>265.98214289999999</v>
      </c>
      <c r="C113">
        <v>1.2039800995024801</v>
      </c>
      <c r="M113">
        <v>25.982142899999999</v>
      </c>
    </row>
    <row r="114" spans="1:13" x14ac:dyDescent="0.25">
      <c r="A114" t="s">
        <v>84</v>
      </c>
      <c r="B114">
        <f t="shared" si="4"/>
        <v>263.97321428571422</v>
      </c>
      <c r="C114">
        <v>1.2412935323383001</v>
      </c>
      <c r="M114">
        <v>23.973214285714199</v>
      </c>
    </row>
    <row r="115" spans="1:13" x14ac:dyDescent="0.25">
      <c r="A115" t="s">
        <v>84</v>
      </c>
      <c r="B115">
        <f t="shared" si="4"/>
        <v>265.4464285714285</v>
      </c>
      <c r="C115">
        <v>1.27114427860696</v>
      </c>
      <c r="M115">
        <v>25.446428571428498</v>
      </c>
    </row>
    <row r="116" spans="1:13" x14ac:dyDescent="0.25">
      <c r="A116" t="s">
        <v>84</v>
      </c>
      <c r="B116">
        <f t="shared" si="4"/>
        <v>266.65178571428572</v>
      </c>
      <c r="C116">
        <v>1.26616915422885</v>
      </c>
      <c r="M116">
        <v>26.651785714285701</v>
      </c>
    </row>
    <row r="117" spans="1:13" x14ac:dyDescent="0.25">
      <c r="A117" t="s">
        <v>84</v>
      </c>
      <c r="B117">
        <f t="shared" si="4"/>
        <v>267.99107142857139</v>
      </c>
      <c r="C117">
        <v>1.2960199004975099</v>
      </c>
      <c r="M117">
        <v>27.991071428571399</v>
      </c>
    </row>
    <row r="118" spans="1:13" x14ac:dyDescent="0.25">
      <c r="A118" t="s">
        <v>84</v>
      </c>
      <c r="B118">
        <f t="shared" si="4"/>
        <v>269.99999999999989</v>
      </c>
      <c r="C118">
        <v>1.24875621890547</v>
      </c>
      <c r="M118">
        <v>29.999999999999901</v>
      </c>
    </row>
    <row r="119" spans="1:13" x14ac:dyDescent="0.25">
      <c r="A119" t="s">
        <v>84</v>
      </c>
      <c r="B119">
        <f t="shared" si="4"/>
        <v>272.0089285714285</v>
      </c>
      <c r="C119">
        <v>1.28606965174129</v>
      </c>
      <c r="M119">
        <v>32.008928571428498</v>
      </c>
    </row>
    <row r="120" spans="1:13" x14ac:dyDescent="0.25">
      <c r="A120" t="s">
        <v>84</v>
      </c>
      <c r="B120">
        <f t="shared" si="4"/>
        <v>273.8839285714285</v>
      </c>
      <c r="C120">
        <v>1.27611940298507</v>
      </c>
      <c r="M120">
        <v>33.883928571428498</v>
      </c>
    </row>
    <row r="121" spans="1:13" x14ac:dyDescent="0.25">
      <c r="A121" t="s">
        <v>84</v>
      </c>
      <c r="B121">
        <f t="shared" si="4"/>
        <v>275.89285714285711</v>
      </c>
      <c r="C121">
        <v>1.2736318407960101</v>
      </c>
      <c r="M121">
        <v>35.892857142857103</v>
      </c>
    </row>
    <row r="122" spans="1:13" x14ac:dyDescent="0.25">
      <c r="A122" t="s">
        <v>84</v>
      </c>
      <c r="B122">
        <f t="shared" si="4"/>
        <v>281.91964285714278</v>
      </c>
      <c r="C122">
        <v>1.1865671641791</v>
      </c>
      <c r="M122">
        <v>41.919642857142797</v>
      </c>
    </row>
    <row r="123" spans="1:13" x14ac:dyDescent="0.25">
      <c r="A123" t="s">
        <v>84</v>
      </c>
      <c r="B123">
        <f t="shared" si="4"/>
        <v>287.8125</v>
      </c>
      <c r="C123">
        <v>1.2910447761193999</v>
      </c>
      <c r="M123">
        <v>47.8125</v>
      </c>
    </row>
    <row r="124" spans="1:13" x14ac:dyDescent="0.25">
      <c r="A124" t="s">
        <v>84</v>
      </c>
      <c r="B124">
        <f t="shared" si="4"/>
        <v>300</v>
      </c>
      <c r="C124">
        <v>1.2213930348258699</v>
      </c>
      <c r="M124">
        <v>60</v>
      </c>
    </row>
    <row r="125" spans="1:13" x14ac:dyDescent="0.25">
      <c r="A125" t="s">
        <v>84</v>
      </c>
      <c r="B125">
        <f t="shared" si="4"/>
        <v>312.05357142857139</v>
      </c>
      <c r="C125">
        <v>1.23880597014925</v>
      </c>
      <c r="M125">
        <v>72.053571428571402</v>
      </c>
    </row>
    <row r="126" spans="1:13" x14ac:dyDescent="0.25">
      <c r="A126" t="s">
        <v>84</v>
      </c>
      <c r="B126">
        <f t="shared" si="4"/>
        <v>336.02678571428567</v>
      </c>
      <c r="C126">
        <v>1.17661691542288</v>
      </c>
      <c r="M126">
        <v>96.026785714285694</v>
      </c>
    </row>
    <row r="127" spans="1:13" x14ac:dyDescent="0.25">
      <c r="A127" t="s">
        <v>84</v>
      </c>
      <c r="B127">
        <f t="shared" si="4"/>
        <v>359.86607142857099</v>
      </c>
      <c r="C127">
        <v>1.2164179104477599</v>
      </c>
      <c r="M127">
        <v>119.866071428571</v>
      </c>
    </row>
    <row r="128" spans="1:13" x14ac:dyDescent="0.25">
      <c r="A128" t="s">
        <v>85</v>
      </c>
      <c r="B128">
        <f t="shared" si="4"/>
        <v>240</v>
      </c>
      <c r="C128">
        <v>73.643122676579907</v>
      </c>
      <c r="E128" s="2">
        <v>7.36431226765799</v>
      </c>
      <c r="F128" s="2">
        <f>10*E128</f>
        <v>73.643122676579907</v>
      </c>
      <c r="M128">
        <v>0</v>
      </c>
    </row>
    <row r="129" spans="1:13" x14ac:dyDescent="0.25">
      <c r="A129" t="s">
        <v>85</v>
      </c>
      <c r="B129">
        <f t="shared" si="4"/>
        <v>240.62329184099062</v>
      </c>
      <c r="C129">
        <v>73.903345724906998</v>
      </c>
      <c r="E129" s="2">
        <v>7.3903345724907004</v>
      </c>
      <c r="F129" s="2">
        <f t="shared" ref="F129:F158" si="5">10*E129</f>
        <v>73.903345724906998</v>
      </c>
      <c r="M129">
        <v>0.62329184099063095</v>
      </c>
    </row>
    <row r="130" spans="1:13" x14ac:dyDescent="0.25">
      <c r="A130" t="s">
        <v>85</v>
      </c>
      <c r="B130">
        <f t="shared" si="4"/>
        <v>242.57321606673315</v>
      </c>
      <c r="C130">
        <v>75.204460966542698</v>
      </c>
      <c r="E130" s="2">
        <v>7.5204460966542701</v>
      </c>
      <c r="F130" s="2">
        <f t="shared" si="5"/>
        <v>75.204460966542698</v>
      </c>
      <c r="M130">
        <v>2.5732160667331501</v>
      </c>
    </row>
    <row r="131" spans="1:13" x14ac:dyDescent="0.25">
      <c r="A131" t="s">
        <v>85</v>
      </c>
      <c r="B131">
        <f t="shared" ref="B131:B191" si="6">10*24 + M131</f>
        <v>242.5750294677668</v>
      </c>
      <c r="C131">
        <v>73.382899628252702</v>
      </c>
      <c r="E131" s="2">
        <v>7.3382899628252698</v>
      </c>
      <c r="F131" s="2">
        <f t="shared" si="5"/>
        <v>73.382899628252702</v>
      </c>
      <c r="M131">
        <v>2.57502946776679</v>
      </c>
    </row>
    <row r="132" spans="1:13" x14ac:dyDescent="0.25">
      <c r="A132" t="s">
        <v>85</v>
      </c>
      <c r="B132">
        <f t="shared" si="6"/>
        <v>241.5989015970882</v>
      </c>
      <c r="C132">
        <v>73.903345724906998</v>
      </c>
      <c r="E132" s="2">
        <v>7.3903345724907004</v>
      </c>
      <c r="F132" s="2">
        <f t="shared" si="5"/>
        <v>73.903345724906998</v>
      </c>
      <c r="M132">
        <v>1.5989015970881899</v>
      </c>
    </row>
    <row r="133" spans="1:13" x14ac:dyDescent="0.25">
      <c r="A133" t="s">
        <v>85</v>
      </c>
      <c r="B133">
        <f t="shared" si="6"/>
        <v>243.82886675388261</v>
      </c>
      <c r="C133">
        <v>73.903345724906998</v>
      </c>
      <c r="E133" s="2">
        <v>7.3903345724907004</v>
      </c>
      <c r="F133" s="2">
        <f t="shared" si="5"/>
        <v>73.903345724906998</v>
      </c>
      <c r="M133">
        <v>3.8288667538826102</v>
      </c>
    </row>
    <row r="134" spans="1:13" x14ac:dyDescent="0.25">
      <c r="A134" t="s">
        <v>85</v>
      </c>
      <c r="B134">
        <f t="shared" si="6"/>
        <v>245.78060438065876</v>
      </c>
      <c r="C134">
        <v>73.382899628252702</v>
      </c>
      <c r="E134" s="2">
        <v>7.3382899628252698</v>
      </c>
      <c r="F134" s="2">
        <f t="shared" si="5"/>
        <v>73.382899628252702</v>
      </c>
      <c r="M134">
        <v>5.7806043806587697</v>
      </c>
    </row>
    <row r="135" spans="1:13" x14ac:dyDescent="0.25">
      <c r="A135" t="s">
        <v>85</v>
      </c>
      <c r="B135">
        <f t="shared" si="6"/>
        <v>247.87404634534926</v>
      </c>
      <c r="C135">
        <v>70.520446096654197</v>
      </c>
      <c r="E135" s="2">
        <v>7.0520446096654199</v>
      </c>
      <c r="F135" s="2">
        <f t="shared" si="5"/>
        <v>70.520446096654197</v>
      </c>
      <c r="M135">
        <v>7.8740463453492699</v>
      </c>
    </row>
    <row r="136" spans="1:13" x14ac:dyDescent="0.25">
      <c r="A136" t="s">
        <v>85</v>
      </c>
      <c r="B136">
        <f t="shared" si="6"/>
        <v>249.96308433610091</v>
      </c>
      <c r="C136">
        <v>72.081784386617002</v>
      </c>
      <c r="E136" s="2">
        <v>7.2081784386617</v>
      </c>
      <c r="F136" s="2">
        <f t="shared" si="5"/>
        <v>72.081784386617002</v>
      </c>
      <c r="M136">
        <v>9.9630843361009198</v>
      </c>
    </row>
    <row r="137" spans="1:13" x14ac:dyDescent="0.25">
      <c r="A137" t="s">
        <v>85</v>
      </c>
      <c r="B137">
        <f t="shared" si="6"/>
        <v>251.91508102016761</v>
      </c>
      <c r="C137">
        <v>71.3011152416356</v>
      </c>
      <c r="E137" s="2">
        <v>7.13011152416356</v>
      </c>
      <c r="F137" s="2">
        <f t="shared" si="5"/>
        <v>71.3011152416356</v>
      </c>
      <c r="M137">
        <v>11.9150810201676</v>
      </c>
    </row>
    <row r="138" spans="1:13" x14ac:dyDescent="0.25">
      <c r="A138" t="s">
        <v>85</v>
      </c>
      <c r="B138">
        <f t="shared" si="6"/>
        <v>257.91199823841038</v>
      </c>
      <c r="C138">
        <v>67.397769516728602</v>
      </c>
      <c r="E138" s="2">
        <v>6.7397769516728596</v>
      </c>
      <c r="F138" s="2">
        <f t="shared" si="5"/>
        <v>67.397769516728602</v>
      </c>
      <c r="M138">
        <v>17.911998238410401</v>
      </c>
    </row>
    <row r="139" spans="1:13" x14ac:dyDescent="0.25">
      <c r="A139" t="s">
        <v>85</v>
      </c>
      <c r="B139">
        <f t="shared" si="6"/>
        <v>263.76202997292847</v>
      </c>
      <c r="C139">
        <v>71.040892193308494</v>
      </c>
      <c r="E139" s="2">
        <v>7.1040892193308496</v>
      </c>
      <c r="F139" s="2">
        <f t="shared" si="5"/>
        <v>71.040892193308494</v>
      </c>
      <c r="M139">
        <v>23.762029972928499</v>
      </c>
    </row>
    <row r="140" spans="1:13" x14ac:dyDescent="0.25">
      <c r="A140" t="s">
        <v>85</v>
      </c>
      <c r="B140">
        <f t="shared" si="6"/>
        <v>263.76021657189483</v>
      </c>
      <c r="C140">
        <v>72.862453531598504</v>
      </c>
      <c r="E140" s="2">
        <v>7.2862453531598499</v>
      </c>
      <c r="F140" s="2">
        <f t="shared" si="5"/>
        <v>72.862453531598504</v>
      </c>
      <c r="M140">
        <v>23.760216571894802</v>
      </c>
    </row>
    <row r="141" spans="1:13" x14ac:dyDescent="0.25">
      <c r="A141" t="s">
        <v>85</v>
      </c>
      <c r="B141">
        <f t="shared" si="6"/>
        <v>263.20324339727728</v>
      </c>
      <c r="C141">
        <v>72.342007434944207</v>
      </c>
      <c r="E141" s="2">
        <v>7.2342007434944202</v>
      </c>
      <c r="F141" s="2">
        <f t="shared" si="5"/>
        <v>72.342007434944207</v>
      </c>
      <c r="M141">
        <v>23.203243397277301</v>
      </c>
    </row>
    <row r="142" spans="1:13" x14ac:dyDescent="0.25">
      <c r="A142" t="s">
        <v>85</v>
      </c>
      <c r="B142">
        <f t="shared" si="6"/>
        <v>264.30889991321578</v>
      </c>
      <c r="C142">
        <v>81.710037174721108</v>
      </c>
      <c r="E142" s="2">
        <v>8.1710037174721108</v>
      </c>
      <c r="F142" s="2">
        <f t="shared" si="5"/>
        <v>81.710037174721108</v>
      </c>
      <c r="M142">
        <v>24.3088999132158</v>
      </c>
    </row>
    <row r="143" spans="1:13" x14ac:dyDescent="0.25">
      <c r="A143" t="s">
        <v>85</v>
      </c>
      <c r="B143">
        <f t="shared" si="6"/>
        <v>264.9780448946284</v>
      </c>
      <c r="C143">
        <v>109.553903345724</v>
      </c>
      <c r="E143" s="2">
        <v>10.9553903345724</v>
      </c>
      <c r="F143" s="2">
        <f t="shared" si="5"/>
        <v>109.553903345724</v>
      </c>
      <c r="M143">
        <v>24.9780448946284</v>
      </c>
    </row>
    <row r="144" spans="1:13" x14ac:dyDescent="0.25">
      <c r="A144" t="s">
        <v>85</v>
      </c>
      <c r="B144">
        <f t="shared" si="6"/>
        <v>265.3767340647384</v>
      </c>
      <c r="C144">
        <v>129.07063197026</v>
      </c>
      <c r="E144" s="2">
        <v>12.907063197026</v>
      </c>
      <c r="F144" s="2">
        <f t="shared" si="5"/>
        <v>129.07063197026</v>
      </c>
      <c r="M144">
        <v>25.3767340647384</v>
      </c>
    </row>
    <row r="145" spans="1:13" x14ac:dyDescent="0.25">
      <c r="A145" t="s">
        <v>85</v>
      </c>
      <c r="B145">
        <f t="shared" si="6"/>
        <v>266.3500123052213</v>
      </c>
      <c r="C145">
        <v>131.412639405204</v>
      </c>
      <c r="E145" s="2">
        <v>13.1412639405204</v>
      </c>
      <c r="F145" s="2">
        <f t="shared" si="5"/>
        <v>131.412639405204</v>
      </c>
      <c r="M145">
        <v>26.350012305221298</v>
      </c>
    </row>
    <row r="146" spans="1:13" x14ac:dyDescent="0.25">
      <c r="A146" t="s">
        <v>85</v>
      </c>
      <c r="B146">
        <f t="shared" si="6"/>
        <v>265.65159384997992</v>
      </c>
      <c r="C146">
        <v>132.97397769516698</v>
      </c>
      <c r="E146" s="2">
        <v>13.297397769516699</v>
      </c>
      <c r="F146" s="2">
        <f t="shared" si="5"/>
        <v>132.97397769516698</v>
      </c>
      <c r="M146">
        <v>25.6515938499799</v>
      </c>
    </row>
    <row r="147" spans="1:13" x14ac:dyDescent="0.25">
      <c r="A147" t="s">
        <v>85</v>
      </c>
      <c r="B147">
        <f t="shared" si="6"/>
        <v>266.90620830796729</v>
      </c>
      <c r="C147">
        <v>132.71375464684002</v>
      </c>
      <c r="E147" s="2">
        <v>13.271375464684001</v>
      </c>
      <c r="F147" s="2">
        <f t="shared" si="5"/>
        <v>132.71375464684002</v>
      </c>
      <c r="M147">
        <v>26.906208307967301</v>
      </c>
    </row>
    <row r="148" spans="1:13" x14ac:dyDescent="0.25">
      <c r="A148" t="s">
        <v>85</v>
      </c>
      <c r="B148">
        <f t="shared" si="6"/>
        <v>267.88648109529419</v>
      </c>
      <c r="C148">
        <v>128.029739776951</v>
      </c>
      <c r="E148" s="2">
        <v>12.8029739776951</v>
      </c>
      <c r="F148" s="2">
        <f t="shared" si="5"/>
        <v>128.029739776951</v>
      </c>
      <c r="M148">
        <v>27.886481095294201</v>
      </c>
    </row>
    <row r="149" spans="1:13" x14ac:dyDescent="0.25">
      <c r="A149" t="s">
        <v>85</v>
      </c>
      <c r="B149">
        <f t="shared" si="6"/>
        <v>269.84365892517121</v>
      </c>
      <c r="C149">
        <v>122.04460966542699</v>
      </c>
      <c r="E149" s="2">
        <v>12.204460966542699</v>
      </c>
      <c r="F149" s="2">
        <f t="shared" si="5"/>
        <v>122.04460966542699</v>
      </c>
      <c r="M149">
        <v>29.843658925171201</v>
      </c>
    </row>
    <row r="150" spans="1:13" x14ac:dyDescent="0.25">
      <c r="A150" t="s">
        <v>85</v>
      </c>
      <c r="B150">
        <f t="shared" si="6"/>
        <v>271.93606466069969</v>
      </c>
      <c r="C150">
        <v>120.22304832713701</v>
      </c>
      <c r="E150" s="2">
        <v>12.022304832713701</v>
      </c>
      <c r="F150" s="2">
        <f t="shared" si="5"/>
        <v>120.22304832713701</v>
      </c>
      <c r="M150">
        <v>31.936064660699699</v>
      </c>
    </row>
    <row r="151" spans="1:13" x14ac:dyDescent="0.25">
      <c r="A151" t="s">
        <v>85</v>
      </c>
      <c r="B151">
        <f t="shared" si="6"/>
        <v>273.88728417289479</v>
      </c>
      <c r="C151">
        <v>120.22304832713701</v>
      </c>
      <c r="E151" s="2">
        <v>12.022304832713701</v>
      </c>
      <c r="F151" s="2">
        <f t="shared" si="5"/>
        <v>120.22304832713701</v>
      </c>
      <c r="M151">
        <v>33.887284172894802</v>
      </c>
    </row>
    <row r="152" spans="1:13" x14ac:dyDescent="0.25">
      <c r="A152" t="s">
        <v>85</v>
      </c>
      <c r="B152">
        <f t="shared" si="6"/>
        <v>275.84083520070459</v>
      </c>
      <c r="C152">
        <v>117.881040892193</v>
      </c>
      <c r="E152" s="2">
        <v>11.788104089219299</v>
      </c>
      <c r="F152" s="2">
        <f t="shared" si="5"/>
        <v>117.881040892193</v>
      </c>
      <c r="M152">
        <v>35.840835200704603</v>
      </c>
    </row>
    <row r="153" spans="1:13" x14ac:dyDescent="0.25">
      <c r="A153" t="s">
        <v>85</v>
      </c>
      <c r="B153">
        <f t="shared" si="6"/>
        <v>281.84759659598717</v>
      </c>
      <c r="C153">
        <v>104.089219330855</v>
      </c>
      <c r="E153" s="2">
        <v>10.4089219330855</v>
      </c>
      <c r="F153" s="2">
        <f t="shared" si="5"/>
        <v>104.089219330855</v>
      </c>
      <c r="M153">
        <v>41.847596595987198</v>
      </c>
    </row>
    <row r="154" spans="1:13" x14ac:dyDescent="0.25">
      <c r="A154" t="s">
        <v>85</v>
      </c>
      <c r="B154">
        <f t="shared" si="6"/>
        <v>287.83907361112909</v>
      </c>
      <c r="C154">
        <v>105.650557620817</v>
      </c>
      <c r="E154" s="2">
        <v>10.5650557620817</v>
      </c>
      <c r="F154" s="2">
        <f t="shared" si="5"/>
        <v>105.650557620817</v>
      </c>
      <c r="M154">
        <v>47.839073611129102</v>
      </c>
    </row>
    <row r="155" spans="1:13" x14ac:dyDescent="0.25">
      <c r="A155" t="s">
        <v>85</v>
      </c>
      <c r="B155">
        <f t="shared" si="6"/>
        <v>299.82824501638532</v>
      </c>
      <c r="C155">
        <v>102.527881040892</v>
      </c>
      <c r="E155" s="2">
        <v>10.2527881040892</v>
      </c>
      <c r="F155" s="2">
        <f t="shared" si="5"/>
        <v>102.527881040892</v>
      </c>
      <c r="M155">
        <v>59.828245016385303</v>
      </c>
    </row>
    <row r="156" spans="1:13" x14ac:dyDescent="0.25">
      <c r="A156" t="s">
        <v>85</v>
      </c>
      <c r="B156">
        <f t="shared" si="6"/>
        <v>311.81948887996577</v>
      </c>
      <c r="C156">
        <v>97.3234200743494</v>
      </c>
      <c r="E156" s="2">
        <v>9.7323420074349407</v>
      </c>
      <c r="F156" s="2">
        <f t="shared" si="5"/>
        <v>97.3234200743494</v>
      </c>
      <c r="M156">
        <v>71.819488879965803</v>
      </c>
    </row>
    <row r="157" spans="1:13" x14ac:dyDescent="0.25">
      <c r="A157" t="s">
        <v>85</v>
      </c>
      <c r="B157">
        <f t="shared" si="6"/>
        <v>335.79938603422141</v>
      </c>
      <c r="C157">
        <v>89.51672862453529</v>
      </c>
      <c r="E157" s="2">
        <v>8.9516728624535293</v>
      </c>
      <c r="F157" s="2">
        <f t="shared" si="5"/>
        <v>89.51672862453529</v>
      </c>
      <c r="M157">
        <v>95.799386034221399</v>
      </c>
    </row>
    <row r="158" spans="1:13" x14ac:dyDescent="0.25">
      <c r="A158" t="s">
        <v>85</v>
      </c>
      <c r="B158">
        <f t="shared" si="6"/>
        <v>359.774620157247</v>
      </c>
      <c r="C158">
        <v>86.394052044609595</v>
      </c>
      <c r="E158" s="2">
        <v>8.6394052044609602</v>
      </c>
      <c r="F158" s="2">
        <f t="shared" si="5"/>
        <v>86.394052044609595</v>
      </c>
      <c r="M158">
        <v>119.774620157247</v>
      </c>
    </row>
    <row r="159" spans="1:13" x14ac:dyDescent="0.25">
      <c r="A159" t="s">
        <v>86</v>
      </c>
      <c r="B159">
        <f t="shared" si="6"/>
        <v>240</v>
      </c>
      <c r="C159">
        <f xml:space="preserve"> ((D159  + 0.9137 )/50.31)^1.35</f>
        <v>2.0307603526469403E-2</v>
      </c>
      <c r="D159" s="19">
        <v>1.89217391304347</v>
      </c>
      <c r="M159">
        <v>0</v>
      </c>
    </row>
    <row r="160" spans="1:13" x14ac:dyDescent="0.25">
      <c r="A160" t="s">
        <v>86</v>
      </c>
      <c r="B160">
        <f t="shared" si="6"/>
        <v>240.5</v>
      </c>
      <c r="C160">
        <f t="shared" ref="C160:C191" si="7" xml:space="preserve"> ((D160  + 0.9137 )/50.31)^1.35</f>
        <v>1.909379483625585E-2</v>
      </c>
      <c r="D160" s="19">
        <v>1.7669565217391301</v>
      </c>
      <c r="M160">
        <v>0.5</v>
      </c>
    </row>
    <row r="161" spans="1:18" x14ac:dyDescent="0.25">
      <c r="A161" t="s">
        <v>86</v>
      </c>
      <c r="B161">
        <f t="shared" si="6"/>
        <v>241</v>
      </c>
      <c r="C161">
        <f t="shared" si="7"/>
        <v>1.7833924832623603E-2</v>
      </c>
      <c r="D161" s="19">
        <v>1.6347826086956501</v>
      </c>
      <c r="M161">
        <v>1</v>
      </c>
    </row>
    <row r="162" spans="1:18" x14ac:dyDescent="0.25">
      <c r="A162" t="s">
        <v>86</v>
      </c>
      <c r="B162">
        <f t="shared" si="6"/>
        <v>241.5</v>
      </c>
      <c r="C162">
        <f t="shared" si="7"/>
        <v>1.7702612487003933E-2</v>
      </c>
      <c r="D162" s="19">
        <v>1.6208695652173899</v>
      </c>
      <c r="M162">
        <v>1.5</v>
      </c>
    </row>
    <row r="163" spans="1:18" x14ac:dyDescent="0.25">
      <c r="A163" t="s">
        <v>86</v>
      </c>
      <c r="B163">
        <f t="shared" si="6"/>
        <v>242</v>
      </c>
      <c r="C163">
        <f t="shared" si="7"/>
        <v>1.6920063246360001E-2</v>
      </c>
      <c r="D163" s="19">
        <v>1.53739130434782</v>
      </c>
      <c r="M163">
        <v>2</v>
      </c>
    </row>
    <row r="164" spans="1:18" x14ac:dyDescent="0.25">
      <c r="A164" t="s">
        <v>86</v>
      </c>
      <c r="B164">
        <f t="shared" si="6"/>
        <v>242.5</v>
      </c>
      <c r="C164">
        <f t="shared" si="7"/>
        <v>1.70498496103078E-2</v>
      </c>
      <c r="D164" s="19">
        <v>1.55130434782608</v>
      </c>
      <c r="M164">
        <v>2.5</v>
      </c>
    </row>
    <row r="165" spans="1:18" x14ac:dyDescent="0.25">
      <c r="A165" t="s">
        <v>86</v>
      </c>
      <c r="B165">
        <f t="shared" si="6"/>
        <v>243</v>
      </c>
      <c r="C165">
        <f t="shared" si="7"/>
        <v>1.6725866981241583E-2</v>
      </c>
      <c r="D165" s="19">
        <v>1.51652173913043</v>
      </c>
      <c r="M165">
        <v>3</v>
      </c>
    </row>
    <row r="166" spans="1:18" x14ac:dyDescent="0.25">
      <c r="A166" t="s">
        <v>86</v>
      </c>
      <c r="B166">
        <f t="shared" si="6"/>
        <v>244</v>
      </c>
      <c r="C166">
        <f t="shared" si="7"/>
        <v>1.7310191335460422E-2</v>
      </c>
      <c r="D166" s="19">
        <v>1.5791304347826001</v>
      </c>
      <c r="M166">
        <v>4</v>
      </c>
    </row>
    <row r="167" spans="1:18" x14ac:dyDescent="0.25">
      <c r="A167" t="s">
        <v>86</v>
      </c>
      <c r="B167">
        <f t="shared" si="6"/>
        <v>246</v>
      </c>
      <c r="C167">
        <f t="shared" si="7"/>
        <v>1.4008106940063899E-2</v>
      </c>
      <c r="D167" s="19">
        <v>1.2173913043478199</v>
      </c>
      <c r="M167">
        <v>6</v>
      </c>
    </row>
    <row r="168" spans="1:18" x14ac:dyDescent="0.25">
      <c r="A168" t="s">
        <v>86</v>
      </c>
      <c r="B168">
        <f t="shared" si="6"/>
        <v>248</v>
      </c>
      <c r="C168">
        <f t="shared" si="7"/>
        <v>1.7571552185288598E-2</v>
      </c>
      <c r="D168" s="19">
        <v>1.60695652173913</v>
      </c>
      <c r="M168">
        <v>8</v>
      </c>
    </row>
    <row r="169" spans="1:18" x14ac:dyDescent="0.25">
      <c r="A169" t="s">
        <v>86</v>
      </c>
      <c r="B169">
        <f t="shared" si="6"/>
        <v>250</v>
      </c>
      <c r="C169">
        <f t="shared" si="7"/>
        <v>2.1402607105468659E-2</v>
      </c>
      <c r="D169" s="19">
        <v>2.00347826086956</v>
      </c>
      <c r="M169">
        <v>10</v>
      </c>
    </row>
    <row r="170" spans="1:18" x14ac:dyDescent="0.25">
      <c r="A170" t="s">
        <v>86</v>
      </c>
      <c r="B170">
        <f t="shared" si="6"/>
        <v>252</v>
      </c>
      <c r="C170">
        <f t="shared" si="7"/>
        <v>2.1402607105468659E-2</v>
      </c>
      <c r="D170" s="19">
        <v>2.00347826086956</v>
      </c>
      <c r="M170">
        <v>12</v>
      </c>
    </row>
    <row r="171" spans="1:18" x14ac:dyDescent="0.25">
      <c r="A171" t="s">
        <v>86</v>
      </c>
      <c r="B171">
        <f t="shared" si="6"/>
        <v>258</v>
      </c>
      <c r="C171">
        <f t="shared" si="7"/>
        <v>4.0805876504809546E-2</v>
      </c>
      <c r="D171" s="19">
        <v>3.7913043478260802</v>
      </c>
      <c r="M171">
        <v>18</v>
      </c>
    </row>
    <row r="172" spans="1:18" x14ac:dyDescent="0.25">
      <c r="A172" t="s">
        <v>86</v>
      </c>
      <c r="B172">
        <f t="shared" si="6"/>
        <v>263.5</v>
      </c>
      <c r="C172">
        <f t="shared" si="7"/>
        <v>2.5276831808067217E-2</v>
      </c>
      <c r="D172" s="19">
        <v>2.38608695652173</v>
      </c>
      <c r="M172">
        <v>23.5</v>
      </c>
    </row>
    <row r="173" spans="1:18" x14ac:dyDescent="0.25">
      <c r="A173" t="s">
        <v>86</v>
      </c>
      <c r="B173">
        <f t="shared" si="6"/>
        <v>263.75</v>
      </c>
      <c r="C173">
        <f t="shared" si="7"/>
        <v>2.463154208571279E-2</v>
      </c>
      <c r="D173" s="19">
        <v>2.3234782608695599</v>
      </c>
      <c r="M173">
        <v>23.75</v>
      </c>
    </row>
    <row r="174" spans="1:18" x14ac:dyDescent="0.25">
      <c r="A174" t="s">
        <v>86</v>
      </c>
      <c r="B174">
        <f t="shared" si="6"/>
        <v>264</v>
      </c>
      <c r="C174">
        <f t="shared" si="7"/>
        <v>2.4132657124010887E-2</v>
      </c>
      <c r="D174" s="19">
        <v>2.27478260869565</v>
      </c>
      <c r="M174">
        <v>24</v>
      </c>
      <c r="Q174">
        <f>M174-24</f>
        <v>0</v>
      </c>
      <c r="R174">
        <f t="shared" ref="R174:R190" si="8">Q174-Q173</f>
        <v>0</v>
      </c>
    </row>
    <row r="175" spans="1:18" x14ac:dyDescent="0.25">
      <c r="A175" t="s">
        <v>86</v>
      </c>
      <c r="B175">
        <f t="shared" si="6"/>
        <v>264.5</v>
      </c>
      <c r="C175">
        <f t="shared" si="7"/>
        <v>2.160957044237034E-2</v>
      </c>
      <c r="D175" s="19">
        <v>2.0243478260869501</v>
      </c>
      <c r="M175">
        <v>24.5</v>
      </c>
      <c r="Q175">
        <f t="shared" ref="Q175:Q191" si="9">M175-24</f>
        <v>0.5</v>
      </c>
      <c r="R175">
        <f t="shared" si="8"/>
        <v>0.5</v>
      </c>
    </row>
    <row r="176" spans="1:18" x14ac:dyDescent="0.25">
      <c r="A176" t="s">
        <v>86</v>
      </c>
      <c r="B176">
        <f t="shared" si="6"/>
        <v>265</v>
      </c>
      <c r="C176">
        <f t="shared" si="7"/>
        <v>2.0375602870962458E-2</v>
      </c>
      <c r="D176" s="19">
        <v>1.8991304347825999</v>
      </c>
      <c r="M176">
        <v>25</v>
      </c>
      <c r="Q176">
        <f t="shared" si="9"/>
        <v>1</v>
      </c>
      <c r="R176">
        <f t="shared" si="8"/>
        <v>0.5</v>
      </c>
    </row>
    <row r="177" spans="1:18" x14ac:dyDescent="0.25">
      <c r="A177" t="s">
        <v>86</v>
      </c>
      <c r="B177">
        <f t="shared" si="6"/>
        <v>265.5</v>
      </c>
      <c r="C177">
        <f t="shared" si="7"/>
        <v>2.0511778122524697E-2</v>
      </c>
      <c r="D177" s="19">
        <v>1.9130434782608601</v>
      </c>
      <c r="M177">
        <v>25.5</v>
      </c>
      <c r="Q177">
        <f t="shared" si="9"/>
        <v>1.5</v>
      </c>
      <c r="R177">
        <f t="shared" si="8"/>
        <v>0.5</v>
      </c>
    </row>
    <row r="178" spans="1:18" x14ac:dyDescent="0.25">
      <c r="A178" t="s">
        <v>86</v>
      </c>
      <c r="B178">
        <f t="shared" si="6"/>
        <v>266</v>
      </c>
      <c r="C178">
        <f t="shared" si="7"/>
        <v>2.0171781874336162E-2</v>
      </c>
      <c r="D178" s="19">
        <v>1.8782608695652101</v>
      </c>
      <c r="M178">
        <v>26</v>
      </c>
      <c r="Q178">
        <f t="shared" si="9"/>
        <v>2</v>
      </c>
      <c r="R178">
        <f t="shared" si="8"/>
        <v>0.5</v>
      </c>
    </row>
    <row r="179" spans="1:18" x14ac:dyDescent="0.25">
      <c r="A179" t="s">
        <v>86</v>
      </c>
      <c r="B179">
        <f t="shared" si="6"/>
        <v>266.5</v>
      </c>
      <c r="C179">
        <f t="shared" si="7"/>
        <v>1.9630869856615173E-2</v>
      </c>
      <c r="D179" s="19">
        <v>1.8226086956521701</v>
      </c>
      <c r="M179">
        <v>26.5</v>
      </c>
      <c r="Q179">
        <f t="shared" si="9"/>
        <v>2.5</v>
      </c>
      <c r="R179">
        <f t="shared" si="8"/>
        <v>0.5</v>
      </c>
    </row>
    <row r="180" spans="1:18" x14ac:dyDescent="0.25">
      <c r="A180" t="s">
        <v>86</v>
      </c>
      <c r="B180">
        <f t="shared" si="6"/>
        <v>267</v>
      </c>
      <c r="C180">
        <f t="shared" si="7"/>
        <v>1.856060841097678E-2</v>
      </c>
      <c r="D180" s="19">
        <v>1.7113043478260801</v>
      </c>
      <c r="M180">
        <v>27</v>
      </c>
      <c r="Q180">
        <f t="shared" si="9"/>
        <v>3</v>
      </c>
      <c r="R180">
        <f t="shared" si="8"/>
        <v>0.5</v>
      </c>
    </row>
    <row r="181" spans="1:18" x14ac:dyDescent="0.25">
      <c r="A181" t="s">
        <v>86</v>
      </c>
      <c r="B181">
        <f t="shared" si="6"/>
        <v>268</v>
      </c>
      <c r="C181">
        <f t="shared" si="7"/>
        <v>1.7440744830883544E-2</v>
      </c>
      <c r="D181" s="19">
        <v>1.59304347826086</v>
      </c>
      <c r="M181">
        <v>28</v>
      </c>
      <c r="Q181">
        <f t="shared" si="9"/>
        <v>4</v>
      </c>
      <c r="R181">
        <f t="shared" si="8"/>
        <v>1</v>
      </c>
    </row>
    <row r="182" spans="1:18" x14ac:dyDescent="0.25">
      <c r="A182" t="s">
        <v>86</v>
      </c>
      <c r="B182">
        <f t="shared" si="6"/>
        <v>270</v>
      </c>
      <c r="C182">
        <f t="shared" si="7"/>
        <v>1.3333366589289479E-2</v>
      </c>
      <c r="D182" s="19">
        <v>1.1408695652173899</v>
      </c>
      <c r="M182">
        <v>30</v>
      </c>
      <c r="Q182">
        <f t="shared" si="9"/>
        <v>6</v>
      </c>
      <c r="R182">
        <f t="shared" si="8"/>
        <v>2</v>
      </c>
    </row>
    <row r="183" spans="1:18" x14ac:dyDescent="0.25">
      <c r="A183" t="s">
        <v>86</v>
      </c>
      <c r="B183">
        <f t="shared" si="6"/>
        <v>272</v>
      </c>
      <c r="C183">
        <f t="shared" si="7"/>
        <v>1.3577726517514859E-2</v>
      </c>
      <c r="D183" s="19">
        <v>1.16869565217391</v>
      </c>
      <c r="M183">
        <v>32</v>
      </c>
      <c r="Q183">
        <f t="shared" si="9"/>
        <v>8</v>
      </c>
      <c r="R183">
        <f t="shared" si="8"/>
        <v>2</v>
      </c>
    </row>
    <row r="184" spans="1:18" x14ac:dyDescent="0.25">
      <c r="A184" t="s">
        <v>86</v>
      </c>
      <c r="B184">
        <f t="shared" si="6"/>
        <v>274</v>
      </c>
      <c r="C184">
        <f t="shared" si="7"/>
        <v>1.4628918720211947E-2</v>
      </c>
      <c r="D184" s="19">
        <v>1.2869565217391301</v>
      </c>
      <c r="M184">
        <v>34</v>
      </c>
      <c r="Q184">
        <f t="shared" si="9"/>
        <v>10</v>
      </c>
      <c r="R184">
        <f t="shared" si="8"/>
        <v>2</v>
      </c>
    </row>
    <row r="185" spans="1:18" x14ac:dyDescent="0.25">
      <c r="A185" t="s">
        <v>86</v>
      </c>
      <c r="B185">
        <f t="shared" si="6"/>
        <v>276</v>
      </c>
      <c r="C185">
        <f t="shared" si="7"/>
        <v>1.3333366589289479E-2</v>
      </c>
      <c r="D185" s="19">
        <v>1.1408695652173899</v>
      </c>
      <c r="M185">
        <v>36</v>
      </c>
      <c r="Q185">
        <f t="shared" si="9"/>
        <v>12</v>
      </c>
      <c r="R185">
        <f t="shared" si="8"/>
        <v>2</v>
      </c>
    </row>
    <row r="186" spans="1:18" x14ac:dyDescent="0.25">
      <c r="A186" t="s">
        <v>86</v>
      </c>
      <c r="B186">
        <f t="shared" si="6"/>
        <v>282</v>
      </c>
      <c r="C186">
        <f t="shared" si="7"/>
        <v>1.829549003485105E-2</v>
      </c>
      <c r="D186" s="19">
        <v>1.68347826086956</v>
      </c>
      <c r="M186">
        <v>42</v>
      </c>
      <c r="Q186">
        <f t="shared" si="9"/>
        <v>18</v>
      </c>
      <c r="R186">
        <f t="shared" si="8"/>
        <v>6</v>
      </c>
    </row>
    <row r="187" spans="1:18" x14ac:dyDescent="0.25">
      <c r="A187" t="s">
        <v>86</v>
      </c>
      <c r="B187">
        <f t="shared" si="6"/>
        <v>288</v>
      </c>
      <c r="C187">
        <f t="shared" si="7"/>
        <v>1.1420984236360274E-2</v>
      </c>
      <c r="D187" s="19">
        <v>0.91826086956521702</v>
      </c>
      <c r="M187">
        <v>48</v>
      </c>
      <c r="Q187">
        <f t="shared" si="9"/>
        <v>24</v>
      </c>
      <c r="R187">
        <f t="shared" si="8"/>
        <v>6</v>
      </c>
    </row>
    <row r="188" spans="1:18" x14ac:dyDescent="0.25">
      <c r="A188" t="s">
        <v>86</v>
      </c>
      <c r="B188">
        <f t="shared" si="6"/>
        <v>300</v>
      </c>
      <c r="C188">
        <f t="shared" si="7"/>
        <v>9.088273076523325E-3</v>
      </c>
      <c r="D188" s="19">
        <v>0.63304347826086804</v>
      </c>
      <c r="M188">
        <v>60</v>
      </c>
      <c r="Q188">
        <f t="shared" si="9"/>
        <v>36</v>
      </c>
      <c r="R188">
        <f t="shared" si="8"/>
        <v>12</v>
      </c>
    </row>
    <row r="189" spans="1:18" x14ac:dyDescent="0.25">
      <c r="A189" t="s">
        <v>86</v>
      </c>
      <c r="B189">
        <f t="shared" si="6"/>
        <v>312</v>
      </c>
      <c r="C189">
        <f t="shared" si="7"/>
        <v>8.4865955582776337E-3</v>
      </c>
      <c r="D189" s="19">
        <v>0.55652173913043401</v>
      </c>
      <c r="M189">
        <v>72</v>
      </c>
      <c r="Q189">
        <f t="shared" si="9"/>
        <v>48</v>
      </c>
      <c r="R189">
        <f t="shared" si="8"/>
        <v>12</v>
      </c>
    </row>
    <row r="190" spans="1:18" x14ac:dyDescent="0.25">
      <c r="A190" t="s">
        <v>86</v>
      </c>
      <c r="B190">
        <f t="shared" si="6"/>
        <v>336</v>
      </c>
      <c r="C190">
        <f t="shared" si="7"/>
        <v>8.704149422203409E-3</v>
      </c>
      <c r="D190" s="19">
        <v>0.58434782608695501</v>
      </c>
      <c r="M190">
        <v>96</v>
      </c>
      <c r="Q190">
        <f t="shared" si="9"/>
        <v>72</v>
      </c>
      <c r="R190">
        <f t="shared" si="8"/>
        <v>24</v>
      </c>
    </row>
    <row r="191" spans="1:18" x14ac:dyDescent="0.25">
      <c r="A191" t="s">
        <v>86</v>
      </c>
      <c r="B191">
        <f t="shared" si="6"/>
        <v>360</v>
      </c>
      <c r="C191">
        <f t="shared" si="7"/>
        <v>1.0897225926705941E-2</v>
      </c>
      <c r="D191" s="19">
        <v>0.85565217391304305</v>
      </c>
      <c r="M191">
        <v>120</v>
      </c>
      <c r="Q191">
        <f t="shared" si="9"/>
        <v>96</v>
      </c>
      <c r="R191">
        <f>Q191-Q190</f>
        <v>24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9521C-F4B3-466A-B94B-2A7549B55003}">
  <dimension ref="A1:H15"/>
  <sheetViews>
    <sheetView workbookViewId="0">
      <selection activeCell="C1" sqref="C1"/>
    </sheetView>
  </sheetViews>
  <sheetFormatPr defaultColWidth="10.5703125" defaultRowHeight="15" x14ac:dyDescent="0.25"/>
  <cols>
    <col min="1" max="1" width="22.5703125" bestFit="1" customWidth="1"/>
    <col min="3" max="3" width="21.28515625" bestFit="1" customWidth="1"/>
    <col min="4" max="4" width="22.28515625" bestFit="1" customWidth="1"/>
  </cols>
  <sheetData>
    <row r="1" spans="1:8" x14ac:dyDescent="0.25">
      <c r="A1" t="s">
        <v>2</v>
      </c>
      <c r="B1" t="s">
        <v>0</v>
      </c>
      <c r="C1" t="s">
        <v>7</v>
      </c>
      <c r="D1" t="s">
        <v>107</v>
      </c>
    </row>
    <row r="2" spans="1:8" x14ac:dyDescent="0.25">
      <c r="A2" t="s">
        <v>105</v>
      </c>
      <c r="B2">
        <f>10*24+H2</f>
        <v>240</v>
      </c>
      <c r="C2">
        <v>1.1818181818181801</v>
      </c>
      <c r="H2">
        <v>0</v>
      </c>
    </row>
    <row r="3" spans="1:8" x14ac:dyDescent="0.25">
      <c r="A3" t="s">
        <v>105</v>
      </c>
      <c r="B3">
        <f t="shared" ref="B3:B15" si="0">10*24+H3</f>
        <v>241</v>
      </c>
      <c r="C3">
        <v>4.1827543166215904</v>
      </c>
      <c r="H3">
        <v>1</v>
      </c>
    </row>
    <row r="4" spans="1:8" x14ac:dyDescent="0.25">
      <c r="A4" t="s">
        <v>105</v>
      </c>
      <c r="B4">
        <f t="shared" si="0"/>
        <v>242</v>
      </c>
      <c r="C4">
        <v>5.5018722696068201</v>
      </c>
      <c r="H4">
        <v>2</v>
      </c>
    </row>
    <row r="5" spans="1:8" x14ac:dyDescent="0.25">
      <c r="A5" t="s">
        <v>105</v>
      </c>
      <c r="B5">
        <f t="shared" si="0"/>
        <v>243</v>
      </c>
      <c r="C5">
        <v>5.0710422300811304</v>
      </c>
      <c r="H5">
        <v>3</v>
      </c>
    </row>
    <row r="6" spans="1:8" x14ac:dyDescent="0.25">
      <c r="A6" t="s">
        <v>105</v>
      </c>
      <c r="B6">
        <f t="shared" si="0"/>
        <v>244</v>
      </c>
      <c r="C6">
        <v>4.3447056376118098</v>
      </c>
      <c r="H6">
        <v>4</v>
      </c>
    </row>
    <row r="7" spans="1:8" x14ac:dyDescent="0.25">
      <c r="A7" t="s">
        <v>105</v>
      </c>
      <c r="B7">
        <f t="shared" si="0"/>
        <v>248</v>
      </c>
      <c r="C7">
        <v>2.9166840024963498</v>
      </c>
      <c r="H7">
        <v>8</v>
      </c>
    </row>
    <row r="8" spans="1:8" x14ac:dyDescent="0.25">
      <c r="A8" t="s">
        <v>105</v>
      </c>
      <c r="B8">
        <f t="shared" si="0"/>
        <v>264</v>
      </c>
      <c r="C8">
        <v>2</v>
      </c>
      <c r="H8">
        <v>24</v>
      </c>
    </row>
    <row r="9" spans="1:8" x14ac:dyDescent="0.25">
      <c r="A9" t="s">
        <v>106</v>
      </c>
      <c r="B9">
        <f t="shared" si="0"/>
        <v>240</v>
      </c>
      <c r="C9">
        <f xml:space="preserve"> ((D9  + 0.9137 )/50.31)^1.35</f>
        <v>1.9012433029313072E-2</v>
      </c>
      <c r="D9">
        <v>1.7584905660377299</v>
      </c>
      <c r="H9">
        <v>0</v>
      </c>
    </row>
    <row r="10" spans="1:8" x14ac:dyDescent="0.25">
      <c r="A10" t="s">
        <v>106</v>
      </c>
      <c r="B10">
        <f t="shared" si="0"/>
        <v>241</v>
      </c>
      <c r="C10">
        <f t="shared" ref="C10:C15" si="1" xml:space="preserve"> ((D10  + 0.9137 )/50.31)^1.35</f>
        <v>1.7011254177068114E-2</v>
      </c>
      <c r="D10">
        <v>1.5471698113207499</v>
      </c>
      <c r="H10">
        <v>1</v>
      </c>
    </row>
    <row r="11" spans="1:8" x14ac:dyDescent="0.25">
      <c r="A11" t="s">
        <v>106</v>
      </c>
      <c r="B11">
        <f t="shared" si="0"/>
        <v>242</v>
      </c>
      <c r="C11">
        <f t="shared" si="1"/>
        <v>1.541164611024793E-2</v>
      </c>
      <c r="D11">
        <v>1.3735849056603699</v>
      </c>
      <c r="H11">
        <v>2</v>
      </c>
    </row>
    <row r="12" spans="1:8" x14ac:dyDescent="0.25">
      <c r="A12" t="s">
        <v>106</v>
      </c>
      <c r="B12">
        <f t="shared" si="0"/>
        <v>243</v>
      </c>
      <c r="C12">
        <f t="shared" si="1"/>
        <v>1.3190400706156487E-2</v>
      </c>
      <c r="D12">
        <v>1.12452830188679</v>
      </c>
      <c r="H12">
        <v>3</v>
      </c>
    </row>
    <row r="13" spans="1:8" x14ac:dyDescent="0.25">
      <c r="A13" t="s">
        <v>106</v>
      </c>
      <c r="B13">
        <f t="shared" si="0"/>
        <v>244</v>
      </c>
      <c r="C13">
        <f t="shared" si="1"/>
        <v>1.1378474511532738E-2</v>
      </c>
      <c r="D13">
        <v>0.91320754716981101</v>
      </c>
      <c r="H13">
        <v>4</v>
      </c>
    </row>
    <row r="14" spans="1:8" x14ac:dyDescent="0.25">
      <c r="A14" t="s">
        <v>106</v>
      </c>
      <c r="B14">
        <f t="shared" si="0"/>
        <v>248</v>
      </c>
      <c r="C14">
        <f t="shared" si="1"/>
        <v>8.5019415056744978E-3</v>
      </c>
      <c r="D14">
        <v>0.55849056603773495</v>
      </c>
      <c r="H14">
        <v>8</v>
      </c>
    </row>
    <row r="15" spans="1:8" x14ac:dyDescent="0.25">
      <c r="A15" t="s">
        <v>106</v>
      </c>
      <c r="B15">
        <f t="shared" si="0"/>
        <v>264</v>
      </c>
      <c r="C15">
        <f t="shared" si="1"/>
        <v>6.6199789068354742E-3</v>
      </c>
      <c r="D15">
        <v>0.30943396226415099</v>
      </c>
      <c r="H15">
        <v>24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70637-9BE0-4F22-B129-1400EE77C82B}">
  <dimension ref="A1:H212"/>
  <sheetViews>
    <sheetView workbookViewId="0">
      <selection activeCell="E2" sqref="E2"/>
    </sheetView>
  </sheetViews>
  <sheetFormatPr defaultColWidth="10.5703125" defaultRowHeight="15" x14ac:dyDescent="0.25"/>
  <cols>
    <col min="1" max="1" width="24.28515625" bestFit="1" customWidth="1"/>
    <col min="2" max="2" width="12" bestFit="1" customWidth="1"/>
    <col min="3" max="3" width="21.28515625" bestFit="1" customWidth="1"/>
    <col min="4" max="4" width="20.28515625" style="2" bestFit="1" customWidth="1"/>
    <col min="5" max="5" width="21.28515625" style="2" bestFit="1" customWidth="1"/>
    <col min="14" max="14" width="12" bestFit="1" customWidth="1"/>
  </cols>
  <sheetData>
    <row r="1" spans="1:8" x14ac:dyDescent="0.25">
      <c r="A1" t="s">
        <v>2</v>
      </c>
      <c r="B1" t="s">
        <v>0</v>
      </c>
      <c r="C1" t="s">
        <v>7</v>
      </c>
      <c r="D1" s="2" t="s">
        <v>1</v>
      </c>
      <c r="E1" s="2" t="s">
        <v>7</v>
      </c>
    </row>
    <row r="2" spans="1:8" x14ac:dyDescent="0.25">
      <c r="A2" t="s">
        <v>6</v>
      </c>
      <c r="B2">
        <f>10*24+H2</f>
        <v>240</v>
      </c>
      <c r="C2">
        <v>3.221681106232839E-2</v>
      </c>
      <c r="D2" s="2">
        <v>3.0356923481923399</v>
      </c>
      <c r="E2" s="2">
        <f>(( D2 + 0.9137 )/50.31)^1.35</f>
        <v>3.221681106232839E-2</v>
      </c>
      <c r="H2">
        <v>0</v>
      </c>
    </row>
    <row r="3" spans="1:8" x14ac:dyDescent="0.25">
      <c r="A3" t="s">
        <v>6</v>
      </c>
      <c r="B3">
        <f t="shared" ref="B3:B66" si="0">10*24+H3</f>
        <v>240.5</v>
      </c>
      <c r="C3">
        <v>3.0270287109809058E-2</v>
      </c>
      <c r="D3" s="2">
        <v>2.8575157950157899</v>
      </c>
      <c r="E3" s="2">
        <f t="shared" ref="E3:E66" si="1">(( D3 + 0.9137 )/50.31)^1.35</f>
        <v>3.0270287109809058E-2</v>
      </c>
      <c r="H3">
        <v>0.5</v>
      </c>
    </row>
    <row r="4" spans="1:8" x14ac:dyDescent="0.25">
      <c r="A4" t="s">
        <v>6</v>
      </c>
      <c r="B4">
        <f t="shared" si="0"/>
        <v>241</v>
      </c>
      <c r="C4">
        <v>2.77862087211713E-2</v>
      </c>
      <c r="D4" s="2">
        <v>2.6257458757458698</v>
      </c>
      <c r="E4" s="2">
        <f t="shared" si="1"/>
        <v>2.7786208721171251E-2</v>
      </c>
      <c r="H4">
        <v>1</v>
      </c>
    </row>
    <row r="5" spans="1:8" x14ac:dyDescent="0.25">
      <c r="A5" t="s">
        <v>6</v>
      </c>
      <c r="B5">
        <f t="shared" si="0"/>
        <v>241.5</v>
      </c>
      <c r="C5">
        <v>2.760083772887929E-2</v>
      </c>
      <c r="D5" s="2">
        <v>2.60823973323973</v>
      </c>
      <c r="E5" s="2">
        <f t="shared" si="1"/>
        <v>2.760083772887929E-2</v>
      </c>
      <c r="H5">
        <v>1.5</v>
      </c>
    </row>
    <row r="6" spans="1:8" x14ac:dyDescent="0.25">
      <c r="A6" t="s">
        <v>6</v>
      </c>
      <c r="B6">
        <f t="shared" si="0"/>
        <v>242</v>
      </c>
      <c r="C6">
        <v>2.6104391296636654E-2</v>
      </c>
      <c r="D6" s="2">
        <v>2.4657774657774598</v>
      </c>
      <c r="E6" s="2">
        <f t="shared" si="1"/>
        <v>2.6104391296636654E-2</v>
      </c>
      <c r="H6">
        <v>2</v>
      </c>
    </row>
    <row r="7" spans="1:8" x14ac:dyDescent="0.25">
      <c r="A7" t="s">
        <v>6</v>
      </c>
      <c r="B7">
        <f t="shared" si="0"/>
        <v>242.5</v>
      </c>
      <c r="C7">
        <v>2.6481178047152939E-2</v>
      </c>
      <c r="D7" s="2">
        <v>2.5018427518427502</v>
      </c>
      <c r="E7" s="2">
        <f t="shared" si="1"/>
        <v>2.6481178047152939E-2</v>
      </c>
      <c r="H7">
        <v>2.5</v>
      </c>
    </row>
    <row r="8" spans="1:8" x14ac:dyDescent="0.25">
      <c r="A8" t="s">
        <v>6</v>
      </c>
      <c r="B8">
        <f t="shared" si="0"/>
        <v>243</v>
      </c>
      <c r="C8">
        <v>2.5926114614282795E-2</v>
      </c>
      <c r="D8" s="2">
        <v>2.44866619866619</v>
      </c>
      <c r="E8" s="2">
        <f t="shared" si="1"/>
        <v>2.5926114614282795E-2</v>
      </c>
      <c r="H8">
        <v>3</v>
      </c>
    </row>
    <row r="9" spans="1:8" x14ac:dyDescent="0.25">
      <c r="A9" t="s">
        <v>6</v>
      </c>
      <c r="B9">
        <f t="shared" si="0"/>
        <v>244</v>
      </c>
      <c r="C9">
        <v>2.6867426302716886E-2</v>
      </c>
      <c r="D9" s="2">
        <v>2.5386758511758498</v>
      </c>
      <c r="E9" s="2">
        <f t="shared" si="1"/>
        <v>2.6867426302716886E-2</v>
      </c>
      <c r="H9">
        <v>4</v>
      </c>
    </row>
    <row r="10" spans="1:8" x14ac:dyDescent="0.25">
      <c r="A10" t="s">
        <v>6</v>
      </c>
      <c r="B10">
        <f t="shared" si="0"/>
        <v>246</v>
      </c>
      <c r="C10">
        <v>2.1059247420499045E-2</v>
      </c>
      <c r="D10" s="2">
        <v>1.96873903123903</v>
      </c>
      <c r="E10" s="2">
        <f t="shared" si="1"/>
        <v>2.1059247420499045E-2</v>
      </c>
      <c r="H10">
        <v>6</v>
      </c>
    </row>
    <row r="11" spans="1:8" x14ac:dyDescent="0.25">
      <c r="A11" t="s">
        <v>6</v>
      </c>
      <c r="B11">
        <f t="shared" si="0"/>
        <v>248</v>
      </c>
      <c r="C11">
        <v>2.7463295729980644E-2</v>
      </c>
      <c r="D11" s="2">
        <v>2.5952307827307801</v>
      </c>
      <c r="E11" s="2">
        <f t="shared" si="1"/>
        <v>2.7463295729980644E-2</v>
      </c>
      <c r="H11">
        <v>8</v>
      </c>
    </row>
    <row r="12" spans="1:8" x14ac:dyDescent="0.25">
      <c r="A12" t="s">
        <v>6</v>
      </c>
      <c r="B12">
        <f t="shared" si="0"/>
        <v>250</v>
      </c>
      <c r="C12">
        <v>3.4282432784035831E-2</v>
      </c>
      <c r="D12" s="2">
        <v>3.2217444717444699</v>
      </c>
      <c r="E12" s="2">
        <f t="shared" si="1"/>
        <v>3.4282432784035831E-2</v>
      </c>
      <c r="H12">
        <v>10</v>
      </c>
    </row>
    <row r="13" spans="1:8" x14ac:dyDescent="0.25">
      <c r="A13" t="s">
        <v>6</v>
      </c>
      <c r="B13">
        <f t="shared" si="0"/>
        <v>252</v>
      </c>
      <c r="C13">
        <v>3.4298883037282325E-2</v>
      </c>
      <c r="D13" s="2">
        <v>3.2232142857142798</v>
      </c>
      <c r="E13" s="2">
        <f t="shared" si="1"/>
        <v>3.4298883037282325E-2</v>
      </c>
      <c r="H13">
        <v>12</v>
      </c>
    </row>
    <row r="14" spans="1:8" x14ac:dyDescent="0.25">
      <c r="A14" t="s">
        <v>6</v>
      </c>
      <c r="B14">
        <f t="shared" si="0"/>
        <v>258</v>
      </c>
      <c r="C14">
        <v>6.9746794600273596E-2</v>
      </c>
      <c r="D14" s="2">
        <v>6.08481045981046</v>
      </c>
      <c r="E14" s="2">
        <f t="shared" si="1"/>
        <v>6.9746794600273596E-2</v>
      </c>
      <c r="H14">
        <v>18</v>
      </c>
    </row>
    <row r="15" spans="1:8" x14ac:dyDescent="0.25">
      <c r="A15" t="s">
        <v>6</v>
      </c>
      <c r="B15">
        <f t="shared" si="0"/>
        <v>263.5</v>
      </c>
      <c r="C15">
        <v>4.136402075997983E-2</v>
      </c>
      <c r="D15" s="2">
        <v>3.8388908388908298</v>
      </c>
      <c r="E15" s="2">
        <f t="shared" si="1"/>
        <v>4.136402075997983E-2</v>
      </c>
      <c r="H15">
        <v>23.5</v>
      </c>
    </row>
    <row r="16" spans="1:8" x14ac:dyDescent="0.25">
      <c r="A16" t="s">
        <v>6</v>
      </c>
      <c r="B16">
        <f t="shared" si="0"/>
        <v>263.75</v>
      </c>
      <c r="C16">
        <v>4.0112418833812502E-2</v>
      </c>
      <c r="D16" s="2">
        <v>3.7319454194454198</v>
      </c>
      <c r="E16" s="2">
        <f t="shared" si="1"/>
        <v>4.0112418833812502E-2</v>
      </c>
      <c r="H16">
        <v>23.75</v>
      </c>
    </row>
    <row r="17" spans="1:8" x14ac:dyDescent="0.25">
      <c r="A17" t="s">
        <v>6</v>
      </c>
      <c r="B17">
        <f t="shared" si="0"/>
        <v>264</v>
      </c>
      <c r="C17">
        <v>3.9698973042378814E-2</v>
      </c>
      <c r="D17" s="2">
        <v>3.6964285714285698</v>
      </c>
      <c r="E17" s="2">
        <f t="shared" si="1"/>
        <v>3.9698973042378814E-2</v>
      </c>
      <c r="H17">
        <v>24</v>
      </c>
    </row>
    <row r="18" spans="1:8" x14ac:dyDescent="0.25">
      <c r="A18" t="s">
        <v>4</v>
      </c>
      <c r="B18">
        <f t="shared" si="0"/>
        <v>240</v>
      </c>
      <c r="C18">
        <v>3.1824371841233913E-2</v>
      </c>
      <c r="D18" s="2">
        <v>3</v>
      </c>
      <c r="E18" s="2">
        <f t="shared" si="1"/>
        <v>3.1824371841233913E-2</v>
      </c>
      <c r="H18">
        <v>0</v>
      </c>
    </row>
    <row r="19" spans="1:8" x14ac:dyDescent="0.25">
      <c r="A19" t="s">
        <v>4</v>
      </c>
      <c r="B19">
        <f t="shared" si="0"/>
        <v>240.97297297297297</v>
      </c>
      <c r="C19">
        <v>3.0274090610932298E-2</v>
      </c>
      <c r="D19" s="2">
        <v>2.8578667953667898</v>
      </c>
      <c r="E19" s="2">
        <f>(( D19 + 0.9137 )/50.31)^1.35</f>
        <v>3.0274090610932298E-2</v>
      </c>
      <c r="H19">
        <v>0.97297297297297303</v>
      </c>
    </row>
    <row r="20" spans="1:8" x14ac:dyDescent="0.25">
      <c r="A20" t="s">
        <v>4</v>
      </c>
      <c r="B20">
        <f t="shared" si="0"/>
        <v>241.17936117936117</v>
      </c>
      <c r="C20">
        <v>3.242353946534917E-2</v>
      </c>
      <c r="D20" s="2">
        <v>3.0544489294489301</v>
      </c>
      <c r="E20" s="2">
        <f t="shared" si="1"/>
        <v>3.242353946534917E-2</v>
      </c>
      <c r="H20">
        <v>1.17936117936117</v>
      </c>
    </row>
    <row r="21" spans="1:8" x14ac:dyDescent="0.25">
      <c r="A21" t="s">
        <v>4</v>
      </c>
      <c r="B21">
        <f t="shared" si="0"/>
        <v>241.79852579852579</v>
      </c>
      <c r="C21">
        <v>2.5545715284935516E-2</v>
      </c>
      <c r="D21" s="2">
        <v>2.4120524745524698</v>
      </c>
      <c r="E21" s="2">
        <f t="shared" si="1"/>
        <v>2.5545715284935516E-2</v>
      </c>
      <c r="H21">
        <v>1.7985257985257901</v>
      </c>
    </row>
    <row r="22" spans="1:8" x14ac:dyDescent="0.25">
      <c r="A22" t="s">
        <v>4</v>
      </c>
      <c r="B22">
        <f t="shared" si="0"/>
        <v>242.21130221130221</v>
      </c>
      <c r="C22">
        <v>2.8746238079426729E-2</v>
      </c>
      <c r="D22" s="2">
        <v>2.7159310284310201</v>
      </c>
      <c r="E22" s="2">
        <f t="shared" si="1"/>
        <v>2.8746238079426729E-2</v>
      </c>
      <c r="H22">
        <v>2.2113022113022098</v>
      </c>
    </row>
    <row r="23" spans="1:8" x14ac:dyDescent="0.25">
      <c r="A23" t="s">
        <v>4</v>
      </c>
      <c r="B23">
        <f t="shared" si="0"/>
        <v>242.41769041769041</v>
      </c>
      <c r="C23">
        <v>3.3422533288555809E-2</v>
      </c>
      <c r="D23" s="2">
        <v>3.14465601965601</v>
      </c>
      <c r="E23" s="2">
        <f t="shared" si="1"/>
        <v>3.3422533288555809E-2</v>
      </c>
      <c r="H23">
        <v>2.4176904176904102</v>
      </c>
    </row>
    <row r="24" spans="1:8" x14ac:dyDescent="0.25">
      <c r="A24" t="s">
        <v>4</v>
      </c>
      <c r="B24">
        <f t="shared" si="0"/>
        <v>242.77149877149878</v>
      </c>
      <c r="C24">
        <v>2.8941792183298964E-2</v>
      </c>
      <c r="D24" s="2">
        <v>2.7342049842049798</v>
      </c>
      <c r="E24" s="2">
        <f t="shared" si="1"/>
        <v>2.8941792183298964E-2</v>
      </c>
      <c r="H24">
        <v>2.77149877149877</v>
      </c>
    </row>
    <row r="25" spans="1:8" x14ac:dyDescent="0.25">
      <c r="A25" t="s">
        <v>4</v>
      </c>
      <c r="B25">
        <f t="shared" si="0"/>
        <v>243.15479115479116</v>
      </c>
      <c r="C25">
        <v>4.1816510822839964E-2</v>
      </c>
      <c r="D25" s="2">
        <v>3.8773473148473099</v>
      </c>
      <c r="E25" s="2">
        <f t="shared" si="1"/>
        <v>4.1816510822839964E-2</v>
      </c>
      <c r="H25">
        <v>3.15479115479115</v>
      </c>
    </row>
    <row r="26" spans="1:8" x14ac:dyDescent="0.25">
      <c r="A26" t="s">
        <v>4</v>
      </c>
      <c r="B26">
        <f t="shared" si="0"/>
        <v>243.39066339066338</v>
      </c>
      <c r="C26">
        <v>4.0561076851568983E-2</v>
      </c>
      <c r="D26" s="2">
        <v>3.7703799578799502</v>
      </c>
      <c r="E26" s="2">
        <f t="shared" si="1"/>
        <v>4.0561076851568983E-2</v>
      </c>
      <c r="H26">
        <v>3.3906633906633901</v>
      </c>
    </row>
    <row r="27" spans="1:8" x14ac:dyDescent="0.25">
      <c r="A27" t="s">
        <v>4</v>
      </c>
      <c r="B27">
        <f t="shared" si="0"/>
        <v>243.5970515970516</v>
      </c>
      <c r="C27">
        <v>4.2452860680011736E-2</v>
      </c>
      <c r="D27" s="2">
        <v>3.9312478062478</v>
      </c>
      <c r="E27" s="2">
        <f t="shared" si="1"/>
        <v>4.2452860680011736E-2</v>
      </c>
      <c r="H27">
        <v>3.5970515970515899</v>
      </c>
    </row>
    <row r="28" spans="1:8" x14ac:dyDescent="0.25">
      <c r="A28" t="s">
        <v>4</v>
      </c>
      <c r="B28">
        <f t="shared" si="0"/>
        <v>244.009828009828</v>
      </c>
      <c r="C28">
        <v>2.6493118688031284E-2</v>
      </c>
      <c r="D28" s="2">
        <v>2.5029835029835001</v>
      </c>
      <c r="E28" s="2">
        <f t="shared" si="1"/>
        <v>2.6493118688031284E-2</v>
      </c>
      <c r="H28">
        <v>4.0098280098280004</v>
      </c>
    </row>
    <row r="29" spans="1:8" x14ac:dyDescent="0.25">
      <c r="A29" t="s">
        <v>4</v>
      </c>
      <c r="B29">
        <f t="shared" si="0"/>
        <v>244.18673218673217</v>
      </c>
      <c r="C29">
        <v>3.4834503972666013E-2</v>
      </c>
      <c r="D29" s="2">
        <v>3.2709722709722699</v>
      </c>
      <c r="E29" s="2">
        <f t="shared" si="1"/>
        <v>3.4834503972666013E-2</v>
      </c>
      <c r="H29">
        <v>4.1867321867321801</v>
      </c>
    </row>
    <row r="30" spans="1:8" x14ac:dyDescent="0.25">
      <c r="A30" t="s">
        <v>4</v>
      </c>
      <c r="B30">
        <f t="shared" si="0"/>
        <v>244.51105651105652</v>
      </c>
      <c r="C30">
        <v>2.7813879307351075E-2</v>
      </c>
      <c r="D30" s="2">
        <v>2.6283564408564399</v>
      </c>
      <c r="E30" s="2">
        <f t="shared" si="1"/>
        <v>2.7813879307351075E-2</v>
      </c>
      <c r="H30">
        <v>4.51105651105651</v>
      </c>
    </row>
    <row r="31" spans="1:8" x14ac:dyDescent="0.25">
      <c r="A31" t="s">
        <v>4</v>
      </c>
      <c r="B31">
        <f t="shared" si="0"/>
        <v>244.77641277641277</v>
      </c>
      <c r="C31">
        <v>3.0304760864277688E-2</v>
      </c>
      <c r="D31" s="2">
        <v>2.8606967356967301</v>
      </c>
      <c r="E31" s="2">
        <f t="shared" si="1"/>
        <v>3.0304760864277688E-2</v>
      </c>
      <c r="H31">
        <v>4.7764127764127702</v>
      </c>
    </row>
    <row r="32" spans="1:8" x14ac:dyDescent="0.25">
      <c r="A32" t="s">
        <v>4</v>
      </c>
      <c r="B32">
        <f t="shared" si="0"/>
        <v>245.18918918918919</v>
      </c>
      <c r="C32">
        <v>2.7441277741198297E-2</v>
      </c>
      <c r="D32" s="2">
        <v>2.5931467181467101</v>
      </c>
      <c r="E32" s="2">
        <f t="shared" si="1"/>
        <v>2.7441277741198297E-2</v>
      </c>
      <c r="H32">
        <v>5.1891891891891797</v>
      </c>
    </row>
    <row r="33" spans="1:8" x14ac:dyDescent="0.25">
      <c r="A33" t="s">
        <v>4</v>
      </c>
      <c r="B33">
        <f t="shared" si="0"/>
        <v>245.57248157248156</v>
      </c>
      <c r="C33">
        <v>2.8011733754469813E-2</v>
      </c>
      <c r="D33" s="2">
        <v>2.6470033345033301</v>
      </c>
      <c r="E33" s="2">
        <f t="shared" si="1"/>
        <v>2.8011733754469813E-2</v>
      </c>
      <c r="H33">
        <v>5.5724815724815704</v>
      </c>
    </row>
    <row r="34" spans="1:8" x14ac:dyDescent="0.25">
      <c r="A34" t="s">
        <v>4</v>
      </c>
      <c r="B34">
        <f t="shared" si="0"/>
        <v>245.98525798525799</v>
      </c>
      <c r="C34">
        <v>2.7447535019665351E-2</v>
      </c>
      <c r="D34" s="2">
        <v>2.5937390312390298</v>
      </c>
      <c r="E34" s="2">
        <f t="shared" si="1"/>
        <v>2.7447535019665351E-2</v>
      </c>
      <c r="H34">
        <v>5.9852579852579799</v>
      </c>
    </row>
    <row r="35" spans="1:8" x14ac:dyDescent="0.25">
      <c r="A35" t="s">
        <v>4</v>
      </c>
      <c r="B35">
        <f t="shared" si="0"/>
        <v>246.30958230958231</v>
      </c>
      <c r="C35">
        <v>3.0317126343776767E-2</v>
      </c>
      <c r="D35" s="2">
        <v>2.8618374868374801</v>
      </c>
      <c r="E35" s="2">
        <f t="shared" si="1"/>
        <v>3.0317126343776767E-2</v>
      </c>
      <c r="H35">
        <v>6.3095823095823</v>
      </c>
    </row>
    <row r="36" spans="1:8" x14ac:dyDescent="0.25">
      <c r="A36" t="s">
        <v>4</v>
      </c>
      <c r="B36">
        <f t="shared" si="0"/>
        <v>246.69287469287468</v>
      </c>
      <c r="C36">
        <v>2.5213697187762108E-2</v>
      </c>
      <c r="D36" s="2">
        <v>2.3799798174798101</v>
      </c>
      <c r="E36" s="2">
        <f t="shared" si="1"/>
        <v>2.5213697187762108E-2</v>
      </c>
      <c r="H36">
        <v>6.6928746928746898</v>
      </c>
    </row>
    <row r="37" spans="1:8" x14ac:dyDescent="0.25">
      <c r="A37" t="s">
        <v>4</v>
      </c>
      <c r="B37">
        <f t="shared" si="0"/>
        <v>247.13513513513513</v>
      </c>
      <c r="C37">
        <v>2.6517463546371668E-2</v>
      </c>
      <c r="D37" s="2">
        <v>2.5053088803088799</v>
      </c>
      <c r="E37" s="2">
        <f t="shared" si="1"/>
        <v>2.6517463546371668E-2</v>
      </c>
      <c r="H37">
        <v>7.1351351351351298</v>
      </c>
    </row>
    <row r="38" spans="1:8" x14ac:dyDescent="0.25">
      <c r="A38" t="s">
        <v>4</v>
      </c>
      <c r="B38">
        <f t="shared" si="0"/>
        <v>247.54791154791155</v>
      </c>
      <c r="C38">
        <v>2.6520679338374854E-2</v>
      </c>
      <c r="D38" s="2">
        <v>2.505616005616</v>
      </c>
      <c r="E38" s="2">
        <f t="shared" si="1"/>
        <v>2.6520679338374854E-2</v>
      </c>
      <c r="H38">
        <v>7.5479115479115402</v>
      </c>
    </row>
    <row r="39" spans="1:8" x14ac:dyDescent="0.25">
      <c r="A39" t="s">
        <v>4</v>
      </c>
      <c r="B39">
        <f t="shared" si="0"/>
        <v>248.07862407862407</v>
      </c>
      <c r="C39">
        <v>3.2283265248065594E-2</v>
      </c>
      <c r="D39" s="2">
        <v>3.0417251667251599</v>
      </c>
      <c r="E39" s="2">
        <f t="shared" si="1"/>
        <v>3.2283265248065594E-2</v>
      </c>
      <c r="H39">
        <v>8.0786240786240704</v>
      </c>
    </row>
    <row r="40" spans="1:8" x14ac:dyDescent="0.25">
      <c r="A40" t="s">
        <v>4</v>
      </c>
      <c r="B40">
        <f t="shared" si="0"/>
        <v>248.3144963144963</v>
      </c>
      <c r="C40">
        <v>2.6901312094608169E-2</v>
      </c>
      <c r="D40" s="2">
        <v>2.5419006669006601</v>
      </c>
      <c r="E40" s="2">
        <f t="shared" si="1"/>
        <v>2.6901312094608169E-2</v>
      </c>
      <c r="H40">
        <v>8.31449631449631</v>
      </c>
    </row>
    <row r="41" spans="1:8" x14ac:dyDescent="0.25">
      <c r="A41" t="s">
        <v>4</v>
      </c>
      <c r="B41">
        <f t="shared" si="0"/>
        <v>248.57985257985257</v>
      </c>
      <c r="C41">
        <v>3.1502817653315272E-2</v>
      </c>
      <c r="D41" s="2">
        <v>2.9706695331695299</v>
      </c>
      <c r="E41" s="2">
        <f t="shared" si="1"/>
        <v>3.1502817653315272E-2</v>
      </c>
      <c r="H41">
        <v>8.5798525798525702</v>
      </c>
    </row>
    <row r="42" spans="1:8" x14ac:dyDescent="0.25">
      <c r="A42" t="s">
        <v>4</v>
      </c>
      <c r="B42">
        <f t="shared" si="0"/>
        <v>249.05159705159704</v>
      </c>
      <c r="C42">
        <v>2.4679680339252167E-2</v>
      </c>
      <c r="D42" s="2">
        <v>2.3281633906633901</v>
      </c>
      <c r="E42" s="2">
        <f t="shared" si="1"/>
        <v>2.4679680339252167E-2</v>
      </c>
      <c r="H42">
        <v>9.0515970515970494</v>
      </c>
    </row>
    <row r="43" spans="1:8" x14ac:dyDescent="0.25">
      <c r="A43" t="s">
        <v>4</v>
      </c>
      <c r="B43">
        <f t="shared" si="0"/>
        <v>250.05405405405401</v>
      </c>
      <c r="C43">
        <v>2.9960718982293237E-2</v>
      </c>
      <c r="D43" s="2">
        <v>2.8289092664092599</v>
      </c>
      <c r="E43" s="2">
        <f t="shared" si="1"/>
        <v>2.9960718982293237E-2</v>
      </c>
      <c r="H43">
        <v>10.054054054053999</v>
      </c>
    </row>
    <row r="44" spans="1:8" x14ac:dyDescent="0.25">
      <c r="A44" t="s">
        <v>4</v>
      </c>
      <c r="B44">
        <f t="shared" si="0"/>
        <v>250.40786240786241</v>
      </c>
      <c r="C44">
        <v>3.6096411099000116E-2</v>
      </c>
      <c r="D44" s="2">
        <v>3.3827439452439401</v>
      </c>
      <c r="E44" s="2">
        <f t="shared" si="1"/>
        <v>3.6096411099000116E-2</v>
      </c>
      <c r="H44">
        <v>10.4078624078624</v>
      </c>
    </row>
    <row r="45" spans="1:8" x14ac:dyDescent="0.25">
      <c r="A45" t="s">
        <v>4</v>
      </c>
      <c r="B45">
        <f t="shared" si="0"/>
        <v>250.70270270270271</v>
      </c>
      <c r="C45">
        <v>3.6098899269239711E-2</v>
      </c>
      <c r="D45" s="2">
        <v>3.38296332046332</v>
      </c>
      <c r="E45" s="2">
        <f t="shared" si="1"/>
        <v>3.6098899269239711E-2</v>
      </c>
      <c r="H45">
        <v>10.7027027027027</v>
      </c>
    </row>
    <row r="46" spans="1:8" x14ac:dyDescent="0.25">
      <c r="A46" t="s">
        <v>4</v>
      </c>
      <c r="B46">
        <f t="shared" si="0"/>
        <v>250.90909090909091</v>
      </c>
      <c r="C46">
        <v>3.3294306129645804E-2</v>
      </c>
      <c r="D46" s="2">
        <v>3.1331168831168799</v>
      </c>
      <c r="E46" s="2">
        <f t="shared" si="1"/>
        <v>3.3294306129645804E-2</v>
      </c>
      <c r="H46">
        <v>10.909090909090899</v>
      </c>
    </row>
    <row r="47" spans="1:8" x14ac:dyDescent="0.25">
      <c r="A47" t="s">
        <v>4</v>
      </c>
      <c r="B47">
        <f t="shared" si="0"/>
        <v>251.6461916461916</v>
      </c>
      <c r="C47">
        <v>4.4864627878387825E-2</v>
      </c>
      <c r="D47" s="2">
        <v>4.1336653211653198</v>
      </c>
      <c r="E47" s="2">
        <f t="shared" si="1"/>
        <v>4.4864627878387825E-2</v>
      </c>
      <c r="H47">
        <v>11.6461916461916</v>
      </c>
    </row>
    <row r="48" spans="1:8" x14ac:dyDescent="0.25">
      <c r="A48" t="s">
        <v>4</v>
      </c>
      <c r="B48">
        <f t="shared" si="0"/>
        <v>251.88206388206379</v>
      </c>
      <c r="C48">
        <v>3.1725434496101303E-2</v>
      </c>
      <c r="D48" s="2">
        <v>2.9909836784836701</v>
      </c>
      <c r="E48" s="2">
        <f t="shared" si="1"/>
        <v>3.1725434496101303E-2</v>
      </c>
      <c r="H48">
        <v>11.8820638820638</v>
      </c>
    </row>
    <row r="49" spans="1:8" x14ac:dyDescent="0.25">
      <c r="A49" t="s">
        <v>4</v>
      </c>
      <c r="B49">
        <f t="shared" si="0"/>
        <v>252.14742014742009</v>
      </c>
      <c r="C49">
        <v>6.0951075701673012E-2</v>
      </c>
      <c r="D49" s="2">
        <v>5.4197525447525399</v>
      </c>
      <c r="E49" s="2">
        <f t="shared" si="1"/>
        <v>6.0951075701673012E-2</v>
      </c>
      <c r="H49">
        <v>12.1474201474201</v>
      </c>
    </row>
    <row r="50" spans="1:8" x14ac:dyDescent="0.25">
      <c r="A50" t="s">
        <v>4</v>
      </c>
      <c r="B50">
        <f t="shared" si="0"/>
        <v>252.35380835380829</v>
      </c>
      <c r="C50">
        <v>6.2816371167545487E-2</v>
      </c>
      <c r="D50" s="2">
        <v>5.5627632502632496</v>
      </c>
      <c r="E50" s="2">
        <f t="shared" si="1"/>
        <v>6.2816371167545487E-2</v>
      </c>
      <c r="H50">
        <v>12.353808353808301</v>
      </c>
    </row>
    <row r="51" spans="1:8" x14ac:dyDescent="0.25">
      <c r="A51" t="s">
        <v>4</v>
      </c>
      <c r="B51">
        <f t="shared" si="0"/>
        <v>252.85503685503681</v>
      </c>
      <c r="C51">
        <v>4.6598220135521874E-2</v>
      </c>
      <c r="D51" s="2">
        <v>4.2774219024219002</v>
      </c>
      <c r="E51" s="2">
        <f t="shared" si="1"/>
        <v>4.6598220135521874E-2</v>
      </c>
      <c r="H51">
        <v>12.855036855036801</v>
      </c>
    </row>
    <row r="52" spans="1:8" x14ac:dyDescent="0.25">
      <c r="A52" t="s">
        <v>4</v>
      </c>
      <c r="B52">
        <f t="shared" si="0"/>
        <v>253.14987714987711</v>
      </c>
      <c r="C52">
        <v>6.873928626264432E-2</v>
      </c>
      <c r="D52" s="2">
        <v>6.0097841347841303</v>
      </c>
      <c r="E52" s="2">
        <f t="shared" si="1"/>
        <v>6.873928626264432E-2</v>
      </c>
      <c r="H52">
        <v>13.149877149877099</v>
      </c>
    </row>
    <row r="53" spans="1:8" x14ac:dyDescent="0.25">
      <c r="A53" t="s">
        <v>4</v>
      </c>
      <c r="B53">
        <f t="shared" si="0"/>
        <v>253.65110565110561</v>
      </c>
      <c r="C53">
        <v>5.7054809313109224E-2</v>
      </c>
      <c r="D53" s="2">
        <v>5.1172999297999304</v>
      </c>
      <c r="E53" s="2">
        <f t="shared" si="1"/>
        <v>5.7054809313109224E-2</v>
      </c>
      <c r="H53">
        <v>13.651105651105601</v>
      </c>
    </row>
    <row r="54" spans="1:8" x14ac:dyDescent="0.25">
      <c r="A54" t="s">
        <v>4</v>
      </c>
      <c r="B54">
        <f t="shared" si="0"/>
        <v>253.9754299754299</v>
      </c>
      <c r="C54">
        <v>3.3518177252272664E-2</v>
      </c>
      <c r="D54" s="2">
        <v>3.1532555282555199</v>
      </c>
      <c r="E54" s="2">
        <f t="shared" si="1"/>
        <v>3.3518177252272664E-2</v>
      </c>
      <c r="H54">
        <v>13.975429975429901</v>
      </c>
    </row>
    <row r="55" spans="1:8" x14ac:dyDescent="0.25">
      <c r="A55" t="s">
        <v>4</v>
      </c>
      <c r="B55">
        <f t="shared" si="0"/>
        <v>254.29975429975431</v>
      </c>
      <c r="C55">
        <v>4.2547086662722479E-2</v>
      </c>
      <c r="D55" s="2">
        <v>3.9392111267111201</v>
      </c>
      <c r="E55" s="2">
        <f t="shared" si="1"/>
        <v>4.2547086662722479E-2</v>
      </c>
      <c r="H55">
        <v>14.2997542997543</v>
      </c>
    </row>
    <row r="56" spans="1:8" x14ac:dyDescent="0.25">
      <c r="A56" t="s">
        <v>4</v>
      </c>
      <c r="B56">
        <f t="shared" si="0"/>
        <v>255.39066339066329</v>
      </c>
      <c r="C56">
        <v>6.6616132649675502E-2</v>
      </c>
      <c r="D56" s="2">
        <v>5.8507371007371001</v>
      </c>
      <c r="E56" s="2">
        <f t="shared" si="1"/>
        <v>6.6616132649675502E-2</v>
      </c>
      <c r="H56">
        <v>15.390663390663301</v>
      </c>
    </row>
    <row r="57" spans="1:8" x14ac:dyDescent="0.25">
      <c r="A57" t="s">
        <v>4</v>
      </c>
      <c r="B57">
        <f t="shared" si="0"/>
        <v>255.59705159705149</v>
      </c>
      <c r="C57">
        <v>6.1914379642907483E-2</v>
      </c>
      <c r="D57" s="2">
        <v>5.4937478062478</v>
      </c>
      <c r="E57" s="2">
        <f t="shared" si="1"/>
        <v>6.1914379642907483E-2</v>
      </c>
      <c r="H57">
        <v>15.5970515970515</v>
      </c>
    </row>
    <row r="58" spans="1:8" x14ac:dyDescent="0.25">
      <c r="A58" t="s">
        <v>4</v>
      </c>
      <c r="B58">
        <f t="shared" si="0"/>
        <v>255.77395577395569</v>
      </c>
      <c r="C58">
        <v>8.0996797391035186E-2</v>
      </c>
      <c r="D58" s="2">
        <v>6.9045937170937099</v>
      </c>
      <c r="E58" s="2">
        <f t="shared" si="1"/>
        <v>8.0996797391035186E-2</v>
      </c>
      <c r="H58">
        <v>15.7739557739557</v>
      </c>
    </row>
    <row r="59" spans="1:8" x14ac:dyDescent="0.25">
      <c r="A59" t="s">
        <v>4</v>
      </c>
      <c r="B59">
        <f t="shared" si="0"/>
        <v>256.09828009827999</v>
      </c>
      <c r="C59">
        <v>8.3759440964012943E-2</v>
      </c>
      <c r="D59" s="2">
        <v>7.1012636012636001</v>
      </c>
      <c r="E59" s="2">
        <f t="shared" si="1"/>
        <v>8.3759440964012943E-2</v>
      </c>
      <c r="H59">
        <v>16.09828009828</v>
      </c>
    </row>
    <row r="60" spans="1:8" x14ac:dyDescent="0.25">
      <c r="A60" t="s">
        <v>4</v>
      </c>
      <c r="B60">
        <f t="shared" si="0"/>
        <v>256.42260442260442</v>
      </c>
      <c r="C60">
        <v>7.3115332465597413E-2</v>
      </c>
      <c r="D60" s="2">
        <v>6.3336477711477697</v>
      </c>
      <c r="E60" s="2">
        <f t="shared" si="1"/>
        <v>7.3115332465597413E-2</v>
      </c>
      <c r="H60">
        <v>16.422604422604401</v>
      </c>
    </row>
    <row r="61" spans="1:8" x14ac:dyDescent="0.25">
      <c r="A61" t="s">
        <v>4</v>
      </c>
      <c r="B61">
        <f t="shared" si="0"/>
        <v>256.59950859950862</v>
      </c>
      <c r="C61">
        <v>7.6296430379251004E-2</v>
      </c>
      <c r="D61" s="2">
        <v>6.5659222534222499</v>
      </c>
      <c r="E61" s="2">
        <f t="shared" si="1"/>
        <v>7.6296430379251004E-2</v>
      </c>
      <c r="H61">
        <v>16.599508599508599</v>
      </c>
    </row>
    <row r="62" spans="1:8" x14ac:dyDescent="0.25">
      <c r="A62" t="s">
        <v>4</v>
      </c>
      <c r="B62">
        <f t="shared" si="0"/>
        <v>257.13022113022112</v>
      </c>
      <c r="C62">
        <v>5.3244795565978748E-2</v>
      </c>
      <c r="D62" s="2">
        <v>4.81631712881713</v>
      </c>
      <c r="E62" s="2">
        <f t="shared" si="1"/>
        <v>5.3244795565978748E-2</v>
      </c>
      <c r="H62">
        <v>17.130221130221098</v>
      </c>
    </row>
    <row r="63" spans="1:8" x14ac:dyDescent="0.25">
      <c r="A63" t="s">
        <v>4</v>
      </c>
      <c r="B63">
        <f t="shared" si="0"/>
        <v>257.36609336609331</v>
      </c>
      <c r="C63">
        <v>5.7090113778926893E-2</v>
      </c>
      <c r="D63" s="2">
        <v>5.1200640575640497</v>
      </c>
      <c r="E63" s="2">
        <f t="shared" si="1"/>
        <v>5.7090113778926893E-2</v>
      </c>
      <c r="H63">
        <v>17.366093366093299</v>
      </c>
    </row>
    <row r="64" spans="1:8" x14ac:dyDescent="0.25">
      <c r="A64" t="s">
        <v>4</v>
      </c>
      <c r="B64">
        <f t="shared" si="0"/>
        <v>257.69041769041758</v>
      </c>
      <c r="C64">
        <v>8.5291331210771426E-2</v>
      </c>
      <c r="D64" s="2">
        <v>7.2095910845910796</v>
      </c>
      <c r="E64" s="2">
        <f t="shared" si="1"/>
        <v>8.5291331210771426E-2</v>
      </c>
      <c r="H64">
        <v>17.6904176904176</v>
      </c>
    </row>
    <row r="65" spans="1:8" x14ac:dyDescent="0.25">
      <c r="A65" t="s">
        <v>4</v>
      </c>
      <c r="B65">
        <f t="shared" si="0"/>
        <v>258.01474201474201</v>
      </c>
      <c r="C65">
        <v>7.6556952831794839E-2</v>
      </c>
      <c r="D65" s="2">
        <v>6.5848323973323897</v>
      </c>
      <c r="E65" s="2">
        <f t="shared" si="1"/>
        <v>7.6556952831794839E-2</v>
      </c>
      <c r="H65">
        <v>18.014742014742001</v>
      </c>
    </row>
    <row r="66" spans="1:8" x14ac:dyDescent="0.25">
      <c r="A66" t="s">
        <v>4</v>
      </c>
      <c r="B66">
        <f t="shared" si="0"/>
        <v>258.22113022113018</v>
      </c>
      <c r="C66">
        <v>6.0546139241172352E-2</v>
      </c>
      <c r="D66" s="2">
        <v>5.3885573885573903</v>
      </c>
      <c r="E66" s="2">
        <f t="shared" si="1"/>
        <v>6.0546139241172352E-2</v>
      </c>
      <c r="H66">
        <v>18.221130221130199</v>
      </c>
    </row>
    <row r="67" spans="1:8" x14ac:dyDescent="0.25">
      <c r="A67" t="s">
        <v>4</v>
      </c>
      <c r="B67">
        <f t="shared" ref="B67:B130" si="2">10*24+H67</f>
        <v>258.4864864864864</v>
      </c>
      <c r="C67">
        <v>5.9163242133251977E-2</v>
      </c>
      <c r="D67" s="2">
        <v>5.2816119691119701</v>
      </c>
      <c r="E67" s="2">
        <f t="shared" ref="E67:E130" si="3">(( D67 + 0.9137 )/50.31)^1.35</f>
        <v>5.9163242133251977E-2</v>
      </c>
      <c r="H67">
        <v>18.486486486486399</v>
      </c>
    </row>
    <row r="68" spans="1:8" x14ac:dyDescent="0.25">
      <c r="A68" t="s">
        <v>4</v>
      </c>
      <c r="B68">
        <f t="shared" si="2"/>
        <v>258.6633906633906</v>
      </c>
      <c r="C68">
        <v>6.2877849931596855E-2</v>
      </c>
      <c r="D68" s="2">
        <v>5.56745787995788</v>
      </c>
      <c r="E68" s="2">
        <f t="shared" si="3"/>
        <v>6.2877849931596855E-2</v>
      </c>
      <c r="H68">
        <v>18.663390663390601</v>
      </c>
    </row>
    <row r="69" spans="1:8" x14ac:dyDescent="0.25">
      <c r="A69" t="s">
        <v>4</v>
      </c>
      <c r="B69">
        <f t="shared" si="2"/>
        <v>258.9582309582309</v>
      </c>
      <c r="C69">
        <v>5.0591252097601201E-2</v>
      </c>
      <c r="D69" s="2">
        <v>4.6033915408915398</v>
      </c>
      <c r="E69" s="2">
        <f t="shared" si="3"/>
        <v>5.0591252097601201E-2</v>
      </c>
      <c r="H69">
        <v>18.958230958230899</v>
      </c>
    </row>
    <row r="70" spans="1:8" x14ac:dyDescent="0.25">
      <c r="A70" t="s">
        <v>4</v>
      </c>
      <c r="B70">
        <f t="shared" si="2"/>
        <v>259.19410319410309</v>
      </c>
      <c r="C70">
        <v>5.5290171888997569E-2</v>
      </c>
      <c r="D70" s="2">
        <v>4.9785670410670404</v>
      </c>
      <c r="E70" s="2">
        <f t="shared" si="3"/>
        <v>5.5290171888997569E-2</v>
      </c>
      <c r="H70">
        <v>19.1941031941031</v>
      </c>
    </row>
    <row r="71" spans="1:8" x14ac:dyDescent="0.25">
      <c r="A71" t="s">
        <v>4</v>
      </c>
      <c r="B71">
        <f t="shared" si="2"/>
        <v>260.16707616707612</v>
      </c>
      <c r="C71">
        <v>3.8631618791337898E-2</v>
      </c>
      <c r="D71" s="2">
        <v>3.6042909792909699</v>
      </c>
      <c r="E71" s="2">
        <f t="shared" si="3"/>
        <v>3.8631618791337898E-2</v>
      </c>
      <c r="H71">
        <v>20.1670761670761</v>
      </c>
    </row>
    <row r="72" spans="1:8" x14ac:dyDescent="0.25">
      <c r="A72" t="s">
        <v>4</v>
      </c>
      <c r="B72">
        <f t="shared" si="2"/>
        <v>260.34398034398032</v>
      </c>
      <c r="C72">
        <v>5.7803855379589687E-2</v>
      </c>
      <c r="D72" s="2">
        <v>5.1758511758511698</v>
      </c>
      <c r="E72" s="2">
        <f t="shared" si="3"/>
        <v>5.7803855379589687E-2</v>
      </c>
      <c r="H72">
        <v>20.343980343980299</v>
      </c>
    </row>
    <row r="73" spans="1:8" x14ac:dyDescent="0.25">
      <c r="A73" t="s">
        <v>4</v>
      </c>
      <c r="B73">
        <f t="shared" si="2"/>
        <v>260.60933660933659</v>
      </c>
      <c r="C73">
        <v>5.575643839144994E-2</v>
      </c>
      <c r="D73" s="2">
        <v>5.0153343278343199</v>
      </c>
      <c r="E73" s="2">
        <f t="shared" si="3"/>
        <v>5.575643839144994E-2</v>
      </c>
      <c r="H73">
        <v>20.609336609336601</v>
      </c>
    </row>
    <row r="74" spans="1:8" x14ac:dyDescent="0.25">
      <c r="A74" t="s">
        <v>4</v>
      </c>
      <c r="B74">
        <f t="shared" si="2"/>
        <v>260.93366093366092</v>
      </c>
      <c r="C74">
        <v>5.6213391251321604E-2</v>
      </c>
      <c r="D74" s="2">
        <v>5.05128992628992</v>
      </c>
      <c r="E74" s="2">
        <f t="shared" si="3"/>
        <v>5.6213391251321604E-2</v>
      </c>
      <c r="H74">
        <v>20.933660933660899</v>
      </c>
    </row>
    <row r="75" spans="1:8" x14ac:dyDescent="0.25">
      <c r="A75" t="s">
        <v>4</v>
      </c>
      <c r="B75">
        <f t="shared" si="2"/>
        <v>261.19901719901719</v>
      </c>
      <c r="C75">
        <v>4.1764304906536813E-2</v>
      </c>
      <c r="D75" s="2">
        <v>3.8729159354159299</v>
      </c>
      <c r="E75" s="2">
        <f t="shared" si="3"/>
        <v>4.1764304906536813E-2</v>
      </c>
      <c r="H75">
        <v>21.199017199017199</v>
      </c>
    </row>
    <row r="76" spans="1:8" x14ac:dyDescent="0.25">
      <c r="A76" t="s">
        <v>4</v>
      </c>
      <c r="B76">
        <f t="shared" si="2"/>
        <v>261.40540540540542</v>
      </c>
      <c r="C76">
        <v>5.3060771812473498E-2</v>
      </c>
      <c r="D76" s="2">
        <v>4.8016409266409203</v>
      </c>
      <c r="E76" s="2">
        <f t="shared" si="3"/>
        <v>5.3060771812473498E-2</v>
      </c>
      <c r="H76">
        <v>21.4054054054054</v>
      </c>
    </row>
    <row r="77" spans="1:8" x14ac:dyDescent="0.25">
      <c r="A77" t="s">
        <v>4</v>
      </c>
      <c r="B77">
        <f t="shared" si="2"/>
        <v>261.64127764127761</v>
      </c>
      <c r="C77">
        <v>4.3885256655382066E-2</v>
      </c>
      <c r="D77" s="2">
        <v>4.0518164268164201</v>
      </c>
      <c r="E77" s="2">
        <f t="shared" si="3"/>
        <v>4.3885256655382066E-2</v>
      </c>
      <c r="H77">
        <v>21.6412776412776</v>
      </c>
    </row>
    <row r="78" spans="1:8" x14ac:dyDescent="0.25">
      <c r="A78" t="s">
        <v>4</v>
      </c>
      <c r="B78">
        <f t="shared" si="2"/>
        <v>261.84766584766578</v>
      </c>
      <c r="C78">
        <v>5.1504227626595948E-2</v>
      </c>
      <c r="D78" s="2">
        <v>4.6769699894699901</v>
      </c>
      <c r="E78" s="2">
        <f t="shared" si="3"/>
        <v>5.1504227626595948E-2</v>
      </c>
      <c r="H78">
        <v>21.847665847665802</v>
      </c>
    </row>
    <row r="79" spans="1:8" x14ac:dyDescent="0.25">
      <c r="A79" t="s">
        <v>4</v>
      </c>
      <c r="B79">
        <f t="shared" si="2"/>
        <v>262.40786240786241</v>
      </c>
      <c r="C79">
        <v>3.2795298930781897E-2</v>
      </c>
      <c r="D79" s="2">
        <v>3.0881010881010802</v>
      </c>
      <c r="E79" s="2">
        <f t="shared" si="3"/>
        <v>3.2795298930781897E-2</v>
      </c>
      <c r="H79">
        <v>22.4078624078624</v>
      </c>
    </row>
    <row r="80" spans="1:8" x14ac:dyDescent="0.25">
      <c r="A80" t="s">
        <v>4</v>
      </c>
      <c r="B80">
        <f t="shared" si="2"/>
        <v>263.02702702702697</v>
      </c>
      <c r="C80">
        <v>4.6906598973949797E-2</v>
      </c>
      <c r="D80" s="2">
        <v>4.3028474903474896</v>
      </c>
      <c r="E80" s="2">
        <f t="shared" si="3"/>
        <v>4.6906598973949797E-2</v>
      </c>
      <c r="H80">
        <v>23.027027027027</v>
      </c>
    </row>
    <row r="81" spans="1:8" x14ac:dyDescent="0.25">
      <c r="A81" t="s">
        <v>4</v>
      </c>
      <c r="B81">
        <f t="shared" si="2"/>
        <v>263.76412776412769</v>
      </c>
      <c r="C81">
        <v>3.2215119964658326E-2</v>
      </c>
      <c r="D81" s="2">
        <v>3.0355387855387801</v>
      </c>
      <c r="E81" s="2">
        <f t="shared" si="3"/>
        <v>3.2215119964658326E-2</v>
      </c>
      <c r="H81">
        <v>23.7641277641277</v>
      </c>
    </row>
    <row r="82" spans="1:8" x14ac:dyDescent="0.25">
      <c r="A82" t="s">
        <v>4</v>
      </c>
      <c r="B82">
        <f t="shared" si="2"/>
        <v>263.94103194103189</v>
      </c>
      <c r="C82">
        <v>3.2020073775450263E-2</v>
      </c>
      <c r="D82" s="2">
        <v>3.0178132678132599</v>
      </c>
      <c r="E82" s="2">
        <f t="shared" si="3"/>
        <v>3.2020073775450263E-2</v>
      </c>
      <c r="H82">
        <v>23.941031941031898</v>
      </c>
    </row>
    <row r="83" spans="1:8" x14ac:dyDescent="0.25">
      <c r="A83" t="s">
        <v>3</v>
      </c>
      <c r="B83">
        <f t="shared" si="2"/>
        <v>240</v>
      </c>
      <c r="C83">
        <v>5.3982262085309415E-2</v>
      </c>
      <c r="D83" s="2">
        <v>4.875</v>
      </c>
      <c r="E83" s="2">
        <f t="shared" si="3"/>
        <v>5.3982262085309415E-2</v>
      </c>
      <c r="H83">
        <v>0</v>
      </c>
    </row>
    <row r="84" spans="1:8" x14ac:dyDescent="0.25">
      <c r="A84" t="s">
        <v>3</v>
      </c>
      <c r="B84">
        <f t="shared" si="2"/>
        <v>240.32432432432432</v>
      </c>
      <c r="C84">
        <v>5.3985300081511263E-2</v>
      </c>
      <c r="D84" s="2">
        <v>4.8752413127413101</v>
      </c>
      <c r="E84" s="2">
        <f t="shared" si="3"/>
        <v>5.3985300081511263E-2</v>
      </c>
      <c r="H84">
        <v>0.32432432432432401</v>
      </c>
    </row>
    <row r="85" spans="1:8" x14ac:dyDescent="0.25">
      <c r="A85" t="s">
        <v>3</v>
      </c>
      <c r="B85">
        <f t="shared" si="2"/>
        <v>241.23832923832924</v>
      </c>
      <c r="C85">
        <v>3.8675181090018877E-2</v>
      </c>
      <c r="D85" s="2">
        <v>3.6080642330642299</v>
      </c>
      <c r="E85" s="2">
        <f t="shared" si="3"/>
        <v>3.8675181090018877E-2</v>
      </c>
      <c r="H85">
        <v>1.2383292383292299</v>
      </c>
    </row>
    <row r="86" spans="1:8" x14ac:dyDescent="0.25">
      <c r="A86" t="s">
        <v>3</v>
      </c>
      <c r="B86">
        <f t="shared" si="2"/>
        <v>241.41523341523342</v>
      </c>
      <c r="C86">
        <v>4.0335305705390657E-2</v>
      </c>
      <c r="D86" s="2">
        <v>3.7510530010530001</v>
      </c>
      <c r="E86" s="2">
        <f t="shared" si="3"/>
        <v>4.0335305705390657E-2</v>
      </c>
      <c r="H86">
        <v>1.4152334152334101</v>
      </c>
    </row>
    <row r="87" spans="1:8" x14ac:dyDescent="0.25">
      <c r="A87" t="s">
        <v>3</v>
      </c>
      <c r="B87">
        <f t="shared" si="2"/>
        <v>241.82800982800981</v>
      </c>
      <c r="C87">
        <v>3.7243884012216032E-2</v>
      </c>
      <c r="D87" s="2">
        <v>3.48350298350298</v>
      </c>
      <c r="E87" s="2">
        <f t="shared" si="3"/>
        <v>3.7243884012216032E-2</v>
      </c>
      <c r="H87">
        <v>1.82800982800982</v>
      </c>
    </row>
    <row r="88" spans="1:8" x14ac:dyDescent="0.25">
      <c r="A88" t="s">
        <v>3</v>
      </c>
      <c r="B88">
        <f t="shared" si="2"/>
        <v>242.29975429975428</v>
      </c>
      <c r="C88">
        <v>3.6433463911134591E-2</v>
      </c>
      <c r="D88" s="2">
        <v>3.4124254124254101</v>
      </c>
      <c r="E88" s="2">
        <f t="shared" si="3"/>
        <v>3.6433463911134591E-2</v>
      </c>
      <c r="H88">
        <v>2.2997542997542899</v>
      </c>
    </row>
    <row r="89" spans="1:8" x14ac:dyDescent="0.25">
      <c r="A89" t="s">
        <v>3</v>
      </c>
      <c r="B89">
        <f t="shared" si="2"/>
        <v>242.47665847665846</v>
      </c>
      <c r="C89">
        <v>3.8273979365927732E-2</v>
      </c>
      <c r="D89" s="2">
        <v>3.57327132327132</v>
      </c>
      <c r="E89" s="2">
        <f t="shared" si="3"/>
        <v>3.8273979365927732E-2</v>
      </c>
      <c r="H89">
        <v>2.4766584766584701</v>
      </c>
    </row>
    <row r="90" spans="1:8" x14ac:dyDescent="0.25">
      <c r="A90" t="s">
        <v>3</v>
      </c>
      <c r="B90">
        <f t="shared" si="2"/>
        <v>242.62407862407861</v>
      </c>
      <c r="C90">
        <v>3.7659625859680579E-2</v>
      </c>
      <c r="D90" s="2">
        <v>3.5198095823095801</v>
      </c>
      <c r="E90" s="2">
        <f t="shared" si="3"/>
        <v>3.7659625859680579E-2</v>
      </c>
      <c r="H90">
        <v>2.6240786240786198</v>
      </c>
    </row>
    <row r="91" spans="1:8" x14ac:dyDescent="0.25">
      <c r="A91" t="s">
        <v>3</v>
      </c>
      <c r="B91">
        <f t="shared" si="2"/>
        <v>242.97788697788698</v>
      </c>
      <c r="C91">
        <v>3.3427167458590472E-2</v>
      </c>
      <c r="D91" s="2">
        <v>3.1450728325728301</v>
      </c>
      <c r="E91" s="2">
        <f t="shared" si="3"/>
        <v>3.3427167458590472E-2</v>
      </c>
      <c r="H91">
        <v>2.9778869778869699</v>
      </c>
    </row>
    <row r="92" spans="1:8" x14ac:dyDescent="0.25">
      <c r="A92" t="s">
        <v>3</v>
      </c>
      <c r="B92">
        <f t="shared" si="2"/>
        <v>243.47911547911548</v>
      </c>
      <c r="C92">
        <v>3.9314366011542472E-2</v>
      </c>
      <c r="D92" s="2">
        <v>3.66330291330291</v>
      </c>
      <c r="E92" s="2">
        <f t="shared" si="3"/>
        <v>3.9314366011542472E-2</v>
      </c>
      <c r="H92">
        <v>3.4791154791154701</v>
      </c>
    </row>
    <row r="93" spans="1:8" x14ac:dyDescent="0.25">
      <c r="A93" t="s">
        <v>3</v>
      </c>
      <c r="B93">
        <f t="shared" si="2"/>
        <v>243.68550368550368</v>
      </c>
      <c r="C93">
        <v>4.5222483808989591E-2</v>
      </c>
      <c r="D93" s="2">
        <v>4.1634564759564698</v>
      </c>
      <c r="E93" s="2">
        <f t="shared" si="3"/>
        <v>4.5222483808989591E-2</v>
      </c>
      <c r="H93">
        <v>3.6855036855036798</v>
      </c>
    </row>
    <row r="94" spans="1:8" x14ac:dyDescent="0.25">
      <c r="A94" t="s">
        <v>3</v>
      </c>
      <c r="B94">
        <f t="shared" si="2"/>
        <v>243.98034398034397</v>
      </c>
      <c r="C94">
        <v>4.0775104101769231E-2</v>
      </c>
      <c r="D94" s="2">
        <v>3.7886758511758498</v>
      </c>
      <c r="E94" s="2">
        <f t="shared" si="3"/>
        <v>4.0775104101769231E-2</v>
      </c>
      <c r="H94">
        <v>3.9803439803439802</v>
      </c>
    </row>
    <row r="95" spans="1:8" x14ac:dyDescent="0.25">
      <c r="A95" t="s">
        <v>3</v>
      </c>
      <c r="B95">
        <f t="shared" si="2"/>
        <v>244.27518427518427</v>
      </c>
      <c r="C95">
        <v>4.1406040990621146E-2</v>
      </c>
      <c r="D95" s="2">
        <v>3.8424666549666502</v>
      </c>
      <c r="E95" s="2">
        <f t="shared" si="3"/>
        <v>4.1406040990621146E-2</v>
      </c>
      <c r="H95">
        <v>4.2751842751842704</v>
      </c>
    </row>
    <row r="96" spans="1:8" x14ac:dyDescent="0.25">
      <c r="A96" t="s">
        <v>3</v>
      </c>
      <c r="B96">
        <f t="shared" si="2"/>
        <v>244.65847665847664</v>
      </c>
      <c r="C96">
        <v>3.5643562079758662E-2</v>
      </c>
      <c r="D96" s="2">
        <v>3.3427518427518401</v>
      </c>
      <c r="E96" s="2">
        <f t="shared" si="3"/>
        <v>3.5643562079758662E-2</v>
      </c>
      <c r="H96">
        <v>4.6584766584766504</v>
      </c>
    </row>
    <row r="97" spans="1:8" x14ac:dyDescent="0.25">
      <c r="A97" t="s">
        <v>3</v>
      </c>
      <c r="B97">
        <f t="shared" si="2"/>
        <v>244.92383292383292</v>
      </c>
      <c r="C97">
        <v>2.9726719387762314E-2</v>
      </c>
      <c r="D97" s="2">
        <v>2.8072349947349902</v>
      </c>
      <c r="E97" s="2">
        <f t="shared" si="3"/>
        <v>2.9726719387762314E-2</v>
      </c>
      <c r="H97">
        <v>4.9238329238329204</v>
      </c>
    </row>
    <row r="98" spans="1:8" x14ac:dyDescent="0.25">
      <c r="A98" t="s">
        <v>3</v>
      </c>
      <c r="B98">
        <f t="shared" si="2"/>
        <v>245.24815724815724</v>
      </c>
      <c r="C98">
        <v>3.5446789848488015E-2</v>
      </c>
      <c r="D98" s="2">
        <v>3.3253334503334502</v>
      </c>
      <c r="E98" s="2">
        <f t="shared" si="3"/>
        <v>3.5446789848488015E-2</v>
      </c>
      <c r="H98">
        <v>5.2481572481572396</v>
      </c>
    </row>
    <row r="99" spans="1:8" x14ac:dyDescent="0.25">
      <c r="A99" t="s">
        <v>3</v>
      </c>
      <c r="B99">
        <f t="shared" si="2"/>
        <v>245.71990171990171</v>
      </c>
      <c r="C99">
        <v>3.524931125170918E-2</v>
      </c>
      <c r="D99" s="2">
        <v>3.3078273078273002</v>
      </c>
      <c r="E99" s="2">
        <f t="shared" si="3"/>
        <v>3.524931125170918E-2</v>
      </c>
      <c r="H99">
        <v>5.7199017199017099</v>
      </c>
    </row>
    <row r="100" spans="1:8" x14ac:dyDescent="0.25">
      <c r="A100" t="s">
        <v>3</v>
      </c>
      <c r="B100">
        <f t="shared" si="2"/>
        <v>245.95577395577396</v>
      </c>
      <c r="C100">
        <v>3.8303791804914437E-2</v>
      </c>
      <c r="D100" s="2">
        <v>3.5758599508599498</v>
      </c>
      <c r="E100" s="2">
        <f t="shared" si="3"/>
        <v>3.8303791804914437E-2</v>
      </c>
      <c r="H100">
        <v>5.9557739557739504</v>
      </c>
    </row>
    <row r="101" spans="1:8" x14ac:dyDescent="0.25">
      <c r="A101" t="s">
        <v>3</v>
      </c>
      <c r="B101">
        <f t="shared" si="2"/>
        <v>246.19164619164619</v>
      </c>
      <c r="C101">
        <v>3.7485396221019915E-2</v>
      </c>
      <c r="D101" s="2">
        <v>3.5046068796068801</v>
      </c>
      <c r="E101" s="2">
        <f t="shared" si="3"/>
        <v>3.7485396221019915E-2</v>
      </c>
      <c r="H101">
        <v>6.19164619164619</v>
      </c>
    </row>
    <row r="102" spans="1:8" x14ac:dyDescent="0.25">
      <c r="A102" t="s">
        <v>3</v>
      </c>
      <c r="B102">
        <f t="shared" si="2"/>
        <v>246.72235872235871</v>
      </c>
      <c r="C102">
        <v>3.2469041478445107E-2</v>
      </c>
      <c r="D102" s="2">
        <v>3.0585731835731802</v>
      </c>
      <c r="E102" s="2">
        <f t="shared" si="3"/>
        <v>3.2469041478445107E-2</v>
      </c>
      <c r="H102">
        <v>6.7223587223587202</v>
      </c>
    </row>
    <row r="103" spans="1:8" x14ac:dyDescent="0.25">
      <c r="A103" t="s">
        <v>3</v>
      </c>
      <c r="B103">
        <f t="shared" si="2"/>
        <v>247.16461916461915</v>
      </c>
      <c r="C103">
        <v>4.1431310010998652E-2</v>
      </c>
      <c r="D103" s="2">
        <v>3.8446165321165302</v>
      </c>
      <c r="E103" s="2">
        <f t="shared" si="3"/>
        <v>4.1431310010998652E-2</v>
      </c>
      <c r="H103">
        <v>7.1646191646191602</v>
      </c>
    </row>
    <row r="104" spans="1:8" x14ac:dyDescent="0.25">
      <c r="A104" t="s">
        <v>3</v>
      </c>
      <c r="B104">
        <f t="shared" si="2"/>
        <v>248.019656019656</v>
      </c>
      <c r="C104">
        <v>4.291490253493345E-2</v>
      </c>
      <c r="D104" s="2">
        <v>3.97025272025272</v>
      </c>
      <c r="E104" s="2">
        <f t="shared" si="3"/>
        <v>4.291490253493345E-2</v>
      </c>
      <c r="H104">
        <v>8.0196560196560096</v>
      </c>
    </row>
    <row r="105" spans="1:8" x14ac:dyDescent="0.25">
      <c r="A105" t="s">
        <v>3</v>
      </c>
      <c r="B105">
        <f t="shared" si="2"/>
        <v>248.1965601965602</v>
      </c>
      <c r="C105">
        <v>4.2282198045439277E-2</v>
      </c>
      <c r="D105" s="2">
        <v>3.9168129168129102</v>
      </c>
      <c r="E105" s="2">
        <f t="shared" si="3"/>
        <v>4.2282198045439277E-2</v>
      </c>
      <c r="H105">
        <v>8.1965601965601902</v>
      </c>
    </row>
    <row r="106" spans="1:8" x14ac:dyDescent="0.25">
      <c r="A106" t="s">
        <v>3</v>
      </c>
      <c r="B106">
        <f t="shared" si="2"/>
        <v>248.66830466830467</v>
      </c>
      <c r="C106">
        <v>4.6344251606313204E-2</v>
      </c>
      <c r="D106" s="2">
        <v>4.2564496314496303</v>
      </c>
      <c r="E106" s="2">
        <f t="shared" si="3"/>
        <v>4.6344251606313204E-2</v>
      </c>
      <c r="H106">
        <v>8.6683046683046605</v>
      </c>
    </row>
    <row r="107" spans="1:8" x14ac:dyDescent="0.25">
      <c r="A107" t="s">
        <v>3</v>
      </c>
      <c r="B107">
        <f t="shared" si="2"/>
        <v>248.96314496314497</v>
      </c>
      <c r="C107">
        <v>3.9984359298879266E-2</v>
      </c>
      <c r="D107" s="2">
        <v>3.7209547209547198</v>
      </c>
      <c r="E107" s="2">
        <f t="shared" si="3"/>
        <v>3.9984359298879266E-2</v>
      </c>
      <c r="H107">
        <v>8.9631449631449591</v>
      </c>
    </row>
    <row r="108" spans="1:8" x14ac:dyDescent="0.25">
      <c r="A108" t="s">
        <v>3</v>
      </c>
      <c r="B108">
        <f t="shared" si="2"/>
        <v>249.19901719901719</v>
      </c>
      <c r="C108">
        <v>3.9778562391200804E-2</v>
      </c>
      <c r="D108" s="2">
        <v>3.7032730782730798</v>
      </c>
      <c r="E108" s="2">
        <f t="shared" si="3"/>
        <v>3.9778562391200804E-2</v>
      </c>
      <c r="H108">
        <v>9.1990171990171898</v>
      </c>
    </row>
    <row r="109" spans="1:8" x14ac:dyDescent="0.25">
      <c r="A109" t="s">
        <v>3</v>
      </c>
      <c r="B109">
        <f t="shared" si="2"/>
        <v>249.64127764127764</v>
      </c>
      <c r="C109">
        <v>3.407955129739982E-2</v>
      </c>
      <c r="D109" s="2">
        <v>3.2036021411021398</v>
      </c>
      <c r="E109" s="2">
        <f t="shared" si="3"/>
        <v>3.407955129739982E-2</v>
      </c>
      <c r="H109">
        <v>9.6412776412776395</v>
      </c>
    </row>
    <row r="110" spans="1:8" x14ac:dyDescent="0.25">
      <c r="A110" t="s">
        <v>3</v>
      </c>
      <c r="B110">
        <f t="shared" si="2"/>
        <v>249.96560196560196</v>
      </c>
      <c r="C110">
        <v>3.7517561389264924E-2</v>
      </c>
      <c r="D110" s="2">
        <v>3.5074148824148801</v>
      </c>
      <c r="E110" s="2">
        <f t="shared" si="3"/>
        <v>3.7517561389264924E-2</v>
      </c>
      <c r="H110">
        <v>9.9656019656019605</v>
      </c>
    </row>
    <row r="111" spans="1:8" x14ac:dyDescent="0.25">
      <c r="A111" t="s">
        <v>3</v>
      </c>
      <c r="B111">
        <f t="shared" si="2"/>
        <v>250.20147420147421</v>
      </c>
      <c r="C111">
        <v>4.4210129123303445E-2</v>
      </c>
      <c r="D111" s="2">
        <v>4.0790189540189496</v>
      </c>
      <c r="E111" s="2">
        <f t="shared" si="3"/>
        <v>4.4210129123303445E-2</v>
      </c>
      <c r="H111">
        <v>10.2014742014742</v>
      </c>
    </row>
    <row r="112" spans="1:8" x14ac:dyDescent="0.25">
      <c r="A112" t="s">
        <v>3</v>
      </c>
      <c r="B112">
        <f t="shared" si="2"/>
        <v>250.90909090909091</v>
      </c>
      <c r="C112">
        <v>3.5696148497497256E-2</v>
      </c>
      <c r="D112" s="2">
        <v>3.3474025974025898</v>
      </c>
      <c r="E112" s="2">
        <f t="shared" si="3"/>
        <v>3.5696148497497256E-2</v>
      </c>
      <c r="H112">
        <v>10.909090909090899</v>
      </c>
    </row>
    <row r="113" spans="1:8" x14ac:dyDescent="0.25">
      <c r="A113" t="s">
        <v>3</v>
      </c>
      <c r="B113">
        <f t="shared" si="2"/>
        <v>251.20393120393121</v>
      </c>
      <c r="C113">
        <v>3.7937870511891958E-2</v>
      </c>
      <c r="D113" s="2">
        <v>3.5440505440505401</v>
      </c>
      <c r="E113" s="2">
        <f t="shared" si="3"/>
        <v>3.7937870511891958E-2</v>
      </c>
      <c r="H113">
        <v>11.2039312039312</v>
      </c>
    </row>
    <row r="114" spans="1:8" x14ac:dyDescent="0.25">
      <c r="A114" t="s">
        <v>3</v>
      </c>
      <c r="B114">
        <f t="shared" si="2"/>
        <v>251.5282555282555</v>
      </c>
      <c r="C114">
        <v>3.5903464808904155E-2</v>
      </c>
      <c r="D114" s="2">
        <v>3.3657204282204201</v>
      </c>
      <c r="E114" s="2">
        <f t="shared" si="3"/>
        <v>3.5903464808904155E-2</v>
      </c>
      <c r="H114">
        <v>11.528255528255499</v>
      </c>
    </row>
    <row r="115" spans="1:8" x14ac:dyDescent="0.25">
      <c r="A115" t="s">
        <v>3</v>
      </c>
      <c r="B115">
        <f t="shared" si="2"/>
        <v>251.76412776412769</v>
      </c>
      <c r="C115">
        <v>4.3372235837972339E-2</v>
      </c>
      <c r="D115" s="2">
        <v>4.0087530712530697</v>
      </c>
      <c r="E115" s="2">
        <f t="shared" si="3"/>
        <v>4.3372235837972339E-2</v>
      </c>
      <c r="H115">
        <v>11.7641277641277</v>
      </c>
    </row>
    <row r="116" spans="1:8" x14ac:dyDescent="0.25">
      <c r="A116" t="s">
        <v>3</v>
      </c>
      <c r="B116">
        <f t="shared" si="2"/>
        <v>252.14742014742009</v>
      </c>
      <c r="C116">
        <v>4.4441060102691929E-2</v>
      </c>
      <c r="D116" s="2">
        <v>4.0983239733239696</v>
      </c>
      <c r="E116" s="2">
        <f t="shared" si="3"/>
        <v>4.4441060102691929E-2</v>
      </c>
      <c r="H116">
        <v>12.1474201474201</v>
      </c>
    </row>
    <row r="117" spans="1:8" x14ac:dyDescent="0.25">
      <c r="A117" t="s">
        <v>3</v>
      </c>
      <c r="B117">
        <f t="shared" si="2"/>
        <v>252.97297297297291</v>
      </c>
      <c r="C117">
        <v>6.9696624104944968E-2</v>
      </c>
      <c r="D117" s="2">
        <v>6.0810810810810798</v>
      </c>
      <c r="E117" s="2">
        <f t="shared" si="3"/>
        <v>6.9696624104944968E-2</v>
      </c>
      <c r="H117">
        <v>12.972972972972901</v>
      </c>
    </row>
    <row r="118" spans="1:8" x14ac:dyDescent="0.25">
      <c r="A118" t="s">
        <v>3</v>
      </c>
      <c r="B118">
        <f t="shared" si="2"/>
        <v>253.20884520884519</v>
      </c>
      <c r="C118">
        <v>7.0420572587324648E-2</v>
      </c>
      <c r="D118" s="2">
        <v>6.1348280098280101</v>
      </c>
      <c r="E118" s="2">
        <f t="shared" si="3"/>
        <v>7.0420572587324648E-2</v>
      </c>
      <c r="H118">
        <v>13.208845208845201</v>
      </c>
    </row>
    <row r="119" spans="1:8" x14ac:dyDescent="0.25">
      <c r="A119" t="s">
        <v>3</v>
      </c>
      <c r="B119">
        <f t="shared" si="2"/>
        <v>254.1818181818181</v>
      </c>
      <c r="C119">
        <v>5.5469213846513758E-2</v>
      </c>
      <c r="D119" s="2">
        <v>4.9926948051947999</v>
      </c>
      <c r="E119" s="2">
        <f t="shared" si="3"/>
        <v>5.5469213846513758E-2</v>
      </c>
      <c r="H119">
        <v>14.1818181818181</v>
      </c>
    </row>
    <row r="120" spans="1:8" x14ac:dyDescent="0.25">
      <c r="A120" t="s">
        <v>3</v>
      </c>
      <c r="B120">
        <f t="shared" si="2"/>
        <v>254.91891891891891</v>
      </c>
      <c r="C120">
        <v>6.4483772393342548E-2</v>
      </c>
      <c r="D120" s="2">
        <v>5.6896718146718097</v>
      </c>
      <c r="E120" s="2">
        <f t="shared" si="3"/>
        <v>6.4483772393342548E-2</v>
      </c>
      <c r="H120">
        <v>14.9189189189189</v>
      </c>
    </row>
    <row r="121" spans="1:8" x14ac:dyDescent="0.25">
      <c r="A121" t="s">
        <v>3</v>
      </c>
      <c r="B121">
        <f t="shared" si="2"/>
        <v>255.18427518427509</v>
      </c>
      <c r="C121">
        <v>7.9247369806496978E-2</v>
      </c>
      <c r="D121" s="2">
        <v>6.7791549666549598</v>
      </c>
      <c r="E121" s="2">
        <f t="shared" si="3"/>
        <v>7.9247369806496978E-2</v>
      </c>
      <c r="H121">
        <v>15.1842751842751</v>
      </c>
    </row>
    <row r="122" spans="1:8" x14ac:dyDescent="0.25">
      <c r="A122" t="s">
        <v>3</v>
      </c>
      <c r="B122">
        <f t="shared" si="2"/>
        <v>255.47911547911539</v>
      </c>
      <c r="C122">
        <v>8.1743862294281835E-2</v>
      </c>
      <c r="D122" s="2">
        <v>6.9579457704457699</v>
      </c>
      <c r="E122" s="2">
        <f t="shared" si="3"/>
        <v>8.1743862294281835E-2</v>
      </c>
      <c r="H122">
        <v>15.4791154791154</v>
      </c>
    </row>
    <row r="123" spans="1:8" x14ac:dyDescent="0.25">
      <c r="A123" t="s">
        <v>3</v>
      </c>
      <c r="B123">
        <f t="shared" si="2"/>
        <v>255.98034398034389</v>
      </c>
      <c r="C123">
        <v>7.5798695098770477E-2</v>
      </c>
      <c r="D123" s="2">
        <v>6.52974727974728</v>
      </c>
      <c r="E123" s="2">
        <f t="shared" si="3"/>
        <v>7.5798695098770477E-2</v>
      </c>
      <c r="H123">
        <v>15.9803439803439</v>
      </c>
    </row>
    <row r="124" spans="1:8" x14ac:dyDescent="0.25">
      <c r="A124" t="s">
        <v>3</v>
      </c>
      <c r="B124">
        <f t="shared" si="2"/>
        <v>256.48157248157241</v>
      </c>
      <c r="C124">
        <v>8.4267720975762447E-2</v>
      </c>
      <c r="D124" s="2">
        <v>7.1372630747630703</v>
      </c>
      <c r="E124" s="2">
        <f t="shared" si="3"/>
        <v>8.4267720975762447E-2</v>
      </c>
      <c r="H124">
        <v>16.4815724815724</v>
      </c>
    </row>
    <row r="125" spans="1:8" x14ac:dyDescent="0.25">
      <c r="A125" t="s">
        <v>3</v>
      </c>
      <c r="B125">
        <f t="shared" si="2"/>
        <v>256.62899262899259</v>
      </c>
      <c r="C125">
        <v>9.660156096531991E-2</v>
      </c>
      <c r="D125" s="2">
        <v>7.99451561951562</v>
      </c>
      <c r="E125" s="2">
        <f t="shared" si="3"/>
        <v>9.660156096531991E-2</v>
      </c>
      <c r="H125">
        <v>16.628992628992599</v>
      </c>
    </row>
    <row r="126" spans="1:8" x14ac:dyDescent="0.25">
      <c r="A126" t="s">
        <v>3</v>
      </c>
      <c r="B126">
        <f t="shared" si="2"/>
        <v>257.33660933660929</v>
      </c>
      <c r="C126">
        <v>8.2515206349272271E-2</v>
      </c>
      <c r="D126" s="2">
        <v>7.0128992628992597</v>
      </c>
      <c r="E126" s="2">
        <f t="shared" si="3"/>
        <v>8.2515206349272271E-2</v>
      </c>
      <c r="H126">
        <v>17.3366093366093</v>
      </c>
    </row>
    <row r="127" spans="1:8" x14ac:dyDescent="0.25">
      <c r="A127" t="s">
        <v>3</v>
      </c>
      <c r="B127">
        <f t="shared" si="2"/>
        <v>257.54299754299751</v>
      </c>
      <c r="C127">
        <v>8.5036759638662196E-2</v>
      </c>
      <c r="D127" s="2">
        <v>7.1916242541242497</v>
      </c>
      <c r="E127" s="2">
        <f t="shared" si="3"/>
        <v>8.5036759638662196E-2</v>
      </c>
      <c r="H127">
        <v>17.542997542997501</v>
      </c>
    </row>
    <row r="128" spans="1:8" x14ac:dyDescent="0.25">
      <c r="A128" t="s">
        <v>3</v>
      </c>
      <c r="B128">
        <f t="shared" si="2"/>
        <v>258.10319410319408</v>
      </c>
      <c r="C128">
        <v>6.8310340460054575E-2</v>
      </c>
      <c r="D128" s="2">
        <v>5.9777553527553504</v>
      </c>
      <c r="E128" s="2">
        <f t="shared" si="3"/>
        <v>6.8310340460054575E-2</v>
      </c>
      <c r="H128">
        <v>18.103194103194099</v>
      </c>
    </row>
    <row r="129" spans="1:8" x14ac:dyDescent="0.25">
      <c r="A129" t="s">
        <v>3</v>
      </c>
      <c r="B129">
        <f t="shared" si="2"/>
        <v>258.57493857493853</v>
      </c>
      <c r="C129">
        <v>6.8315037461492839E-2</v>
      </c>
      <c r="D129" s="2">
        <v>5.9781063531063499</v>
      </c>
      <c r="E129" s="2">
        <f t="shared" si="3"/>
        <v>6.8315037461492839E-2</v>
      </c>
      <c r="H129">
        <v>18.5749385749385</v>
      </c>
    </row>
    <row r="130" spans="1:8" x14ac:dyDescent="0.25">
      <c r="A130" t="s">
        <v>3</v>
      </c>
      <c r="B130">
        <f t="shared" si="2"/>
        <v>258.81081081081078</v>
      </c>
      <c r="C130">
        <v>6.7601470189910404E-2</v>
      </c>
      <c r="D130" s="2">
        <v>5.9247104247104199</v>
      </c>
      <c r="E130" s="2">
        <f t="shared" si="3"/>
        <v>6.7601470189910404E-2</v>
      </c>
      <c r="H130">
        <v>18.8108108108108</v>
      </c>
    </row>
    <row r="131" spans="1:8" x14ac:dyDescent="0.25">
      <c r="A131" t="s">
        <v>3</v>
      </c>
      <c r="B131">
        <f t="shared" ref="B131:B194" si="4">10*24+H131</f>
        <v>259.1351351351351</v>
      </c>
      <c r="C131">
        <v>6.0554959504488727E-2</v>
      </c>
      <c r="D131" s="2">
        <v>5.3892374517374497</v>
      </c>
      <c r="E131" s="2">
        <f t="shared" ref="E131:E194" si="5">(( D131 + 0.9137 )/50.31)^1.35</f>
        <v>6.0554959504488727E-2</v>
      </c>
      <c r="H131">
        <v>19.135135135135101</v>
      </c>
    </row>
    <row r="132" spans="1:8" x14ac:dyDescent="0.25">
      <c r="A132" t="s">
        <v>3</v>
      </c>
      <c r="B132">
        <f t="shared" si="4"/>
        <v>259.4299754299754</v>
      </c>
      <c r="C132">
        <v>6.4763590887417899E-2</v>
      </c>
      <c r="D132" s="2">
        <v>5.7108853983853898</v>
      </c>
      <c r="E132" s="2">
        <f t="shared" si="5"/>
        <v>6.4763590887417899E-2</v>
      </c>
      <c r="H132">
        <v>19.4299754299754</v>
      </c>
    </row>
    <row r="133" spans="1:8" x14ac:dyDescent="0.25">
      <c r="A133" t="s">
        <v>3</v>
      </c>
      <c r="B133">
        <f t="shared" si="4"/>
        <v>259.9017199017199</v>
      </c>
      <c r="C133">
        <v>5.6658444171651043E-2</v>
      </c>
      <c r="D133" s="2">
        <v>5.0862363987363999</v>
      </c>
      <c r="E133" s="2">
        <f t="shared" si="5"/>
        <v>5.6658444171651043E-2</v>
      </c>
      <c r="H133">
        <v>19.9017199017199</v>
      </c>
    </row>
    <row r="134" spans="1:8" x14ac:dyDescent="0.25">
      <c r="A134" t="s">
        <v>3</v>
      </c>
      <c r="B134">
        <f t="shared" si="4"/>
        <v>260.16707616707612</v>
      </c>
      <c r="C134">
        <v>5.462176620572886E-2</v>
      </c>
      <c r="D134" s="2">
        <v>4.9257195507195499</v>
      </c>
      <c r="E134" s="2">
        <f t="shared" si="5"/>
        <v>5.462176620572886E-2</v>
      </c>
      <c r="H134">
        <v>20.1670761670761</v>
      </c>
    </row>
    <row r="135" spans="1:8" x14ac:dyDescent="0.25">
      <c r="A135" t="s">
        <v>3</v>
      </c>
      <c r="B135">
        <f t="shared" si="4"/>
        <v>260.46191646191642</v>
      </c>
      <c r="C135">
        <v>4.6450470803710675E-2</v>
      </c>
      <c r="D135" s="2">
        <v>4.2652246402246403</v>
      </c>
      <c r="E135" s="2">
        <f t="shared" si="5"/>
        <v>4.6450470803710675E-2</v>
      </c>
      <c r="H135">
        <v>20.461916461916399</v>
      </c>
    </row>
    <row r="136" spans="1:8" x14ac:dyDescent="0.25">
      <c r="A136" t="s">
        <v>3</v>
      </c>
      <c r="B136">
        <f t="shared" si="4"/>
        <v>260.66830466830459</v>
      </c>
      <c r="C136">
        <v>5.0828207330321486E-2</v>
      </c>
      <c r="D136" s="2">
        <v>4.62252106002106</v>
      </c>
      <c r="E136" s="2">
        <f t="shared" si="5"/>
        <v>5.0828207330321486E-2</v>
      </c>
      <c r="H136">
        <v>20.6683046683046</v>
      </c>
    </row>
    <row r="137" spans="1:8" x14ac:dyDescent="0.25">
      <c r="A137" t="s">
        <v>3</v>
      </c>
      <c r="B137">
        <f t="shared" si="4"/>
        <v>260.84520884520879</v>
      </c>
      <c r="C137">
        <v>7.6339935509983511E-2</v>
      </c>
      <c r="D137" s="2">
        <v>6.5690812565812502</v>
      </c>
      <c r="E137" s="2">
        <f t="shared" si="5"/>
        <v>7.6339935509983511E-2</v>
      </c>
      <c r="H137">
        <v>20.845208845208798</v>
      </c>
    </row>
    <row r="138" spans="1:8" x14ac:dyDescent="0.25">
      <c r="A138" t="s">
        <v>3</v>
      </c>
      <c r="B138">
        <f t="shared" si="4"/>
        <v>261.16953316953311</v>
      </c>
      <c r="C138">
        <v>7.4871293474405742E-2</v>
      </c>
      <c r="D138" s="2">
        <v>6.4621797121797098</v>
      </c>
      <c r="E138" s="2">
        <f t="shared" si="5"/>
        <v>7.4871293474405742E-2</v>
      </c>
      <c r="H138">
        <v>21.1695331695331</v>
      </c>
    </row>
    <row r="139" spans="1:8" x14ac:dyDescent="0.25">
      <c r="A139" t="s">
        <v>3</v>
      </c>
      <c r="B139">
        <f t="shared" si="4"/>
        <v>261.40540540540542</v>
      </c>
      <c r="C139">
        <v>6.4076905209148965E-2</v>
      </c>
      <c r="D139" s="2">
        <v>5.6587837837837798</v>
      </c>
      <c r="E139" s="2">
        <f t="shared" si="5"/>
        <v>6.4076905209148965E-2</v>
      </c>
      <c r="H139">
        <v>21.4054054054054</v>
      </c>
    </row>
    <row r="140" spans="1:8" x14ac:dyDescent="0.25">
      <c r="A140" t="s">
        <v>3</v>
      </c>
      <c r="B140">
        <f t="shared" si="4"/>
        <v>261.72972972972968</v>
      </c>
      <c r="C140">
        <v>6.7868903496949642E-2</v>
      </c>
      <c r="D140" s="2">
        <v>5.9447393822393799</v>
      </c>
      <c r="E140" s="2">
        <f t="shared" si="5"/>
        <v>6.7868903496949642E-2</v>
      </c>
      <c r="H140">
        <v>21.729729729729701</v>
      </c>
    </row>
    <row r="141" spans="1:8" x14ac:dyDescent="0.25">
      <c r="A141" t="s">
        <v>3</v>
      </c>
      <c r="B141">
        <f t="shared" si="4"/>
        <v>262.08353808353797</v>
      </c>
      <c r="C141">
        <v>6.7157721090506356E-2</v>
      </c>
      <c r="D141" s="2">
        <v>5.8914312039311998</v>
      </c>
      <c r="E141" s="2">
        <f t="shared" si="5"/>
        <v>6.7157721090506356E-2</v>
      </c>
      <c r="H141">
        <v>22.083538083537999</v>
      </c>
    </row>
    <row r="142" spans="1:8" x14ac:dyDescent="0.25">
      <c r="A142" t="s">
        <v>3</v>
      </c>
      <c r="B142">
        <f t="shared" si="4"/>
        <v>262.7616707616707</v>
      </c>
      <c r="C142">
        <v>8.1569531602534273E-2</v>
      </c>
      <c r="D142" s="2">
        <v>6.9455071955071901</v>
      </c>
      <c r="E142" s="2">
        <f t="shared" si="5"/>
        <v>8.1569531602534273E-2</v>
      </c>
      <c r="H142">
        <v>22.7616707616707</v>
      </c>
    </row>
    <row r="143" spans="1:8" x14ac:dyDescent="0.25">
      <c r="A143" t="s">
        <v>3</v>
      </c>
      <c r="B143">
        <f t="shared" si="4"/>
        <v>263.61670761670757</v>
      </c>
      <c r="C143">
        <v>6.5986058972282727E-2</v>
      </c>
      <c r="D143" s="2">
        <v>5.8032862407862398</v>
      </c>
      <c r="E143" s="2">
        <f t="shared" si="5"/>
        <v>6.5986058972282727E-2</v>
      </c>
      <c r="H143">
        <v>23.6167076167076</v>
      </c>
    </row>
    <row r="144" spans="1:8" x14ac:dyDescent="0.25">
      <c r="A144" t="s">
        <v>5</v>
      </c>
      <c r="B144">
        <f t="shared" si="4"/>
        <v>240</v>
      </c>
      <c r="C144">
        <v>2.2614929411554501E-2</v>
      </c>
      <c r="D144" s="2">
        <v>2.125</v>
      </c>
      <c r="E144" s="2">
        <f t="shared" si="5"/>
        <v>2.2614929411554501E-2</v>
      </c>
      <c r="H144">
        <v>0</v>
      </c>
    </row>
    <row r="145" spans="1:8" x14ac:dyDescent="0.25">
      <c r="A145" t="s">
        <v>5</v>
      </c>
      <c r="B145">
        <f t="shared" si="4"/>
        <v>240.32432432432432</v>
      </c>
      <c r="C145">
        <v>2.154754133235388E-2</v>
      </c>
      <c r="D145" s="2">
        <v>2.0180984555984498</v>
      </c>
      <c r="E145" s="2">
        <f t="shared" si="5"/>
        <v>2.154754133235388E-2</v>
      </c>
      <c r="H145">
        <v>0.32432432432432401</v>
      </c>
    </row>
    <row r="146" spans="1:8" x14ac:dyDescent="0.25">
      <c r="A146" t="s">
        <v>5</v>
      </c>
      <c r="B146">
        <f t="shared" si="4"/>
        <v>240.82555282555282</v>
      </c>
      <c r="C146">
        <v>2.1197627629502846E-2</v>
      </c>
      <c r="D146" s="2">
        <v>1.9827571077571</v>
      </c>
      <c r="E146" s="2">
        <f t="shared" si="5"/>
        <v>2.1197627629502846E-2</v>
      </c>
      <c r="H146">
        <v>0.82555282555282505</v>
      </c>
    </row>
    <row r="147" spans="1:8" x14ac:dyDescent="0.25">
      <c r="A147" t="s">
        <v>5</v>
      </c>
      <c r="B147">
        <f t="shared" si="4"/>
        <v>240.91400491400492</v>
      </c>
      <c r="C147">
        <v>3.2815930476522405E-2</v>
      </c>
      <c r="D147" s="2">
        <v>3.0899657774657698</v>
      </c>
      <c r="E147" s="2">
        <f t="shared" si="5"/>
        <v>3.2815930476522405E-2</v>
      </c>
      <c r="H147">
        <v>0.91400491400491302</v>
      </c>
    </row>
    <row r="148" spans="1:8" x14ac:dyDescent="0.25">
      <c r="A148" t="s">
        <v>5</v>
      </c>
      <c r="B148">
        <f t="shared" si="4"/>
        <v>241.23832923832924</v>
      </c>
      <c r="C148">
        <v>3.5010641494308388E-2</v>
      </c>
      <c r="D148" s="2">
        <v>3.28663566163566</v>
      </c>
      <c r="E148" s="2">
        <f t="shared" si="5"/>
        <v>3.5010641494308388E-2</v>
      </c>
      <c r="H148">
        <v>1.2383292383292299</v>
      </c>
    </row>
    <row r="149" spans="1:8" x14ac:dyDescent="0.25">
      <c r="A149" t="s">
        <v>5</v>
      </c>
      <c r="B149">
        <f t="shared" si="4"/>
        <v>241.56265356265357</v>
      </c>
      <c r="C149">
        <v>2.0675449068959371E-2</v>
      </c>
      <c r="D149" s="2">
        <v>1.92973411723411</v>
      </c>
      <c r="E149" s="2">
        <f t="shared" si="5"/>
        <v>2.0675449068959371E-2</v>
      </c>
      <c r="H149">
        <v>1.56265356265356</v>
      </c>
    </row>
    <row r="150" spans="1:8" x14ac:dyDescent="0.25">
      <c r="A150" t="s">
        <v>5</v>
      </c>
      <c r="B150">
        <f t="shared" si="4"/>
        <v>241.76904176904176</v>
      </c>
      <c r="C150">
        <v>3.1252081398086377E-2</v>
      </c>
      <c r="D150" s="2">
        <v>2.94774482274482</v>
      </c>
      <c r="E150" s="2">
        <f t="shared" si="5"/>
        <v>3.1252081398086377E-2</v>
      </c>
      <c r="H150">
        <v>1.7690417690417599</v>
      </c>
    </row>
    <row r="151" spans="1:8" x14ac:dyDescent="0.25">
      <c r="A151" t="s">
        <v>5</v>
      </c>
      <c r="B151">
        <f t="shared" si="4"/>
        <v>242.06388206388206</v>
      </c>
      <c r="C151">
        <v>2.4260131887101462E-2</v>
      </c>
      <c r="D151" s="2">
        <v>2.2872499122499099</v>
      </c>
      <c r="E151" s="2">
        <f t="shared" si="5"/>
        <v>2.4260131887101462E-2</v>
      </c>
      <c r="H151">
        <v>2.0638820638820601</v>
      </c>
    </row>
    <row r="152" spans="1:8" x14ac:dyDescent="0.25">
      <c r="A152" t="s">
        <v>5</v>
      </c>
      <c r="B152">
        <f t="shared" si="4"/>
        <v>242.27027027027026</v>
      </c>
      <c r="C152">
        <v>2.704181394154628E-2</v>
      </c>
      <c r="D152" s="2">
        <v>2.5552606177606099</v>
      </c>
      <c r="E152" s="2">
        <f t="shared" si="5"/>
        <v>2.704181394154628E-2</v>
      </c>
      <c r="H152">
        <v>2.2702702702702702</v>
      </c>
    </row>
    <row r="153" spans="1:8" x14ac:dyDescent="0.25">
      <c r="A153" t="s">
        <v>5</v>
      </c>
      <c r="B153">
        <f t="shared" si="4"/>
        <v>242.56511056511056</v>
      </c>
      <c r="C153">
        <v>2.35359495099829E-2</v>
      </c>
      <c r="D153" s="2">
        <v>2.2161942786942701</v>
      </c>
      <c r="E153" s="2">
        <f t="shared" si="5"/>
        <v>2.35359495099829E-2</v>
      </c>
      <c r="H153">
        <v>2.5651105651105599</v>
      </c>
    </row>
    <row r="154" spans="1:8" x14ac:dyDescent="0.25">
      <c r="A154" t="s">
        <v>5</v>
      </c>
      <c r="B154">
        <f t="shared" si="4"/>
        <v>242.77149877149878</v>
      </c>
      <c r="C154">
        <v>2.5368211194796673E-2</v>
      </c>
      <c r="D154" s="2">
        <v>2.3949192699192698</v>
      </c>
      <c r="E154" s="2">
        <f t="shared" si="5"/>
        <v>2.5368211194796673E-2</v>
      </c>
      <c r="H154">
        <v>2.77149877149877</v>
      </c>
    </row>
    <row r="155" spans="1:8" x14ac:dyDescent="0.25">
      <c r="A155" t="s">
        <v>5</v>
      </c>
      <c r="B155">
        <f t="shared" si="4"/>
        <v>243.06633906633905</v>
      </c>
      <c r="C155">
        <v>2.4633923317582379E-2</v>
      </c>
      <c r="D155" s="2">
        <v>2.3237100737100702</v>
      </c>
      <c r="E155" s="2">
        <f t="shared" si="5"/>
        <v>2.4633923317582379E-2</v>
      </c>
      <c r="H155">
        <v>3.0663390663390602</v>
      </c>
    </row>
    <row r="156" spans="1:8" x14ac:dyDescent="0.25">
      <c r="A156" t="s">
        <v>5</v>
      </c>
      <c r="B156">
        <f t="shared" si="4"/>
        <v>243.3022113022113</v>
      </c>
      <c r="C156">
        <v>2.0863665793391419E-2</v>
      </c>
      <c r="D156" s="2">
        <v>1.9488855738855699</v>
      </c>
      <c r="E156" s="2">
        <f t="shared" si="5"/>
        <v>2.0863665793391419E-2</v>
      </c>
      <c r="H156">
        <v>3.3022113022113002</v>
      </c>
    </row>
    <row r="157" spans="1:8" x14ac:dyDescent="0.25">
      <c r="A157" t="s">
        <v>5</v>
      </c>
      <c r="B157">
        <f t="shared" si="4"/>
        <v>243.7149877149877</v>
      </c>
      <c r="C157">
        <v>1.930103503144737E-2</v>
      </c>
      <c r="D157" s="2">
        <v>1.78847841347841</v>
      </c>
      <c r="E157" s="2">
        <f t="shared" si="5"/>
        <v>1.930103503144737E-2</v>
      </c>
      <c r="H157">
        <v>3.7149877149877102</v>
      </c>
    </row>
    <row r="158" spans="1:8" x14ac:dyDescent="0.25">
      <c r="A158" t="s">
        <v>5</v>
      </c>
      <c r="B158">
        <f t="shared" si="4"/>
        <v>244.009828009828</v>
      </c>
      <c r="C158">
        <v>2.2824568623315153E-2</v>
      </c>
      <c r="D158" s="2">
        <v>2.1458406458406398</v>
      </c>
      <c r="E158" s="2">
        <f t="shared" si="5"/>
        <v>2.2824568623315153E-2</v>
      </c>
      <c r="H158">
        <v>4.0098280098280004</v>
      </c>
    </row>
    <row r="159" spans="1:8" x14ac:dyDescent="0.25">
      <c r="A159" t="s">
        <v>5</v>
      </c>
      <c r="B159">
        <f t="shared" si="4"/>
        <v>244.33415233415232</v>
      </c>
      <c r="C159">
        <v>2.2647335507425533E-2</v>
      </c>
      <c r="D159" s="2">
        <v>2.1282248157248098</v>
      </c>
      <c r="E159" s="2">
        <f t="shared" si="5"/>
        <v>2.2647335507425533E-2</v>
      </c>
      <c r="H159">
        <v>4.3341523341523303</v>
      </c>
    </row>
    <row r="160" spans="1:8" x14ac:dyDescent="0.25">
      <c r="A160" t="s">
        <v>5</v>
      </c>
      <c r="B160">
        <f t="shared" si="4"/>
        <v>245.07125307125307</v>
      </c>
      <c r="C160">
        <v>1.862511325051535E-2</v>
      </c>
      <c r="D160" s="2">
        <v>1.71805896805896</v>
      </c>
      <c r="E160" s="2">
        <f t="shared" si="5"/>
        <v>1.862511325051535E-2</v>
      </c>
      <c r="H160">
        <v>5.0712530712530697</v>
      </c>
    </row>
    <row r="161" spans="1:8" x14ac:dyDescent="0.25">
      <c r="A161" t="s">
        <v>5</v>
      </c>
      <c r="B161">
        <f t="shared" si="4"/>
        <v>245.33660933660934</v>
      </c>
      <c r="C161">
        <v>2.2834511332151596E-2</v>
      </c>
      <c r="D161" s="2">
        <v>2.14682783432783</v>
      </c>
      <c r="E161" s="2">
        <f t="shared" si="5"/>
        <v>2.2834511332151596E-2</v>
      </c>
      <c r="H161">
        <v>5.3366093366093299</v>
      </c>
    </row>
    <row r="162" spans="1:8" x14ac:dyDescent="0.25">
      <c r="A162" t="s">
        <v>5</v>
      </c>
      <c r="B162">
        <f t="shared" si="4"/>
        <v>245.83783783783784</v>
      </c>
      <c r="C162">
        <v>2.0882231094897463E-2</v>
      </c>
      <c r="D162" s="2">
        <v>1.9507722007721999</v>
      </c>
      <c r="E162" s="2">
        <f t="shared" si="5"/>
        <v>2.0882231094897463E-2</v>
      </c>
      <c r="H162">
        <v>5.8378378378378297</v>
      </c>
    </row>
    <row r="163" spans="1:8" x14ac:dyDescent="0.25">
      <c r="A163" t="s">
        <v>5</v>
      </c>
      <c r="B163">
        <f t="shared" si="4"/>
        <v>246.07371007371006</v>
      </c>
      <c r="C163">
        <v>1.8122196961680277E-2</v>
      </c>
      <c r="D163" s="2">
        <v>1.6652334152334101</v>
      </c>
      <c r="E163" s="2">
        <f t="shared" si="5"/>
        <v>1.8122196961680277E-2</v>
      </c>
      <c r="H163">
        <v>6.0737100737100702</v>
      </c>
    </row>
    <row r="164" spans="1:8" x14ac:dyDescent="0.25">
      <c r="A164" t="s">
        <v>5</v>
      </c>
      <c r="B164">
        <f t="shared" si="4"/>
        <v>246.39803439803438</v>
      </c>
      <c r="C164">
        <v>1.9320287456588241E-2</v>
      </c>
      <c r="D164" s="2">
        <v>1.79047472797472</v>
      </c>
      <c r="E164" s="2">
        <f t="shared" si="5"/>
        <v>1.9320287456588241E-2</v>
      </c>
      <c r="H164">
        <v>6.3980343980343903</v>
      </c>
    </row>
    <row r="165" spans="1:8" x14ac:dyDescent="0.25">
      <c r="A165" t="s">
        <v>5</v>
      </c>
      <c r="B165">
        <f t="shared" si="4"/>
        <v>246.57493857493856</v>
      </c>
      <c r="C165">
        <v>2.2484765217282699E-2</v>
      </c>
      <c r="D165" s="2">
        <v>2.1120349245349201</v>
      </c>
      <c r="E165" s="2">
        <f t="shared" si="5"/>
        <v>2.2484765217282699E-2</v>
      </c>
      <c r="H165">
        <v>6.57493857493857</v>
      </c>
    </row>
    <row r="166" spans="1:8" x14ac:dyDescent="0.25">
      <c r="A166" t="s">
        <v>5</v>
      </c>
      <c r="B166">
        <f t="shared" si="4"/>
        <v>247.28255528255528</v>
      </c>
      <c r="C166">
        <v>2.1068768412021283E-2</v>
      </c>
      <c r="D166" s="2">
        <v>1.9697042822042801</v>
      </c>
      <c r="E166" s="2">
        <f t="shared" si="5"/>
        <v>2.1068768412021283E-2</v>
      </c>
      <c r="H166">
        <v>7.28255528255528</v>
      </c>
    </row>
    <row r="167" spans="1:8" x14ac:dyDescent="0.25">
      <c r="A167" t="s">
        <v>5</v>
      </c>
      <c r="B167">
        <f t="shared" si="4"/>
        <v>247.5184275184275</v>
      </c>
      <c r="C167">
        <v>2.3754905533188778E-2</v>
      </c>
      <c r="D167" s="2">
        <v>2.2377369252369199</v>
      </c>
      <c r="E167" s="2">
        <f t="shared" si="5"/>
        <v>2.3754905533188778E-2</v>
      </c>
      <c r="H167">
        <v>7.5184275184275098</v>
      </c>
    </row>
    <row r="168" spans="1:8" x14ac:dyDescent="0.25">
      <c r="A168" t="s">
        <v>5</v>
      </c>
      <c r="B168">
        <f t="shared" si="4"/>
        <v>247.8132678132678</v>
      </c>
      <c r="C168">
        <v>2.467021156320761E-2</v>
      </c>
      <c r="D168" s="2">
        <v>2.3272420147420099</v>
      </c>
      <c r="E168" s="2">
        <f t="shared" si="5"/>
        <v>2.467021156320761E-2</v>
      </c>
      <c r="H168">
        <v>7.8132678132678102</v>
      </c>
    </row>
    <row r="169" spans="1:8" x14ac:dyDescent="0.25">
      <c r="A169" t="s">
        <v>5</v>
      </c>
      <c r="B169">
        <f t="shared" si="4"/>
        <v>248.019656019656</v>
      </c>
      <c r="C169">
        <v>2.4305483439426675E-2</v>
      </c>
      <c r="D169" s="2">
        <v>2.2916812916812899</v>
      </c>
      <c r="E169" s="2">
        <f t="shared" si="5"/>
        <v>2.4305483439426675E-2</v>
      </c>
      <c r="H169">
        <v>8.0196560196560096</v>
      </c>
    </row>
    <row r="170" spans="1:8" x14ac:dyDescent="0.25">
      <c r="A170" t="s">
        <v>5</v>
      </c>
      <c r="B170">
        <f t="shared" si="4"/>
        <v>248.34398034398035</v>
      </c>
      <c r="C170">
        <v>2.5411137291094371E-2</v>
      </c>
      <c r="D170" s="2">
        <v>2.3990654615654599</v>
      </c>
      <c r="E170" s="2">
        <f t="shared" si="5"/>
        <v>2.5411137291094371E-2</v>
      </c>
      <c r="H170">
        <v>8.3439803439803395</v>
      </c>
    </row>
    <row r="171" spans="1:8" x14ac:dyDescent="0.25">
      <c r="A171" t="s">
        <v>5</v>
      </c>
      <c r="B171">
        <f t="shared" si="4"/>
        <v>248.63882063882062</v>
      </c>
      <c r="C171">
        <v>2.4310199464657328E-2</v>
      </c>
      <c r="D171" s="2">
        <v>2.29214197964198</v>
      </c>
      <c r="E171" s="2">
        <f t="shared" si="5"/>
        <v>2.4310199464657328E-2</v>
      </c>
      <c r="H171">
        <v>8.6388206388206292</v>
      </c>
    </row>
    <row r="172" spans="1:8" x14ac:dyDescent="0.25">
      <c r="A172" t="s">
        <v>5</v>
      </c>
      <c r="B172">
        <f t="shared" si="4"/>
        <v>248.84520884520884</v>
      </c>
      <c r="C172">
        <v>2.2144095900043809E-2</v>
      </c>
      <c r="D172" s="2">
        <v>2.07800982800982</v>
      </c>
      <c r="E172" s="2">
        <f t="shared" si="5"/>
        <v>2.2144095900043809E-2</v>
      </c>
      <c r="H172">
        <v>8.8452088452088393</v>
      </c>
    </row>
    <row r="173" spans="1:8" x14ac:dyDescent="0.25">
      <c r="A173" t="s">
        <v>5</v>
      </c>
      <c r="B173">
        <f t="shared" si="4"/>
        <v>249.37592137592137</v>
      </c>
      <c r="C173">
        <v>2.5049921940882344E-2</v>
      </c>
      <c r="D173" s="2">
        <v>2.3641189891189902</v>
      </c>
      <c r="E173" s="2">
        <f t="shared" si="5"/>
        <v>2.5049921940882344E-2</v>
      </c>
      <c r="H173">
        <v>9.3759213759213704</v>
      </c>
    </row>
    <row r="174" spans="1:8" x14ac:dyDescent="0.25">
      <c r="A174" t="s">
        <v>5</v>
      </c>
      <c r="B174">
        <f t="shared" si="4"/>
        <v>249.58230958230959</v>
      </c>
      <c r="C174">
        <v>2.4683738674489052E-2</v>
      </c>
      <c r="D174" s="2">
        <v>2.32855826605826</v>
      </c>
      <c r="E174" s="2">
        <f t="shared" si="5"/>
        <v>2.4683738674489052E-2</v>
      </c>
      <c r="H174">
        <v>9.5823095823095805</v>
      </c>
    </row>
    <row r="175" spans="1:8" x14ac:dyDescent="0.25">
      <c r="A175" t="s">
        <v>5</v>
      </c>
      <c r="B175">
        <f t="shared" si="4"/>
        <v>250.31941031941031</v>
      </c>
      <c r="C175">
        <v>3.5086693438688157E-2</v>
      </c>
      <c r="D175" s="2">
        <v>3.2933924183924201</v>
      </c>
      <c r="E175" s="2">
        <f t="shared" si="5"/>
        <v>3.5086693438688157E-2</v>
      </c>
      <c r="H175">
        <v>10.3194103194103</v>
      </c>
    </row>
    <row r="176" spans="1:8" x14ac:dyDescent="0.25">
      <c r="A176" t="s">
        <v>5</v>
      </c>
      <c r="B176">
        <f t="shared" si="4"/>
        <v>250.61425061425061</v>
      </c>
      <c r="C176">
        <v>3.388824166531812E-2</v>
      </c>
      <c r="D176" s="2">
        <v>3.18646893646893</v>
      </c>
      <c r="E176" s="2">
        <f t="shared" si="5"/>
        <v>3.388824166531812E-2</v>
      </c>
      <c r="H176">
        <v>10.614250614250601</v>
      </c>
    </row>
    <row r="177" spans="1:8" x14ac:dyDescent="0.25">
      <c r="A177" t="s">
        <v>5</v>
      </c>
      <c r="B177">
        <f t="shared" si="4"/>
        <v>251.027027027027</v>
      </c>
      <c r="C177">
        <v>3.5092621360669665E-2</v>
      </c>
      <c r="D177" s="2">
        <v>3.2939189189189202</v>
      </c>
      <c r="E177" s="2">
        <f t="shared" si="5"/>
        <v>3.5092621360669665E-2</v>
      </c>
      <c r="H177">
        <v>11.027027027027</v>
      </c>
    </row>
    <row r="178" spans="1:8" x14ac:dyDescent="0.25">
      <c r="A178" t="s">
        <v>5</v>
      </c>
      <c r="B178">
        <f t="shared" si="4"/>
        <v>251.5282555282555</v>
      </c>
      <c r="C178">
        <v>3.9176806235111848E-2</v>
      </c>
      <c r="D178" s="2">
        <v>3.6514347139347101</v>
      </c>
      <c r="E178" s="2">
        <f t="shared" si="5"/>
        <v>3.9176806235111848E-2</v>
      </c>
      <c r="H178">
        <v>11.528255528255499</v>
      </c>
    </row>
    <row r="179" spans="1:8" x14ac:dyDescent="0.25">
      <c r="A179" t="s">
        <v>5</v>
      </c>
      <c r="B179">
        <f t="shared" si="4"/>
        <v>251.85257985257979</v>
      </c>
      <c r="C179">
        <v>3.5099537597780714E-2</v>
      </c>
      <c r="D179" s="2">
        <v>3.2945331695331701</v>
      </c>
      <c r="E179" s="2">
        <f t="shared" si="5"/>
        <v>3.5099537597780714E-2</v>
      </c>
      <c r="H179">
        <v>11.852579852579799</v>
      </c>
    </row>
    <row r="180" spans="1:8" x14ac:dyDescent="0.25">
      <c r="A180" t="s">
        <v>5</v>
      </c>
      <c r="B180">
        <f t="shared" si="4"/>
        <v>252.05896805896799</v>
      </c>
      <c r="C180">
        <v>3.5705824602467871E-2</v>
      </c>
      <c r="D180" s="2">
        <v>3.3482581607581601</v>
      </c>
      <c r="E180" s="2">
        <f t="shared" si="5"/>
        <v>3.5705824602467871E-2</v>
      </c>
      <c r="H180">
        <v>12.058968058968</v>
      </c>
    </row>
    <row r="181" spans="1:8" x14ac:dyDescent="0.25">
      <c r="A181" t="s">
        <v>5</v>
      </c>
      <c r="B181">
        <f t="shared" si="4"/>
        <v>252.56019656019649</v>
      </c>
      <c r="C181">
        <v>4.6812086973757813E-2</v>
      </c>
      <c r="D181" s="2">
        <v>4.2950596700596702</v>
      </c>
      <c r="E181" s="2">
        <f t="shared" si="5"/>
        <v>4.6812086973757813E-2</v>
      </c>
      <c r="H181">
        <v>12.5601965601965</v>
      </c>
    </row>
    <row r="182" spans="1:8" x14ac:dyDescent="0.25">
      <c r="A182" t="s">
        <v>5</v>
      </c>
      <c r="B182">
        <f t="shared" si="4"/>
        <v>252.76658476658469</v>
      </c>
      <c r="C182">
        <v>4.8336889469428317E-2</v>
      </c>
      <c r="D182" s="2">
        <v>4.4202132327132304</v>
      </c>
      <c r="E182" s="2">
        <f t="shared" si="5"/>
        <v>4.8336889469428317E-2</v>
      </c>
      <c r="H182">
        <v>12.7665847665847</v>
      </c>
    </row>
    <row r="183" spans="1:8" x14ac:dyDescent="0.25">
      <c r="A183" t="s">
        <v>5</v>
      </c>
      <c r="B183">
        <f t="shared" si="4"/>
        <v>253.29729729729721</v>
      </c>
      <c r="C183">
        <v>6.4467866618768965E-2</v>
      </c>
      <c r="D183" s="2">
        <v>5.6884652509652502</v>
      </c>
      <c r="E183" s="2">
        <f t="shared" si="5"/>
        <v>6.4467866618768965E-2</v>
      </c>
      <c r="H183">
        <v>13.297297297297201</v>
      </c>
    </row>
    <row r="184" spans="1:8" x14ac:dyDescent="0.25">
      <c r="A184" t="s">
        <v>5</v>
      </c>
      <c r="B184">
        <f t="shared" si="4"/>
        <v>253.62162162162161</v>
      </c>
      <c r="C184">
        <v>6.0501758456447043E-2</v>
      </c>
      <c r="D184" s="2">
        <v>5.3851351351351298</v>
      </c>
      <c r="E184" s="2">
        <f t="shared" si="5"/>
        <v>6.0501758456447043E-2</v>
      </c>
      <c r="H184">
        <v>13.6216216216216</v>
      </c>
    </row>
    <row r="185" spans="1:8" x14ac:dyDescent="0.25">
      <c r="A185" t="s">
        <v>5</v>
      </c>
      <c r="B185">
        <f t="shared" si="4"/>
        <v>253.7985257985257</v>
      </c>
      <c r="C185">
        <v>6.0040812654768988E-2</v>
      </c>
      <c r="D185" s="2">
        <v>5.3495524745524703</v>
      </c>
      <c r="E185" s="2">
        <f t="shared" si="5"/>
        <v>6.0040812654768988E-2</v>
      </c>
      <c r="H185">
        <v>13.7985257985257</v>
      </c>
    </row>
    <row r="186" spans="1:8" x14ac:dyDescent="0.25">
      <c r="A186" t="s">
        <v>5</v>
      </c>
      <c r="B186">
        <f t="shared" si="4"/>
        <v>254.12285012285011</v>
      </c>
      <c r="C186">
        <v>5.6603636553492098E-2</v>
      </c>
      <c r="D186" s="2">
        <v>5.0819366444366398</v>
      </c>
      <c r="E186" s="2">
        <f t="shared" si="5"/>
        <v>5.6603636553492098E-2</v>
      </c>
      <c r="H186">
        <v>14.1228501228501</v>
      </c>
    </row>
    <row r="187" spans="1:8" x14ac:dyDescent="0.25">
      <c r="A187" t="s">
        <v>5</v>
      </c>
      <c r="B187">
        <f t="shared" si="4"/>
        <v>254.5945945945945</v>
      </c>
      <c r="C187">
        <v>3.3722144591123888E-2</v>
      </c>
      <c r="D187" s="2">
        <v>3.1715733590733599</v>
      </c>
      <c r="E187" s="2">
        <f t="shared" si="5"/>
        <v>3.3722144591123888E-2</v>
      </c>
      <c r="H187">
        <v>14.594594594594501</v>
      </c>
    </row>
    <row r="188" spans="1:8" x14ac:dyDescent="0.25">
      <c r="A188" t="s">
        <v>5</v>
      </c>
      <c r="B188">
        <f t="shared" si="4"/>
        <v>255.1547911547911</v>
      </c>
      <c r="C188">
        <v>3.4725581985339628E-2</v>
      </c>
      <c r="D188" s="2">
        <v>3.2612758862758802</v>
      </c>
      <c r="E188" s="2">
        <f t="shared" si="5"/>
        <v>3.4725581985339628E-2</v>
      </c>
      <c r="H188">
        <v>15.1547911547911</v>
      </c>
    </row>
    <row r="189" spans="1:8" x14ac:dyDescent="0.25">
      <c r="A189" t="s">
        <v>5</v>
      </c>
      <c r="B189">
        <f t="shared" si="4"/>
        <v>255.56756756756749</v>
      </c>
      <c r="C189">
        <v>5.6617337168744362E-2</v>
      </c>
      <c r="D189" s="2">
        <v>5.0830115830115803</v>
      </c>
      <c r="E189" s="2">
        <f t="shared" si="5"/>
        <v>5.6617337168744362E-2</v>
      </c>
      <c r="H189">
        <v>15.567567567567499</v>
      </c>
    </row>
    <row r="190" spans="1:8" x14ac:dyDescent="0.25">
      <c r="A190" t="s">
        <v>5</v>
      </c>
      <c r="B190">
        <f t="shared" si="4"/>
        <v>255.86240786240779</v>
      </c>
      <c r="C190">
        <v>6.0060686625800427E-2</v>
      </c>
      <c r="D190" s="2">
        <v>5.3510881010881004</v>
      </c>
      <c r="E190" s="2">
        <f t="shared" si="5"/>
        <v>6.0060686625800427E-2</v>
      </c>
      <c r="H190">
        <v>15.8624078624078</v>
      </c>
    </row>
    <row r="191" spans="1:8" x14ac:dyDescent="0.25">
      <c r="A191" t="s">
        <v>5</v>
      </c>
      <c r="B191">
        <f t="shared" si="4"/>
        <v>256.06879606879602</v>
      </c>
      <c r="C191">
        <v>6.449505164989576E-2</v>
      </c>
      <c r="D191" s="2">
        <v>5.6905273780273697</v>
      </c>
      <c r="E191" s="2">
        <f t="shared" si="5"/>
        <v>6.449505164989576E-2</v>
      </c>
      <c r="H191">
        <v>16.068796068796001</v>
      </c>
    </row>
    <row r="192" spans="1:8" x14ac:dyDescent="0.25">
      <c r="A192" t="s">
        <v>5</v>
      </c>
      <c r="B192">
        <f t="shared" si="4"/>
        <v>256.27518427518419</v>
      </c>
      <c r="C192">
        <v>6.6624882441875838E-2</v>
      </c>
      <c r="D192" s="2">
        <v>5.85139522639522</v>
      </c>
      <c r="E192" s="2">
        <f t="shared" si="5"/>
        <v>6.6624882441875838E-2</v>
      </c>
      <c r="H192">
        <v>16.275184275184198</v>
      </c>
    </row>
    <row r="193" spans="1:8" x14ac:dyDescent="0.25">
      <c r="A193" t="s">
        <v>5</v>
      </c>
      <c r="B193">
        <f t="shared" si="4"/>
        <v>256.80589680589679</v>
      </c>
      <c r="C193">
        <v>4.881118528412183E-2</v>
      </c>
      <c r="D193" s="2">
        <v>4.4589329589329596</v>
      </c>
      <c r="E193" s="2">
        <f t="shared" si="5"/>
        <v>4.881118528412183E-2</v>
      </c>
      <c r="H193">
        <v>16.805896805896801</v>
      </c>
    </row>
    <row r="194" spans="1:8" x14ac:dyDescent="0.25">
      <c r="A194" t="s">
        <v>5</v>
      </c>
      <c r="B194">
        <f t="shared" si="4"/>
        <v>257.10073710073709</v>
      </c>
      <c r="C194">
        <v>5.0353228040261828E-2</v>
      </c>
      <c r="D194" s="2">
        <v>4.5841523341523303</v>
      </c>
      <c r="E194" s="2">
        <f t="shared" si="5"/>
        <v>5.0353228040261828E-2</v>
      </c>
      <c r="H194">
        <v>17.100737100737099</v>
      </c>
    </row>
    <row r="195" spans="1:8" x14ac:dyDescent="0.25">
      <c r="A195" t="s">
        <v>5</v>
      </c>
      <c r="B195">
        <f t="shared" ref="B195:B212" si="6">10*24+H195</f>
        <v>257.30712530712532</v>
      </c>
      <c r="C195">
        <v>4.6422050992347245E-2</v>
      </c>
      <c r="D195" s="2">
        <v>4.2628773253773202</v>
      </c>
      <c r="E195" s="2">
        <f t="shared" ref="E195:E212" si="7">(( D195 + 0.9137 )/50.31)^1.35</f>
        <v>4.6422050992347245E-2</v>
      </c>
      <c r="H195">
        <v>17.3071253071253</v>
      </c>
    </row>
    <row r="196" spans="1:8" x14ac:dyDescent="0.25">
      <c r="A196" t="s">
        <v>5</v>
      </c>
      <c r="B196">
        <f t="shared" si="6"/>
        <v>257.51351351351349</v>
      </c>
      <c r="C196">
        <v>5.3696888521141496E-2</v>
      </c>
      <c r="D196" s="2">
        <v>4.8523166023166002</v>
      </c>
      <c r="E196" s="2">
        <f t="shared" si="7"/>
        <v>5.3696888521141496E-2</v>
      </c>
      <c r="H196">
        <v>17.513513513513502</v>
      </c>
    </row>
    <row r="197" spans="1:8" x14ac:dyDescent="0.25">
      <c r="A197" t="s">
        <v>5</v>
      </c>
      <c r="B197">
        <f t="shared" si="6"/>
        <v>257.80835380835379</v>
      </c>
      <c r="C197">
        <v>5.3699646541456168E-2</v>
      </c>
      <c r="D197" s="2">
        <v>4.85253597753597</v>
      </c>
      <c r="E197" s="2">
        <f t="shared" si="7"/>
        <v>5.3699646541456168E-2</v>
      </c>
      <c r="H197">
        <v>17.8083538083538</v>
      </c>
    </row>
    <row r="198" spans="1:8" x14ac:dyDescent="0.25">
      <c r="A198" t="s">
        <v>5</v>
      </c>
      <c r="B198">
        <f t="shared" si="6"/>
        <v>258.33906633906628</v>
      </c>
      <c r="C198">
        <v>7.9777147408047727E-2</v>
      </c>
      <c r="D198" s="2">
        <v>6.8172165672165601</v>
      </c>
      <c r="E198" s="2">
        <f t="shared" si="7"/>
        <v>7.9777147408047727E-2</v>
      </c>
      <c r="H198">
        <v>18.339066339066299</v>
      </c>
    </row>
    <row r="199" spans="1:8" x14ac:dyDescent="0.25">
      <c r="A199" t="s">
        <v>5</v>
      </c>
      <c r="B199">
        <f t="shared" si="6"/>
        <v>259.16461916461913</v>
      </c>
      <c r="C199">
        <v>4.4503569989350324E-2</v>
      </c>
      <c r="D199" s="2">
        <v>4.1035451035451</v>
      </c>
      <c r="E199" s="2">
        <f t="shared" si="7"/>
        <v>4.4503569989350324E-2</v>
      </c>
      <c r="H199">
        <v>19.164619164619101</v>
      </c>
    </row>
    <row r="200" spans="1:8" x14ac:dyDescent="0.25">
      <c r="A200" t="s">
        <v>5</v>
      </c>
      <c r="B200">
        <f t="shared" si="6"/>
        <v>259.45945945945942</v>
      </c>
      <c r="C200">
        <v>4.049210640996994E-2</v>
      </c>
      <c r="D200" s="2">
        <v>3.7644787644787598</v>
      </c>
      <c r="E200" s="2">
        <f t="shared" si="7"/>
        <v>4.049210640996994E-2</v>
      </c>
      <c r="H200">
        <v>19.459459459459399</v>
      </c>
    </row>
    <row r="201" spans="1:8" x14ac:dyDescent="0.25">
      <c r="A201" t="s">
        <v>5</v>
      </c>
      <c r="B201">
        <f t="shared" si="6"/>
        <v>259.87223587223582</v>
      </c>
      <c r="C201">
        <v>4.5152593973128236E-2</v>
      </c>
      <c r="D201" s="2">
        <v>4.1576430326430298</v>
      </c>
      <c r="E201" s="2">
        <f t="shared" si="7"/>
        <v>4.5152593973128236E-2</v>
      </c>
      <c r="H201">
        <v>19.872235872235802</v>
      </c>
    </row>
    <row r="202" spans="1:8" x14ac:dyDescent="0.25">
      <c r="A202" t="s">
        <v>5</v>
      </c>
      <c r="B202">
        <f t="shared" si="6"/>
        <v>260.07862407862399</v>
      </c>
      <c r="C202">
        <v>3.3568711695437063E-2</v>
      </c>
      <c r="D202" s="2">
        <v>3.1577965952965901</v>
      </c>
      <c r="E202" s="2">
        <f t="shared" si="7"/>
        <v>3.3568711695437063E-2</v>
      </c>
      <c r="H202">
        <v>20.078624078623999</v>
      </c>
    </row>
    <row r="203" spans="1:8" x14ac:dyDescent="0.25">
      <c r="A203" t="s">
        <v>5</v>
      </c>
      <c r="B203">
        <f t="shared" si="6"/>
        <v>260.60933660933659</v>
      </c>
      <c r="C203">
        <v>4.4302726467752941E-2</v>
      </c>
      <c r="D203" s="2">
        <v>4.0867628992628999</v>
      </c>
      <c r="E203" s="2">
        <f t="shared" si="7"/>
        <v>4.4302726467752941E-2</v>
      </c>
      <c r="H203">
        <v>20.609336609336601</v>
      </c>
    </row>
    <row r="204" spans="1:8" x14ac:dyDescent="0.25">
      <c r="A204" t="s">
        <v>5</v>
      </c>
      <c r="B204">
        <f t="shared" si="6"/>
        <v>260.78624078624068</v>
      </c>
      <c r="C204">
        <v>4.5160768317673773E-2</v>
      </c>
      <c r="D204" s="2">
        <v>4.1583230958230901</v>
      </c>
      <c r="E204" s="2">
        <f t="shared" si="7"/>
        <v>4.5160768317673773E-2</v>
      </c>
      <c r="H204">
        <v>20.7862407862407</v>
      </c>
    </row>
    <row r="205" spans="1:8" x14ac:dyDescent="0.25">
      <c r="A205" t="s">
        <v>5</v>
      </c>
      <c r="B205">
        <f t="shared" si="6"/>
        <v>261.14004914004909</v>
      </c>
      <c r="C205">
        <v>3.9259683111266083E-2</v>
      </c>
      <c r="D205" s="2">
        <v>3.6585863460863401</v>
      </c>
      <c r="E205" s="2">
        <f t="shared" si="7"/>
        <v>3.9259683111266083E-2</v>
      </c>
      <c r="H205">
        <v>21.140049140049101</v>
      </c>
    </row>
    <row r="206" spans="1:8" x14ac:dyDescent="0.25">
      <c r="A206" t="s">
        <v>5</v>
      </c>
      <c r="B206">
        <f t="shared" si="6"/>
        <v>261.28746928746921</v>
      </c>
      <c r="C206">
        <v>4.1135295194767517E-2</v>
      </c>
      <c r="D206" s="2">
        <v>3.8194103194103199</v>
      </c>
      <c r="E206" s="2">
        <f t="shared" si="7"/>
        <v>4.1135295194767517E-2</v>
      </c>
      <c r="H206">
        <v>21.2874692874692</v>
      </c>
    </row>
    <row r="207" spans="1:8" x14ac:dyDescent="0.25">
      <c r="A207" t="s">
        <v>5</v>
      </c>
      <c r="B207">
        <f t="shared" si="6"/>
        <v>261.61179361179359</v>
      </c>
      <c r="C207">
        <v>3.6190992813835761E-2</v>
      </c>
      <c r="D207" s="2">
        <v>3.3910802035801999</v>
      </c>
      <c r="E207" s="2">
        <f t="shared" si="7"/>
        <v>3.6190992813835761E-2</v>
      </c>
      <c r="H207">
        <v>21.611793611793601</v>
      </c>
    </row>
    <row r="208" spans="1:8" x14ac:dyDescent="0.25">
      <c r="A208" t="s">
        <v>5</v>
      </c>
      <c r="B208">
        <f t="shared" si="6"/>
        <v>262.34889434889431</v>
      </c>
      <c r="C208">
        <v>3.7418575865168675E-2</v>
      </c>
      <c r="D208" s="2">
        <v>3.49877149877149</v>
      </c>
      <c r="E208" s="2">
        <f t="shared" si="7"/>
        <v>3.7418575865168675E-2</v>
      </c>
      <c r="H208">
        <v>22.348894348894301</v>
      </c>
    </row>
    <row r="209" spans="1:8" x14ac:dyDescent="0.25">
      <c r="A209" t="s">
        <v>5</v>
      </c>
      <c r="B209">
        <f t="shared" si="6"/>
        <v>262.8796068796068</v>
      </c>
      <c r="C209">
        <v>3.0839087380701704E-2</v>
      </c>
      <c r="D209" s="2">
        <v>2.9098806598806601</v>
      </c>
      <c r="E209" s="2">
        <f t="shared" si="7"/>
        <v>3.0839087380701704E-2</v>
      </c>
      <c r="H209">
        <v>22.879606879606801</v>
      </c>
    </row>
    <row r="210" spans="1:8" x14ac:dyDescent="0.25">
      <c r="A210" t="s">
        <v>5</v>
      </c>
      <c r="B210">
        <f t="shared" si="6"/>
        <v>263.08599508599502</v>
      </c>
      <c r="C210">
        <v>3.2209563662930804E-2</v>
      </c>
      <c r="D210" s="2">
        <v>3.0350342225342199</v>
      </c>
      <c r="E210" s="2">
        <f t="shared" si="7"/>
        <v>3.2209563662930804E-2</v>
      </c>
      <c r="H210">
        <v>23.085995085994998</v>
      </c>
    </row>
    <row r="211" spans="1:8" x14ac:dyDescent="0.25">
      <c r="A211" t="s">
        <v>5</v>
      </c>
      <c r="B211">
        <f t="shared" si="6"/>
        <v>263.67567567567562</v>
      </c>
      <c r="C211">
        <v>2.3695543761604446E-2</v>
      </c>
      <c r="D211" s="2">
        <v>2.23190154440154</v>
      </c>
      <c r="E211" s="2">
        <f t="shared" si="7"/>
        <v>2.3695543761604446E-2</v>
      </c>
      <c r="H211">
        <v>23.675675675675599</v>
      </c>
    </row>
    <row r="212" spans="1:8" x14ac:dyDescent="0.25">
      <c r="A212" t="s">
        <v>5</v>
      </c>
      <c r="B212">
        <f t="shared" si="6"/>
        <v>263.88206388206379</v>
      </c>
      <c r="C212">
        <v>2.2973605705455671E-2</v>
      </c>
      <c r="D212" s="2">
        <v>2.16062653562653</v>
      </c>
      <c r="E212" s="2">
        <f t="shared" si="7"/>
        <v>2.2973605705455671E-2</v>
      </c>
      <c r="H212">
        <v>23.8820638820638</v>
      </c>
    </row>
  </sheetData>
  <pageMargins left="0.7" right="0.7" top="0.78740157499999996" bottom="0.78740157499999996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DB5BA7A27696418C6D2C8B46A68E83" ma:contentTypeVersion="17" ma:contentTypeDescription="Create a new document." ma:contentTypeScope="" ma:versionID="151fa1d8706c0355297f81811bd06e6b">
  <xsd:schema xmlns:xsd="http://www.w3.org/2001/XMLSchema" xmlns:xs="http://www.w3.org/2001/XMLSchema" xmlns:p="http://schemas.microsoft.com/office/2006/metadata/properties" xmlns:ns2="398d2b5b-77f8-4c5f-a794-3d35ce849315" xmlns:ns3="1c52e43a-7a2d-43c4-9ede-f251c929c0a1" targetNamespace="http://schemas.microsoft.com/office/2006/metadata/properties" ma:root="true" ma:fieldsID="85a3e53823607994162d1630ec2e7479" ns2:_="" ns3:_="">
    <xsd:import namespace="398d2b5b-77f8-4c5f-a794-3d35ce849315"/>
    <xsd:import namespace="1c52e43a-7a2d-43c4-9ede-f251c929c0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d2b5b-77f8-4c5f-a794-3d35ce849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159f3b0-2b76-48c9-87e7-87fe38917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2e43a-7a2d-43c4-9ede-f251c929c0a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d0104378-4ec1-44ae-bb50-cfcef8846f22}" ma:internalName="TaxCatchAll" ma:showField="CatchAllData" ma:web="1c52e43a-7a2d-43c4-9ede-f251c929c0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8d2b5b-77f8-4c5f-a794-3d35ce849315">
      <Terms xmlns="http://schemas.microsoft.com/office/infopath/2007/PartnerControls"/>
    </lcf76f155ced4ddcb4097134ff3c332f>
    <TaxCatchAll xmlns="1c52e43a-7a2d-43c4-9ede-f251c929c0a1" xsi:nil="true"/>
  </documentManagement>
</p:properties>
</file>

<file path=customXml/itemProps1.xml><?xml version="1.0" encoding="utf-8"?>
<ds:datastoreItem xmlns:ds="http://schemas.openxmlformats.org/officeDocument/2006/customXml" ds:itemID="{EF864693-17AD-44BD-A436-E2A00D1F4D2A}"/>
</file>

<file path=customXml/itemProps2.xml><?xml version="1.0" encoding="utf-8"?>
<ds:datastoreItem xmlns:ds="http://schemas.openxmlformats.org/officeDocument/2006/customXml" ds:itemID="{0D61B391-FC61-4F6F-933F-903E6AE614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472FCB-445C-48EF-8F2E-C05AAF1D4A4B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2006/metadata/properties"/>
    <ds:schemaRef ds:uri="398d2b5b-77f8-4c5f-a794-3d35ce849315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1c52e43a-7a2d-43c4-9ede-f251c929c0a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Cooper1983Tab1</vt:lpstr>
      <vt:lpstr>Cooper1983Fig34</vt:lpstr>
      <vt:lpstr>DiStefano1982aFig4</vt:lpstr>
      <vt:lpstr>DiStefano1982baselineT3&amp;T4</vt:lpstr>
      <vt:lpstr>Tuomisto1975baselineTSH</vt:lpstr>
      <vt:lpstr>DiStefano1982bFig2</vt:lpstr>
      <vt:lpstr>Eisenberg2008Fig45</vt:lpstr>
      <vt:lpstr>Eisenberg2008Fig9</vt:lpstr>
      <vt:lpstr>Eisenberg2008Fig8</vt:lpstr>
      <vt:lpstr>Ekterot2013Fig6</vt:lpstr>
      <vt:lpstr>Leonard2016Fig3</vt:lpstr>
      <vt:lpstr>Leonard2016Fig5</vt:lpstr>
      <vt:lpstr>Leonard2016Fig6ab</vt:lpstr>
      <vt:lpstr>Leonard2016Fig6cd</vt:lpstr>
      <vt:lpstr>McGuire1981Fig5</vt:lpstr>
      <vt:lpstr>Hays1980Fig12</vt:lpstr>
      <vt:lpstr>Laurberg_2007</vt:lpstr>
      <vt:lpstr>Silva1977Fig1</vt:lpstr>
      <vt:lpstr>Silva1978</vt:lpstr>
      <vt:lpstr>Wong2005Fig2</vt:lpstr>
      <vt:lpstr>Larsen_1977</vt:lpstr>
      <vt:lpstr>Kampmann_1975</vt:lpstr>
      <vt:lpstr>Wong_2005</vt:lpstr>
      <vt:lpstr>Pilo1990Fig5</vt:lpstr>
      <vt:lpstr>Skellern_1973</vt:lpstr>
      <vt:lpstr>Cooper_1984b</vt:lpstr>
      <vt:lpstr>Cooper_1983</vt:lpstr>
      <vt:lpstr>Cooper_1984b_PD</vt:lpstr>
      <vt:lpstr>Okumara_1986</vt:lpstr>
      <vt:lpstr>Mendes_2014</vt:lpstr>
      <vt:lpstr>Reeth_1987</vt:lpstr>
      <vt:lpstr>Andrare_1999</vt:lpstr>
      <vt:lpstr>Engasser_1980</vt:lpstr>
      <vt:lpstr>Nelson_1982</vt:lpstr>
      <vt:lpstr>Michael_1989</vt:lpstr>
      <vt:lpstr>Kato_2010</vt:lpstr>
      <vt:lpstr>Oppenheimer_1968</vt:lpstr>
      <vt:lpstr>Marchant_1971</vt:lpstr>
      <vt:lpstr>MetaInfo</vt:lpstr>
      <vt:lpstr>Rat_T4_iv_doseNorm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Albrecht</dc:creator>
  <cp:lastModifiedBy>Pavel Balazki</cp:lastModifiedBy>
  <dcterms:created xsi:type="dcterms:W3CDTF">2020-01-18T07:48:44Z</dcterms:created>
  <dcterms:modified xsi:type="dcterms:W3CDTF">2020-11-03T13:56:54Z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0x01010011DB5BA7A27696418C6D2C8B46A68E83</vt:lpwstr>
  </property>
</Properties>
</file>