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ri\Downloads\"/>
    </mc:Choice>
  </mc:AlternateContent>
  <xr:revisionPtr revIDLastSave="0" documentId="8_{0C2DF879-F8B0-4B28-8244-A57D5D7F0CBA}" xr6:coauthVersionLast="41" xr6:coauthVersionMax="41" xr10:uidLastSave="{00000000-0000-0000-0000-000000000000}"/>
  <bookViews>
    <workbookView xWindow="17" yWindow="617" windowWidth="23434" windowHeight="15017" tabRatio="739" xr2:uid="{00000000-000D-0000-FFFF-FFFF00000000}"/>
  </bookViews>
  <sheets>
    <sheet name="airplane" sheetId="1" r:id="rId1"/>
    <sheet name="Hand_launch" sheetId="2" r:id="rId2"/>
    <sheet name="maximum speed" sheetId="3" r:id="rId3"/>
    <sheet name="Landing" sheetId="4" r:id="rId4"/>
    <sheet name="Ceiling" sheetId="5" r:id="rId5"/>
    <sheet name="Rate of climb" sheetId="6" r:id="rId6"/>
    <sheet name="Tur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1" l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P3" i="2"/>
  <c r="P4" i="2" s="1"/>
  <c r="P5" i="2" s="1"/>
  <c r="P6" i="2" s="1"/>
  <c r="P7" i="2" l="1"/>
  <c r="D19" i="1"/>
  <c r="U3" i="2" s="1"/>
  <c r="U4" i="2" l="1"/>
  <c r="U5" i="2" s="1"/>
  <c r="P8" i="2"/>
  <c r="J40" i="1"/>
  <c r="U6" i="2" l="1"/>
  <c r="P9" i="2"/>
  <c r="D23" i="1"/>
  <c r="D53" i="1"/>
  <c r="D52" i="1"/>
  <c r="U7" i="2" l="1"/>
  <c r="P10" i="2"/>
  <c r="R36" i="1"/>
  <c r="R35" i="1"/>
  <c r="U8" i="2" l="1"/>
  <c r="P11" i="2"/>
  <c r="J41" i="1"/>
  <c r="I44" i="1" s="1"/>
  <c r="L38" i="1"/>
  <c r="D37" i="1"/>
  <c r="U9" i="2" l="1"/>
  <c r="P12" i="2"/>
  <c r="I45" i="1"/>
  <c r="F52" i="1"/>
  <c r="D43" i="1"/>
  <c r="U10" i="2" l="1"/>
  <c r="P13" i="2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B44" i="1"/>
  <c r="B54" i="1"/>
  <c r="B56" i="1"/>
  <c r="B45" i="1"/>
  <c r="B46" i="1" s="1"/>
  <c r="B38" i="1"/>
  <c r="B32" i="1"/>
  <c r="K3" i="4" s="1"/>
  <c r="L3" i="4" s="1"/>
  <c r="F23" i="1"/>
  <c r="H22" i="1"/>
  <c r="B25" i="1"/>
  <c r="B24" i="1" s="1"/>
  <c r="U11" i="2" l="1"/>
  <c r="P30" i="2"/>
  <c r="G3" i="2"/>
  <c r="O3" i="3"/>
  <c r="N3" i="3"/>
  <c r="N3" i="4"/>
  <c r="M3" i="5"/>
  <c r="M3" i="6"/>
  <c r="N3" i="7"/>
  <c r="M3" i="7"/>
  <c r="K3" i="2"/>
  <c r="O3" i="2" s="1"/>
  <c r="W3" i="2" s="1"/>
  <c r="Y3" i="2" s="1"/>
  <c r="H3" i="2" s="1"/>
  <c r="L3" i="2" s="1"/>
  <c r="U12" i="2" l="1"/>
  <c r="P31" i="2"/>
  <c r="I4" i="5"/>
  <c r="I4" i="7"/>
  <c r="I4" i="6"/>
  <c r="M4" i="6" s="1"/>
  <c r="U13" i="2" l="1"/>
  <c r="P32" i="2"/>
  <c r="I5" i="6"/>
  <c r="I5" i="5"/>
  <c r="M4" i="5"/>
  <c r="I5" i="7"/>
  <c r="M4" i="7"/>
  <c r="O3" i="4"/>
  <c r="J4" i="4"/>
  <c r="K4" i="4" s="1"/>
  <c r="L4" i="4" s="1"/>
  <c r="U14" i="2" l="1"/>
  <c r="P33" i="2"/>
  <c r="J5" i="4"/>
  <c r="K5" i="4" s="1"/>
  <c r="L5" i="4" s="1"/>
  <c r="N4" i="4"/>
  <c r="I6" i="5"/>
  <c r="M5" i="5"/>
  <c r="I6" i="6"/>
  <c r="M5" i="6"/>
  <c r="I6" i="7"/>
  <c r="M5" i="7"/>
  <c r="O4" i="4"/>
  <c r="U15" i="2" l="1"/>
  <c r="P34" i="2"/>
  <c r="J12" i="3"/>
  <c r="I7" i="5"/>
  <c r="M6" i="5"/>
  <c r="I7" i="6"/>
  <c r="M6" i="6"/>
  <c r="J6" i="4"/>
  <c r="K6" i="4" s="1"/>
  <c r="L6" i="4" s="1"/>
  <c r="N5" i="4"/>
  <c r="O5" i="4"/>
  <c r="I7" i="7"/>
  <c r="M6" i="7"/>
  <c r="F4" i="2"/>
  <c r="B11" i="1"/>
  <c r="K11" i="3" s="1"/>
  <c r="L11" i="3" s="1"/>
  <c r="E2" i="1"/>
  <c r="D2" i="1"/>
  <c r="U16" i="2" l="1"/>
  <c r="P35" i="2"/>
  <c r="G4" i="2"/>
  <c r="O4" i="3"/>
  <c r="B40" i="1"/>
  <c r="B48" i="1"/>
  <c r="J13" i="3"/>
  <c r="K12" i="3"/>
  <c r="L12" i="3" s="1"/>
  <c r="K4" i="2"/>
  <c r="O4" i="2" s="1"/>
  <c r="W4" i="2" s="1"/>
  <c r="Y4" i="2" s="1"/>
  <c r="H4" i="2" s="1"/>
  <c r="I8" i="6"/>
  <c r="M7" i="6"/>
  <c r="N4" i="3"/>
  <c r="J7" i="4"/>
  <c r="K7" i="4" s="1"/>
  <c r="L7" i="4" s="1"/>
  <c r="N6" i="4"/>
  <c r="O6" i="4"/>
  <c r="I8" i="5"/>
  <c r="M7" i="5"/>
  <c r="I8" i="7"/>
  <c r="J8" i="7" s="1"/>
  <c r="K8" i="7" s="1"/>
  <c r="N8" i="7" s="1"/>
  <c r="M7" i="7"/>
  <c r="B12" i="1"/>
  <c r="J4" i="7"/>
  <c r="K4" i="7" s="1"/>
  <c r="N4" i="7" s="1"/>
  <c r="J6" i="7"/>
  <c r="K6" i="7" s="1"/>
  <c r="N6" i="7" s="1"/>
  <c r="J7" i="7"/>
  <c r="K7" i="7" s="1"/>
  <c r="N7" i="7" s="1"/>
  <c r="J5" i="7"/>
  <c r="K5" i="7" s="1"/>
  <c r="N5" i="7" s="1"/>
  <c r="F5" i="2"/>
  <c r="G5" i="2" s="1"/>
  <c r="O5" i="3"/>
  <c r="L4" i="2" l="1"/>
  <c r="U17" i="2"/>
  <c r="P36" i="2"/>
  <c r="J8" i="5"/>
  <c r="K8" i="5" s="1"/>
  <c r="N8" i="5" s="1"/>
  <c r="J3" i="5"/>
  <c r="K3" i="5" s="1"/>
  <c r="N3" i="5" s="1"/>
  <c r="J4" i="5"/>
  <c r="K4" i="5" s="1"/>
  <c r="N4" i="5" s="1"/>
  <c r="J5" i="5"/>
  <c r="K5" i="5" s="1"/>
  <c r="N5" i="5" s="1"/>
  <c r="J6" i="5"/>
  <c r="K6" i="5" s="1"/>
  <c r="N6" i="5" s="1"/>
  <c r="J7" i="5"/>
  <c r="K7" i="5" s="1"/>
  <c r="N7" i="5" s="1"/>
  <c r="K5" i="2"/>
  <c r="O5" i="2" s="1"/>
  <c r="W5" i="2" s="1"/>
  <c r="Y5" i="2" s="1"/>
  <c r="H5" i="2" s="1"/>
  <c r="L5" i="2" s="1"/>
  <c r="K13" i="3"/>
  <c r="L13" i="3" s="1"/>
  <c r="J14" i="3"/>
  <c r="J8" i="4"/>
  <c r="K8" i="4" s="1"/>
  <c r="L8" i="4" s="1"/>
  <c r="N7" i="4"/>
  <c r="O7" i="4"/>
  <c r="I9" i="6"/>
  <c r="J9" i="6" s="1"/>
  <c r="K9" i="6" s="1"/>
  <c r="N9" i="6" s="1"/>
  <c r="M8" i="6"/>
  <c r="I9" i="5"/>
  <c r="J9" i="5" s="1"/>
  <c r="K9" i="5" s="1"/>
  <c r="N9" i="5" s="1"/>
  <c r="M8" i="5"/>
  <c r="N5" i="3"/>
  <c r="I9" i="7"/>
  <c r="M8" i="7"/>
  <c r="J3" i="6"/>
  <c r="K3" i="6" s="1"/>
  <c r="N3" i="6" s="1"/>
  <c r="J4" i="6"/>
  <c r="K4" i="6" s="1"/>
  <c r="N4" i="6" s="1"/>
  <c r="J7" i="6"/>
  <c r="K7" i="6" s="1"/>
  <c r="N7" i="6" s="1"/>
  <c r="J6" i="6"/>
  <c r="K6" i="6" s="1"/>
  <c r="N6" i="6" s="1"/>
  <c r="J8" i="6"/>
  <c r="K8" i="6" s="1"/>
  <c r="N8" i="6" s="1"/>
  <c r="J5" i="6"/>
  <c r="K5" i="6" s="1"/>
  <c r="N5" i="6" s="1"/>
  <c r="F6" i="2"/>
  <c r="G6" i="2" s="1"/>
  <c r="U18" i="2" l="1"/>
  <c r="P37" i="2"/>
  <c r="K6" i="2"/>
  <c r="O6" i="2" s="1"/>
  <c r="W6" i="2" s="1"/>
  <c r="Y6" i="2" s="1"/>
  <c r="H6" i="2" s="1"/>
  <c r="L6" i="2" s="1"/>
  <c r="J15" i="3"/>
  <c r="K14" i="3"/>
  <c r="L14" i="3" s="1"/>
  <c r="I10" i="6"/>
  <c r="M9" i="6"/>
  <c r="I10" i="5"/>
  <c r="J10" i="5" s="1"/>
  <c r="M9" i="5"/>
  <c r="N6" i="3"/>
  <c r="O6" i="3"/>
  <c r="J9" i="4"/>
  <c r="K9" i="4" s="1"/>
  <c r="L9" i="4" s="1"/>
  <c r="N8" i="4"/>
  <c r="O8" i="4"/>
  <c r="I10" i="7"/>
  <c r="M9" i="7"/>
  <c r="J9" i="7"/>
  <c r="K9" i="7" s="1"/>
  <c r="N9" i="7" s="1"/>
  <c r="F7" i="2"/>
  <c r="G7" i="2" s="1"/>
  <c r="U19" i="2" l="1"/>
  <c r="P38" i="2"/>
  <c r="K7" i="2"/>
  <c r="O7" i="2" s="1"/>
  <c r="W7" i="2" s="1"/>
  <c r="Y7" i="2" s="1"/>
  <c r="H7" i="2" s="1"/>
  <c r="L7" i="2" s="1"/>
  <c r="K15" i="3"/>
  <c r="L15" i="3" s="1"/>
  <c r="J16" i="3"/>
  <c r="J10" i="4"/>
  <c r="K10" i="4" s="1"/>
  <c r="L10" i="4" s="1"/>
  <c r="N9" i="4"/>
  <c r="O9" i="4"/>
  <c r="I11" i="5"/>
  <c r="J11" i="5" s="1"/>
  <c r="M10" i="5"/>
  <c r="K10" i="5"/>
  <c r="N10" i="5" s="1"/>
  <c r="N7" i="3"/>
  <c r="O7" i="3"/>
  <c r="I11" i="6"/>
  <c r="M10" i="6"/>
  <c r="J10" i="6"/>
  <c r="K10" i="6" s="1"/>
  <c r="N10" i="6" s="1"/>
  <c r="I11" i="7"/>
  <c r="M10" i="7"/>
  <c r="J10" i="7"/>
  <c r="K10" i="7" s="1"/>
  <c r="N10" i="7" s="1"/>
  <c r="F8" i="2"/>
  <c r="G8" i="2" s="1"/>
  <c r="U20" i="2" l="1"/>
  <c r="P39" i="2"/>
  <c r="K8" i="2"/>
  <c r="O8" i="2" s="1"/>
  <c r="W8" i="2" s="1"/>
  <c r="Y8" i="2" s="1"/>
  <c r="H8" i="2" s="1"/>
  <c r="L8" i="2" s="1"/>
  <c r="J17" i="3"/>
  <c r="K16" i="3"/>
  <c r="L16" i="3" s="1"/>
  <c r="I12" i="5"/>
  <c r="J12" i="5" s="1"/>
  <c r="M11" i="5"/>
  <c r="K11" i="5"/>
  <c r="N11" i="5" s="1"/>
  <c r="N8" i="3"/>
  <c r="O8" i="3"/>
  <c r="I12" i="6"/>
  <c r="M11" i="6"/>
  <c r="J11" i="6"/>
  <c r="K11" i="6" s="1"/>
  <c r="N11" i="6" s="1"/>
  <c r="J11" i="4"/>
  <c r="K11" i="4" s="1"/>
  <c r="L11" i="4" s="1"/>
  <c r="N10" i="4"/>
  <c r="O10" i="4"/>
  <c r="I12" i="7"/>
  <c r="M11" i="7"/>
  <c r="J11" i="7"/>
  <c r="K11" i="7" s="1"/>
  <c r="N11" i="7" s="1"/>
  <c r="F9" i="2"/>
  <c r="G9" i="2" s="1"/>
  <c r="U21" i="2" l="1"/>
  <c r="P40" i="2"/>
  <c r="K9" i="2"/>
  <c r="O9" i="2" s="1"/>
  <c r="W9" i="2" s="1"/>
  <c r="Y9" i="2" s="1"/>
  <c r="H9" i="2" s="1"/>
  <c r="L9" i="2" s="1"/>
  <c r="K17" i="3"/>
  <c r="L17" i="3" s="1"/>
  <c r="J18" i="3"/>
  <c r="N9" i="3"/>
  <c r="O9" i="3"/>
  <c r="I13" i="6"/>
  <c r="M12" i="6"/>
  <c r="J12" i="6"/>
  <c r="K12" i="6" s="1"/>
  <c r="N12" i="6" s="1"/>
  <c r="J12" i="4"/>
  <c r="K12" i="4" s="1"/>
  <c r="L12" i="4" s="1"/>
  <c r="N11" i="4"/>
  <c r="O11" i="4"/>
  <c r="I13" i="5"/>
  <c r="J13" i="5" s="1"/>
  <c r="M12" i="5"/>
  <c r="K12" i="5"/>
  <c r="N12" i="5" s="1"/>
  <c r="I13" i="7"/>
  <c r="M12" i="7"/>
  <c r="J12" i="7"/>
  <c r="K12" i="7" s="1"/>
  <c r="N12" i="7" s="1"/>
  <c r="F10" i="2"/>
  <c r="G10" i="2" s="1"/>
  <c r="U22" i="2" l="1"/>
  <c r="P41" i="2"/>
  <c r="K10" i="2"/>
  <c r="O10" i="2" s="1"/>
  <c r="W10" i="2" s="1"/>
  <c r="Y10" i="2" s="1"/>
  <c r="H10" i="2" s="1"/>
  <c r="L10" i="2" s="1"/>
  <c r="J19" i="3"/>
  <c r="K18" i="3"/>
  <c r="L18" i="3" s="1"/>
  <c r="I14" i="6"/>
  <c r="M13" i="6"/>
  <c r="J13" i="6"/>
  <c r="K13" i="6" s="1"/>
  <c r="N13" i="6" s="1"/>
  <c r="J13" i="4"/>
  <c r="K13" i="4" s="1"/>
  <c r="L13" i="4" s="1"/>
  <c r="N12" i="4"/>
  <c r="O12" i="4"/>
  <c r="I14" i="5"/>
  <c r="J14" i="5" s="1"/>
  <c r="M13" i="5"/>
  <c r="K13" i="5"/>
  <c r="N13" i="5" s="1"/>
  <c r="N10" i="3"/>
  <c r="O10" i="3"/>
  <c r="I14" i="7"/>
  <c r="M13" i="7"/>
  <c r="J13" i="7"/>
  <c r="K13" i="7" s="1"/>
  <c r="N13" i="7" s="1"/>
  <c r="F11" i="2"/>
  <c r="G11" i="2" s="1"/>
  <c r="U23" i="2" l="1"/>
  <c r="P42" i="2"/>
  <c r="K11" i="2"/>
  <c r="O11" i="2" s="1"/>
  <c r="W11" i="2" s="1"/>
  <c r="Y11" i="2" s="1"/>
  <c r="H11" i="2" s="1"/>
  <c r="L11" i="2" s="1"/>
  <c r="K19" i="3"/>
  <c r="L19" i="3" s="1"/>
  <c r="J20" i="3"/>
  <c r="J14" i="4"/>
  <c r="K14" i="4" s="1"/>
  <c r="L14" i="4" s="1"/>
  <c r="N13" i="4"/>
  <c r="O13" i="4"/>
  <c r="I15" i="5"/>
  <c r="J15" i="5" s="1"/>
  <c r="M14" i="5"/>
  <c r="K14" i="5"/>
  <c r="N14" i="5" s="1"/>
  <c r="N11" i="3"/>
  <c r="O11" i="3"/>
  <c r="I15" i="6"/>
  <c r="M14" i="6"/>
  <c r="J14" i="6"/>
  <c r="K14" i="6" s="1"/>
  <c r="N14" i="6" s="1"/>
  <c r="I15" i="7"/>
  <c r="M14" i="7"/>
  <c r="J14" i="7"/>
  <c r="K14" i="7" s="1"/>
  <c r="N14" i="7" s="1"/>
  <c r="F12" i="2"/>
  <c r="G12" i="2" s="1"/>
  <c r="U24" i="2" l="1"/>
  <c r="P43" i="2"/>
  <c r="K12" i="2"/>
  <c r="O12" i="2" s="1"/>
  <c r="W12" i="2" s="1"/>
  <c r="Y12" i="2" s="1"/>
  <c r="H12" i="2" s="1"/>
  <c r="L12" i="2" s="1"/>
  <c r="K20" i="3"/>
  <c r="L20" i="3" s="1"/>
  <c r="J21" i="3"/>
  <c r="K21" i="3" s="1"/>
  <c r="L21" i="3" s="1"/>
  <c r="I16" i="5"/>
  <c r="J16" i="5" s="1"/>
  <c r="M15" i="5"/>
  <c r="K15" i="5"/>
  <c r="N15" i="5" s="1"/>
  <c r="N12" i="3"/>
  <c r="O12" i="3"/>
  <c r="I16" i="6"/>
  <c r="M15" i="6"/>
  <c r="J15" i="6"/>
  <c r="K15" i="6" s="1"/>
  <c r="N15" i="6" s="1"/>
  <c r="J15" i="4"/>
  <c r="K15" i="4" s="1"/>
  <c r="L15" i="4" s="1"/>
  <c r="N14" i="4"/>
  <c r="O14" i="4"/>
  <c r="I16" i="7"/>
  <c r="M15" i="7"/>
  <c r="J15" i="7"/>
  <c r="K15" i="7" s="1"/>
  <c r="N15" i="7" s="1"/>
  <c r="F13" i="2"/>
  <c r="G13" i="2" s="1"/>
  <c r="U25" i="2" l="1"/>
  <c r="P44" i="2"/>
  <c r="K13" i="2"/>
  <c r="O13" i="2" s="1"/>
  <c r="W13" i="2" s="1"/>
  <c r="Y13" i="2" s="1"/>
  <c r="H13" i="2" s="1"/>
  <c r="L13" i="2" s="1"/>
  <c r="N13" i="3"/>
  <c r="O13" i="3"/>
  <c r="I17" i="6"/>
  <c r="M16" i="6"/>
  <c r="J16" i="6"/>
  <c r="K16" i="6" s="1"/>
  <c r="N16" i="6" s="1"/>
  <c r="J16" i="4"/>
  <c r="K16" i="4" s="1"/>
  <c r="L16" i="4" s="1"/>
  <c r="N15" i="4"/>
  <c r="O15" i="4"/>
  <c r="I17" i="5"/>
  <c r="J17" i="5" s="1"/>
  <c r="M16" i="5"/>
  <c r="K16" i="5"/>
  <c r="N16" i="5" s="1"/>
  <c r="I17" i="7"/>
  <c r="M16" i="7"/>
  <c r="J16" i="7"/>
  <c r="K16" i="7" s="1"/>
  <c r="N16" i="7" s="1"/>
  <c r="F14" i="2"/>
  <c r="G14" i="2" s="1"/>
  <c r="U26" i="2" l="1"/>
  <c r="P45" i="2"/>
  <c r="K14" i="2"/>
  <c r="O14" i="2" s="1"/>
  <c r="W14" i="2" s="1"/>
  <c r="Y14" i="2" s="1"/>
  <c r="H14" i="2" s="1"/>
  <c r="L14" i="2" s="1"/>
  <c r="I18" i="6"/>
  <c r="M17" i="6"/>
  <c r="J17" i="6"/>
  <c r="K17" i="6" s="1"/>
  <c r="N17" i="6" s="1"/>
  <c r="J17" i="4"/>
  <c r="K17" i="4" s="1"/>
  <c r="L17" i="4" s="1"/>
  <c r="N16" i="4"/>
  <c r="O16" i="4"/>
  <c r="I18" i="5"/>
  <c r="J18" i="5" s="1"/>
  <c r="M17" i="5"/>
  <c r="K17" i="5"/>
  <c r="N17" i="5" s="1"/>
  <c r="N14" i="3"/>
  <c r="O14" i="3"/>
  <c r="I18" i="7"/>
  <c r="M17" i="7"/>
  <c r="J17" i="7"/>
  <c r="K17" i="7" s="1"/>
  <c r="N17" i="7" s="1"/>
  <c r="F15" i="2"/>
  <c r="G15" i="2" s="1"/>
  <c r="U27" i="2" l="1"/>
  <c r="P46" i="2"/>
  <c r="K15" i="2"/>
  <c r="O15" i="2" s="1"/>
  <c r="W15" i="2" s="1"/>
  <c r="Y15" i="2" s="1"/>
  <c r="H15" i="2" s="1"/>
  <c r="L15" i="2" s="1"/>
  <c r="J18" i="4"/>
  <c r="K18" i="4" s="1"/>
  <c r="L18" i="4" s="1"/>
  <c r="N17" i="4"/>
  <c r="O17" i="4"/>
  <c r="I19" i="5"/>
  <c r="J19" i="5" s="1"/>
  <c r="M18" i="5"/>
  <c r="K18" i="5"/>
  <c r="N18" i="5" s="1"/>
  <c r="N15" i="3"/>
  <c r="O15" i="3"/>
  <c r="I19" i="6"/>
  <c r="M18" i="6"/>
  <c r="J18" i="6"/>
  <c r="K18" i="6" s="1"/>
  <c r="N18" i="6" s="1"/>
  <c r="I19" i="7"/>
  <c r="M18" i="7"/>
  <c r="J18" i="7"/>
  <c r="K18" i="7" s="1"/>
  <c r="N18" i="7" s="1"/>
  <c r="F16" i="2"/>
  <c r="G16" i="2" s="1"/>
  <c r="U28" i="2" l="1"/>
  <c r="P47" i="2"/>
  <c r="K16" i="2"/>
  <c r="O16" i="2" s="1"/>
  <c r="W16" i="2" s="1"/>
  <c r="Y16" i="2" s="1"/>
  <c r="H16" i="2" s="1"/>
  <c r="L16" i="2" s="1"/>
  <c r="I20" i="5"/>
  <c r="J20" i="5" s="1"/>
  <c r="M19" i="5"/>
  <c r="K19" i="5"/>
  <c r="N19" i="5" s="1"/>
  <c r="N16" i="3"/>
  <c r="O16" i="3"/>
  <c r="I20" i="6"/>
  <c r="M19" i="6"/>
  <c r="J19" i="6"/>
  <c r="K19" i="6" s="1"/>
  <c r="N19" i="6" s="1"/>
  <c r="J19" i="4"/>
  <c r="K19" i="4" s="1"/>
  <c r="L19" i="4" s="1"/>
  <c r="N18" i="4"/>
  <c r="O18" i="4"/>
  <c r="I20" i="7"/>
  <c r="M19" i="7"/>
  <c r="J19" i="7"/>
  <c r="K19" i="7" s="1"/>
  <c r="N19" i="7" s="1"/>
  <c r="F17" i="2"/>
  <c r="G17" i="2" s="1"/>
  <c r="U29" i="2" l="1"/>
  <c r="P48" i="2"/>
  <c r="K17" i="2"/>
  <c r="O17" i="2" s="1"/>
  <c r="W17" i="2" s="1"/>
  <c r="Y17" i="2" s="1"/>
  <c r="H17" i="2" s="1"/>
  <c r="L17" i="2" s="1"/>
  <c r="N17" i="3"/>
  <c r="O17" i="3"/>
  <c r="I21" i="6"/>
  <c r="M20" i="6"/>
  <c r="J20" i="6"/>
  <c r="K20" i="6" s="1"/>
  <c r="N20" i="6" s="1"/>
  <c r="J20" i="4"/>
  <c r="K20" i="4" s="1"/>
  <c r="L20" i="4" s="1"/>
  <c r="N19" i="4"/>
  <c r="O19" i="4"/>
  <c r="I21" i="5"/>
  <c r="J21" i="5" s="1"/>
  <c r="M20" i="5"/>
  <c r="K20" i="5"/>
  <c r="N20" i="5" s="1"/>
  <c r="I21" i="7"/>
  <c r="M20" i="7"/>
  <c r="J20" i="7"/>
  <c r="K20" i="7" s="1"/>
  <c r="N20" i="7" s="1"/>
  <c r="F18" i="2"/>
  <c r="G18" i="2" s="1"/>
  <c r="U30" i="2" l="1"/>
  <c r="P49" i="2"/>
  <c r="K18" i="2"/>
  <c r="O18" i="2" s="1"/>
  <c r="W18" i="2" s="1"/>
  <c r="Y18" i="2" s="1"/>
  <c r="H18" i="2" s="1"/>
  <c r="L18" i="2" s="1"/>
  <c r="I22" i="6"/>
  <c r="M21" i="6"/>
  <c r="J21" i="6"/>
  <c r="K21" i="6" s="1"/>
  <c r="N21" i="6" s="1"/>
  <c r="J21" i="4"/>
  <c r="K21" i="4" s="1"/>
  <c r="L21" i="4" s="1"/>
  <c r="N20" i="4"/>
  <c r="O20" i="4"/>
  <c r="I22" i="5"/>
  <c r="J22" i="5" s="1"/>
  <c r="M21" i="5"/>
  <c r="K21" i="5"/>
  <c r="N21" i="5" s="1"/>
  <c r="N18" i="3"/>
  <c r="O18" i="3"/>
  <c r="I22" i="7"/>
  <c r="M21" i="7"/>
  <c r="J21" i="7"/>
  <c r="K21" i="7" s="1"/>
  <c r="N21" i="7" s="1"/>
  <c r="F19" i="2"/>
  <c r="G19" i="2" s="1"/>
  <c r="U31" i="2" l="1"/>
  <c r="P50" i="2"/>
  <c r="K19" i="2"/>
  <c r="O19" i="2" s="1"/>
  <c r="W19" i="2" s="1"/>
  <c r="Y19" i="2" s="1"/>
  <c r="H19" i="2" s="1"/>
  <c r="L19" i="2" s="1"/>
  <c r="J22" i="4"/>
  <c r="K22" i="4" s="1"/>
  <c r="L22" i="4" s="1"/>
  <c r="N21" i="4"/>
  <c r="O21" i="4"/>
  <c r="I23" i="5"/>
  <c r="J23" i="5" s="1"/>
  <c r="M22" i="5"/>
  <c r="K22" i="5"/>
  <c r="N22" i="5" s="1"/>
  <c r="N19" i="3"/>
  <c r="O19" i="3"/>
  <c r="I23" i="6"/>
  <c r="M22" i="6"/>
  <c r="J22" i="6"/>
  <c r="K22" i="6" s="1"/>
  <c r="N22" i="6" s="1"/>
  <c r="I23" i="7"/>
  <c r="M22" i="7"/>
  <c r="J22" i="7"/>
  <c r="K22" i="7" s="1"/>
  <c r="N22" i="7" s="1"/>
  <c r="F20" i="2"/>
  <c r="G20" i="2" s="1"/>
  <c r="U32" i="2" l="1"/>
  <c r="P51" i="2"/>
  <c r="K20" i="2"/>
  <c r="O20" i="2" s="1"/>
  <c r="W20" i="2" s="1"/>
  <c r="Y20" i="2" s="1"/>
  <c r="H20" i="2" s="1"/>
  <c r="L20" i="2" s="1"/>
  <c r="I24" i="5"/>
  <c r="J24" i="5" s="1"/>
  <c r="M23" i="5"/>
  <c r="K23" i="5"/>
  <c r="N23" i="5" s="1"/>
  <c r="N20" i="3"/>
  <c r="O20" i="3"/>
  <c r="I24" i="6"/>
  <c r="M23" i="6"/>
  <c r="J23" i="6"/>
  <c r="K23" i="6" s="1"/>
  <c r="N23" i="6" s="1"/>
  <c r="J23" i="4"/>
  <c r="K23" i="4" s="1"/>
  <c r="L23" i="4" s="1"/>
  <c r="N22" i="4"/>
  <c r="O22" i="4"/>
  <c r="I24" i="7"/>
  <c r="M23" i="7"/>
  <c r="J23" i="7"/>
  <c r="K23" i="7" s="1"/>
  <c r="N23" i="7" s="1"/>
  <c r="F21" i="2"/>
  <c r="G21" i="2" s="1"/>
  <c r="U33" i="2" l="1"/>
  <c r="P52" i="2"/>
  <c r="K21" i="2"/>
  <c r="O21" i="2" s="1"/>
  <c r="W21" i="2" s="1"/>
  <c r="Y21" i="2" s="1"/>
  <c r="H21" i="2" s="1"/>
  <c r="L21" i="2" s="1"/>
  <c r="J22" i="3"/>
  <c r="N21" i="3"/>
  <c r="O21" i="3"/>
  <c r="I25" i="6"/>
  <c r="M24" i="6"/>
  <c r="J24" i="6"/>
  <c r="K24" i="6" s="1"/>
  <c r="N24" i="6" s="1"/>
  <c r="J24" i="4"/>
  <c r="K24" i="4" s="1"/>
  <c r="L24" i="4" s="1"/>
  <c r="N23" i="4"/>
  <c r="O23" i="4"/>
  <c r="I25" i="5"/>
  <c r="J25" i="5" s="1"/>
  <c r="M24" i="5"/>
  <c r="K24" i="5"/>
  <c r="N24" i="5" s="1"/>
  <c r="I25" i="7"/>
  <c r="M24" i="7"/>
  <c r="J24" i="7"/>
  <c r="K24" i="7" s="1"/>
  <c r="N24" i="7" s="1"/>
  <c r="F22" i="2"/>
  <c r="G22" i="2" s="1"/>
  <c r="U34" i="2" l="1"/>
  <c r="P53" i="2"/>
  <c r="K22" i="2"/>
  <c r="O22" i="2" s="1"/>
  <c r="W22" i="2" s="1"/>
  <c r="Y22" i="2" s="1"/>
  <c r="H22" i="2" s="1"/>
  <c r="L22" i="2" s="1"/>
  <c r="I26" i="6"/>
  <c r="M25" i="6"/>
  <c r="J25" i="6"/>
  <c r="K25" i="6" s="1"/>
  <c r="N25" i="6" s="1"/>
  <c r="J25" i="4"/>
  <c r="K25" i="4" s="1"/>
  <c r="L25" i="4" s="1"/>
  <c r="N24" i="4"/>
  <c r="O24" i="4"/>
  <c r="I26" i="5"/>
  <c r="J26" i="5" s="1"/>
  <c r="M25" i="5"/>
  <c r="K25" i="5"/>
  <c r="N25" i="5" s="1"/>
  <c r="J23" i="3"/>
  <c r="N22" i="3"/>
  <c r="K22" i="3"/>
  <c r="L22" i="3" s="1"/>
  <c r="O22" i="3" s="1"/>
  <c r="I26" i="7"/>
  <c r="M25" i="7"/>
  <c r="J25" i="7"/>
  <c r="K25" i="7" s="1"/>
  <c r="N25" i="7" s="1"/>
  <c r="F23" i="2"/>
  <c r="G23" i="2" s="1"/>
  <c r="U35" i="2" l="1"/>
  <c r="K23" i="2"/>
  <c r="O23" i="2" s="1"/>
  <c r="W23" i="2" s="1"/>
  <c r="Y23" i="2" s="1"/>
  <c r="H23" i="2" s="1"/>
  <c r="L23" i="2" s="1"/>
  <c r="J26" i="4"/>
  <c r="K26" i="4" s="1"/>
  <c r="L26" i="4" s="1"/>
  <c r="N25" i="4"/>
  <c r="O25" i="4"/>
  <c r="I27" i="5"/>
  <c r="J27" i="5" s="1"/>
  <c r="M26" i="5"/>
  <c r="K26" i="5"/>
  <c r="N26" i="5" s="1"/>
  <c r="J24" i="3"/>
  <c r="N23" i="3"/>
  <c r="K23" i="3"/>
  <c r="L23" i="3" s="1"/>
  <c r="O23" i="3" s="1"/>
  <c r="I27" i="6"/>
  <c r="M26" i="6"/>
  <c r="J26" i="6"/>
  <c r="K26" i="6" s="1"/>
  <c r="N26" i="6" s="1"/>
  <c r="I27" i="7"/>
  <c r="M26" i="7"/>
  <c r="J26" i="7"/>
  <c r="K26" i="7" s="1"/>
  <c r="N26" i="7" s="1"/>
  <c r="F24" i="2"/>
  <c r="G24" i="2" s="1"/>
  <c r="U36" i="2" l="1"/>
  <c r="K24" i="2"/>
  <c r="O24" i="2" s="1"/>
  <c r="W24" i="2" s="1"/>
  <c r="Y24" i="2" s="1"/>
  <c r="H24" i="2" s="1"/>
  <c r="L24" i="2" s="1"/>
  <c r="I28" i="5"/>
  <c r="J28" i="5" s="1"/>
  <c r="M27" i="5"/>
  <c r="K27" i="5"/>
  <c r="N27" i="5" s="1"/>
  <c r="J25" i="3"/>
  <c r="N24" i="3"/>
  <c r="K24" i="3"/>
  <c r="L24" i="3" s="1"/>
  <c r="O24" i="3" s="1"/>
  <c r="I28" i="6"/>
  <c r="M27" i="6"/>
  <c r="J27" i="6"/>
  <c r="K27" i="6" s="1"/>
  <c r="N27" i="6" s="1"/>
  <c r="J27" i="4"/>
  <c r="K27" i="4" s="1"/>
  <c r="L27" i="4" s="1"/>
  <c r="N26" i="4"/>
  <c r="O26" i="4"/>
  <c r="I28" i="7"/>
  <c r="M27" i="7"/>
  <c r="J27" i="7"/>
  <c r="K27" i="7" s="1"/>
  <c r="N27" i="7" s="1"/>
  <c r="F25" i="2"/>
  <c r="G25" i="2" s="1"/>
  <c r="U37" i="2" l="1"/>
  <c r="K25" i="2"/>
  <c r="O25" i="2" s="1"/>
  <c r="W25" i="2" s="1"/>
  <c r="Y25" i="2" s="1"/>
  <c r="H25" i="2" s="1"/>
  <c r="L25" i="2" s="1"/>
  <c r="J26" i="3"/>
  <c r="N25" i="3"/>
  <c r="K25" i="3"/>
  <c r="L25" i="3" s="1"/>
  <c r="O25" i="3" s="1"/>
  <c r="I29" i="6"/>
  <c r="M28" i="6"/>
  <c r="J28" i="6"/>
  <c r="K28" i="6" s="1"/>
  <c r="N28" i="6" s="1"/>
  <c r="J28" i="4"/>
  <c r="K28" i="4" s="1"/>
  <c r="L28" i="4" s="1"/>
  <c r="N27" i="4"/>
  <c r="O27" i="4"/>
  <c r="I29" i="5"/>
  <c r="J29" i="5" s="1"/>
  <c r="M28" i="5"/>
  <c r="K28" i="5"/>
  <c r="N28" i="5" s="1"/>
  <c r="I29" i="7"/>
  <c r="M28" i="7"/>
  <c r="J28" i="7"/>
  <c r="K28" i="7" s="1"/>
  <c r="N28" i="7" s="1"/>
  <c r="F26" i="2"/>
  <c r="G26" i="2" s="1"/>
  <c r="U38" i="2" l="1"/>
  <c r="K26" i="2"/>
  <c r="O26" i="2" s="1"/>
  <c r="W26" i="2" s="1"/>
  <c r="Y26" i="2" s="1"/>
  <c r="H26" i="2" s="1"/>
  <c r="L26" i="2" s="1"/>
  <c r="I30" i="6"/>
  <c r="M29" i="6"/>
  <c r="J29" i="6"/>
  <c r="K29" i="6" s="1"/>
  <c r="N29" i="6" s="1"/>
  <c r="J29" i="4"/>
  <c r="K29" i="4" s="1"/>
  <c r="L29" i="4" s="1"/>
  <c r="N28" i="4"/>
  <c r="O28" i="4"/>
  <c r="I30" i="5"/>
  <c r="J30" i="5" s="1"/>
  <c r="M29" i="5"/>
  <c r="K29" i="5"/>
  <c r="N29" i="5" s="1"/>
  <c r="J27" i="3"/>
  <c r="N26" i="3"/>
  <c r="K26" i="3"/>
  <c r="L26" i="3" s="1"/>
  <c r="O26" i="3" s="1"/>
  <c r="I30" i="7"/>
  <c r="M29" i="7"/>
  <c r="J29" i="7"/>
  <c r="K29" i="7" s="1"/>
  <c r="N29" i="7" s="1"/>
  <c r="F27" i="2"/>
  <c r="G27" i="2" s="1"/>
  <c r="U39" i="2" l="1"/>
  <c r="K27" i="2"/>
  <c r="O27" i="2" s="1"/>
  <c r="W27" i="2" s="1"/>
  <c r="Y27" i="2" s="1"/>
  <c r="H27" i="2" s="1"/>
  <c r="L27" i="2" s="1"/>
  <c r="J30" i="4"/>
  <c r="K30" i="4" s="1"/>
  <c r="L30" i="4" s="1"/>
  <c r="N29" i="4"/>
  <c r="O29" i="4"/>
  <c r="I31" i="5"/>
  <c r="J31" i="5" s="1"/>
  <c r="M30" i="5"/>
  <c r="K30" i="5"/>
  <c r="N30" i="5" s="1"/>
  <c r="J28" i="3"/>
  <c r="N27" i="3"/>
  <c r="K27" i="3"/>
  <c r="L27" i="3" s="1"/>
  <c r="O27" i="3" s="1"/>
  <c r="I31" i="6"/>
  <c r="M30" i="6"/>
  <c r="J30" i="6"/>
  <c r="K30" i="6" s="1"/>
  <c r="N30" i="6" s="1"/>
  <c r="I31" i="7"/>
  <c r="M30" i="7"/>
  <c r="J30" i="7"/>
  <c r="K30" i="7" s="1"/>
  <c r="N30" i="7" s="1"/>
  <c r="F28" i="2"/>
  <c r="G28" i="2" s="1"/>
  <c r="U40" i="2" l="1"/>
  <c r="K28" i="2"/>
  <c r="O28" i="2" s="1"/>
  <c r="W28" i="2" s="1"/>
  <c r="Y28" i="2" s="1"/>
  <c r="H28" i="2" s="1"/>
  <c r="L28" i="2" s="1"/>
  <c r="I32" i="5"/>
  <c r="J32" i="5" s="1"/>
  <c r="M31" i="5"/>
  <c r="K31" i="5"/>
  <c r="N31" i="5" s="1"/>
  <c r="J29" i="3"/>
  <c r="N28" i="3"/>
  <c r="K28" i="3"/>
  <c r="L28" i="3" s="1"/>
  <c r="O28" i="3" s="1"/>
  <c r="I32" i="6"/>
  <c r="M31" i="6"/>
  <c r="J31" i="6"/>
  <c r="K31" i="6" s="1"/>
  <c r="N31" i="6" s="1"/>
  <c r="J31" i="4"/>
  <c r="K31" i="4" s="1"/>
  <c r="L31" i="4" s="1"/>
  <c r="N30" i="4"/>
  <c r="O30" i="4"/>
  <c r="I32" i="7"/>
  <c r="M31" i="7"/>
  <c r="J31" i="7"/>
  <c r="K31" i="7" s="1"/>
  <c r="N31" i="7" s="1"/>
  <c r="F29" i="2"/>
  <c r="G29" i="2" s="1"/>
  <c r="U41" i="2" l="1"/>
  <c r="K29" i="2"/>
  <c r="O29" i="2" s="1"/>
  <c r="W29" i="2" s="1"/>
  <c r="Y29" i="2" s="1"/>
  <c r="H29" i="2" s="1"/>
  <c r="L29" i="2" s="1"/>
  <c r="J30" i="3"/>
  <c r="N29" i="3"/>
  <c r="K29" i="3"/>
  <c r="L29" i="3" s="1"/>
  <c r="O29" i="3" s="1"/>
  <c r="I33" i="6"/>
  <c r="M32" i="6"/>
  <c r="J32" i="6"/>
  <c r="K32" i="6" s="1"/>
  <c r="N32" i="6" s="1"/>
  <c r="J32" i="4"/>
  <c r="K32" i="4" s="1"/>
  <c r="L32" i="4" s="1"/>
  <c r="N31" i="4"/>
  <c r="O31" i="4"/>
  <c r="I33" i="5"/>
  <c r="J33" i="5" s="1"/>
  <c r="M32" i="5"/>
  <c r="K32" i="5"/>
  <c r="N32" i="5" s="1"/>
  <c r="I33" i="7"/>
  <c r="M32" i="7"/>
  <c r="J32" i="7"/>
  <c r="K32" i="7" s="1"/>
  <c r="N32" i="7" s="1"/>
  <c r="F30" i="2"/>
  <c r="G30" i="2" s="1"/>
  <c r="U42" i="2" l="1"/>
  <c r="K30" i="2"/>
  <c r="O30" i="2" s="1"/>
  <c r="W30" i="2" s="1"/>
  <c r="Y30" i="2" s="1"/>
  <c r="H30" i="2" s="1"/>
  <c r="L30" i="2" s="1"/>
  <c r="M33" i="6"/>
  <c r="I34" i="6"/>
  <c r="J33" i="6"/>
  <c r="K33" i="6" s="1"/>
  <c r="N33" i="6" s="1"/>
  <c r="J33" i="4"/>
  <c r="K33" i="4" s="1"/>
  <c r="L33" i="4" s="1"/>
  <c r="N32" i="4"/>
  <c r="O32" i="4"/>
  <c r="M33" i="5"/>
  <c r="I34" i="5"/>
  <c r="J34" i="5" s="1"/>
  <c r="K33" i="5"/>
  <c r="N33" i="5" s="1"/>
  <c r="J31" i="3"/>
  <c r="N30" i="3"/>
  <c r="K30" i="3"/>
  <c r="L30" i="3" s="1"/>
  <c r="O30" i="3" s="1"/>
  <c r="M33" i="7"/>
  <c r="I34" i="7"/>
  <c r="J33" i="7"/>
  <c r="K33" i="7" s="1"/>
  <c r="N33" i="7" s="1"/>
  <c r="F31" i="2"/>
  <c r="G31" i="2" s="1"/>
  <c r="U43" i="2" l="1"/>
  <c r="K31" i="2"/>
  <c r="O31" i="2" s="1"/>
  <c r="W31" i="2" s="1"/>
  <c r="Y31" i="2" s="1"/>
  <c r="H31" i="2" s="1"/>
  <c r="L31" i="2" s="1"/>
  <c r="M34" i="5"/>
  <c r="I35" i="5"/>
  <c r="J35" i="5" s="1"/>
  <c r="K34" i="5"/>
  <c r="N34" i="5" s="1"/>
  <c r="O33" i="4"/>
  <c r="N33" i="4"/>
  <c r="J34" i="4"/>
  <c r="K34" i="4" s="1"/>
  <c r="L34" i="4" s="1"/>
  <c r="J32" i="3"/>
  <c r="N31" i="3"/>
  <c r="K31" i="3"/>
  <c r="L31" i="3" s="1"/>
  <c r="O31" i="3" s="1"/>
  <c r="M34" i="6"/>
  <c r="I35" i="6"/>
  <c r="J34" i="6"/>
  <c r="K34" i="6" s="1"/>
  <c r="N34" i="6" s="1"/>
  <c r="M34" i="7"/>
  <c r="I35" i="7"/>
  <c r="J34" i="7"/>
  <c r="K34" i="7" s="1"/>
  <c r="N34" i="7" s="1"/>
  <c r="F32" i="2"/>
  <c r="G32" i="2" s="1"/>
  <c r="U44" i="2" l="1"/>
  <c r="K32" i="2"/>
  <c r="O32" i="2" s="1"/>
  <c r="W32" i="2" s="1"/>
  <c r="Y32" i="2" s="1"/>
  <c r="H32" i="2" s="1"/>
  <c r="L32" i="2" s="1"/>
  <c r="M35" i="6"/>
  <c r="I36" i="6"/>
  <c r="J35" i="6"/>
  <c r="K35" i="6" s="1"/>
  <c r="N35" i="6" s="1"/>
  <c r="J33" i="3"/>
  <c r="N32" i="3"/>
  <c r="K32" i="3"/>
  <c r="L32" i="3" s="1"/>
  <c r="O32" i="3" s="1"/>
  <c r="O34" i="4"/>
  <c r="N34" i="4"/>
  <c r="J35" i="4"/>
  <c r="K35" i="4" s="1"/>
  <c r="L35" i="4" s="1"/>
  <c r="M35" i="5"/>
  <c r="I36" i="5"/>
  <c r="J36" i="5" s="1"/>
  <c r="K35" i="5"/>
  <c r="N35" i="5" s="1"/>
  <c r="M35" i="7"/>
  <c r="I36" i="7"/>
  <c r="J35" i="7"/>
  <c r="K35" i="7" s="1"/>
  <c r="N35" i="7" s="1"/>
  <c r="F33" i="2"/>
  <c r="U45" i="2" l="1"/>
  <c r="G33" i="2"/>
  <c r="K33" i="2"/>
  <c r="O33" i="2" s="1"/>
  <c r="W33" i="2" s="1"/>
  <c r="Y33" i="2" s="1"/>
  <c r="H33" i="2" s="1"/>
  <c r="F34" i="2"/>
  <c r="J34" i="3"/>
  <c r="N33" i="3"/>
  <c r="K33" i="3"/>
  <c r="L33" i="3" s="1"/>
  <c r="O33" i="3" s="1"/>
  <c r="M36" i="5"/>
  <c r="I37" i="5"/>
  <c r="J37" i="5" s="1"/>
  <c r="K36" i="5"/>
  <c r="N36" i="5" s="1"/>
  <c r="M36" i="6"/>
  <c r="I37" i="6"/>
  <c r="J36" i="6"/>
  <c r="K36" i="6" s="1"/>
  <c r="N36" i="6" s="1"/>
  <c r="N35" i="4"/>
  <c r="O35" i="4"/>
  <c r="J36" i="4"/>
  <c r="K36" i="4" s="1"/>
  <c r="L36" i="4" s="1"/>
  <c r="M36" i="7"/>
  <c r="I37" i="7"/>
  <c r="J36" i="7"/>
  <c r="K36" i="7" s="1"/>
  <c r="N36" i="7" s="1"/>
  <c r="L33" i="2" l="1"/>
  <c r="U46" i="2"/>
  <c r="G34" i="2"/>
  <c r="M37" i="5"/>
  <c r="I38" i="5"/>
  <c r="J38" i="5" s="1"/>
  <c r="K37" i="5"/>
  <c r="N37" i="5" s="1"/>
  <c r="N34" i="3"/>
  <c r="J35" i="3"/>
  <c r="K34" i="3"/>
  <c r="L34" i="3" s="1"/>
  <c r="O34" i="3" s="1"/>
  <c r="N36" i="4"/>
  <c r="O36" i="4"/>
  <c r="J37" i="4"/>
  <c r="K37" i="4" s="1"/>
  <c r="L37" i="4" s="1"/>
  <c r="M37" i="6"/>
  <c r="I38" i="6"/>
  <c r="J37" i="6"/>
  <c r="K37" i="6" s="1"/>
  <c r="N37" i="6" s="1"/>
  <c r="F35" i="2"/>
  <c r="K34" i="2"/>
  <c r="O34" i="2" s="1"/>
  <c r="W34" i="2" s="1"/>
  <c r="Y34" i="2" s="1"/>
  <c r="H34" i="2" s="1"/>
  <c r="M37" i="7"/>
  <c r="I38" i="7"/>
  <c r="J37" i="7"/>
  <c r="K37" i="7" s="1"/>
  <c r="N37" i="7" s="1"/>
  <c r="L34" i="2" l="1"/>
  <c r="U47" i="2"/>
  <c r="G35" i="2"/>
  <c r="M38" i="6"/>
  <c r="I39" i="6"/>
  <c r="J38" i="6"/>
  <c r="K38" i="6" s="1"/>
  <c r="N38" i="6" s="1"/>
  <c r="M38" i="5"/>
  <c r="I39" i="5"/>
  <c r="J39" i="5" s="1"/>
  <c r="K38" i="5"/>
  <c r="N38" i="5" s="1"/>
  <c r="K35" i="2"/>
  <c r="O35" i="2" s="1"/>
  <c r="W35" i="2" s="1"/>
  <c r="Y35" i="2" s="1"/>
  <c r="H35" i="2" s="1"/>
  <c r="F36" i="2"/>
  <c r="N37" i="4"/>
  <c r="J38" i="4"/>
  <c r="K38" i="4" s="1"/>
  <c r="L38" i="4" s="1"/>
  <c r="O37" i="4"/>
  <c r="N35" i="3"/>
  <c r="J36" i="3"/>
  <c r="K35" i="3"/>
  <c r="L35" i="3" s="1"/>
  <c r="O35" i="3" s="1"/>
  <c r="M38" i="7"/>
  <c r="I39" i="7"/>
  <c r="J38" i="7"/>
  <c r="K38" i="7" s="1"/>
  <c r="N38" i="7" s="1"/>
  <c r="L35" i="2" l="1"/>
  <c r="U48" i="2"/>
  <c r="G36" i="2"/>
  <c r="K36" i="2"/>
  <c r="O36" i="2" s="1"/>
  <c r="W36" i="2" s="1"/>
  <c r="Y36" i="2" s="1"/>
  <c r="H36" i="2" s="1"/>
  <c r="F37" i="2"/>
  <c r="N38" i="4"/>
  <c r="O38" i="4"/>
  <c r="J39" i="4"/>
  <c r="K39" i="4" s="1"/>
  <c r="L39" i="4" s="1"/>
  <c r="N36" i="3"/>
  <c r="J37" i="3"/>
  <c r="K36" i="3"/>
  <c r="L36" i="3" s="1"/>
  <c r="O36" i="3" s="1"/>
  <c r="M39" i="6"/>
  <c r="I40" i="6"/>
  <c r="J39" i="6"/>
  <c r="K39" i="6" s="1"/>
  <c r="N39" i="6" s="1"/>
  <c r="M39" i="5"/>
  <c r="I40" i="5"/>
  <c r="J40" i="5" s="1"/>
  <c r="K39" i="5"/>
  <c r="N39" i="5" s="1"/>
  <c r="M39" i="7"/>
  <c r="I40" i="7"/>
  <c r="J39" i="7"/>
  <c r="K39" i="7" s="1"/>
  <c r="N39" i="7" s="1"/>
  <c r="L36" i="2" l="1"/>
  <c r="U49" i="2"/>
  <c r="G37" i="2"/>
  <c r="N37" i="3"/>
  <c r="J38" i="3"/>
  <c r="K37" i="3"/>
  <c r="L37" i="3" s="1"/>
  <c r="O37" i="3" s="1"/>
  <c r="M40" i="6"/>
  <c r="I41" i="6"/>
  <c r="J40" i="6"/>
  <c r="K40" i="6" s="1"/>
  <c r="N40" i="6" s="1"/>
  <c r="M40" i="5"/>
  <c r="I41" i="5"/>
  <c r="J41" i="5" s="1"/>
  <c r="K40" i="5"/>
  <c r="N40" i="5" s="1"/>
  <c r="N39" i="4"/>
  <c r="O39" i="4"/>
  <c r="J40" i="4"/>
  <c r="K40" i="4" s="1"/>
  <c r="L40" i="4" s="1"/>
  <c r="K37" i="2"/>
  <c r="O37" i="2" s="1"/>
  <c r="W37" i="2" s="1"/>
  <c r="Y37" i="2" s="1"/>
  <c r="H37" i="2" s="1"/>
  <c r="F38" i="2"/>
  <c r="M40" i="7"/>
  <c r="I41" i="7"/>
  <c r="J40" i="7"/>
  <c r="K40" i="7" s="1"/>
  <c r="N40" i="7" s="1"/>
  <c r="L37" i="2" l="1"/>
  <c r="U50" i="2"/>
  <c r="G38" i="2"/>
  <c r="N40" i="4"/>
  <c r="O40" i="4"/>
  <c r="J41" i="4"/>
  <c r="K41" i="4" s="1"/>
  <c r="L41" i="4" s="1"/>
  <c r="M41" i="5"/>
  <c r="K41" i="5"/>
  <c r="N41" i="5" s="1"/>
  <c r="I42" i="5"/>
  <c r="J42" i="5" s="1"/>
  <c r="K38" i="2"/>
  <c r="O38" i="2" s="1"/>
  <c r="W38" i="2" s="1"/>
  <c r="Y38" i="2" s="1"/>
  <c r="H38" i="2" s="1"/>
  <c r="F39" i="2"/>
  <c r="N38" i="3"/>
  <c r="J39" i="3"/>
  <c r="K38" i="3"/>
  <c r="L38" i="3" s="1"/>
  <c r="O38" i="3" s="1"/>
  <c r="M41" i="6"/>
  <c r="I42" i="6"/>
  <c r="J41" i="6"/>
  <c r="K41" i="6" s="1"/>
  <c r="N41" i="6" s="1"/>
  <c r="M41" i="7"/>
  <c r="I42" i="7"/>
  <c r="J41" i="7"/>
  <c r="K41" i="7" s="1"/>
  <c r="N41" i="7" s="1"/>
  <c r="L38" i="2" l="1"/>
  <c r="U51" i="2"/>
  <c r="G39" i="2"/>
  <c r="N39" i="3"/>
  <c r="J40" i="3"/>
  <c r="K39" i="3"/>
  <c r="L39" i="3" s="1"/>
  <c r="O39" i="3" s="1"/>
  <c r="N41" i="4"/>
  <c r="O41" i="4"/>
  <c r="J42" i="4"/>
  <c r="K42" i="4" s="1"/>
  <c r="L42" i="4" s="1"/>
  <c r="M42" i="6"/>
  <c r="I43" i="6"/>
  <c r="J42" i="6"/>
  <c r="K42" i="6" s="1"/>
  <c r="N42" i="6" s="1"/>
  <c r="M42" i="5"/>
  <c r="I43" i="5"/>
  <c r="J43" i="5" s="1"/>
  <c r="K42" i="5"/>
  <c r="N42" i="5" s="1"/>
  <c r="K39" i="2"/>
  <c r="O39" i="2" s="1"/>
  <c r="W39" i="2" s="1"/>
  <c r="Y39" i="2" s="1"/>
  <c r="H39" i="2" s="1"/>
  <c r="F40" i="2"/>
  <c r="M42" i="7"/>
  <c r="J42" i="7"/>
  <c r="K42" i="7" s="1"/>
  <c r="N42" i="7" s="1"/>
  <c r="I43" i="7"/>
  <c r="L39" i="2" l="1"/>
  <c r="U52" i="2"/>
  <c r="G40" i="2"/>
  <c r="M43" i="6"/>
  <c r="J43" i="6"/>
  <c r="K43" i="6" s="1"/>
  <c r="N43" i="6" s="1"/>
  <c r="I44" i="6"/>
  <c r="K40" i="2"/>
  <c r="O40" i="2" s="1"/>
  <c r="W40" i="2" s="1"/>
  <c r="Y40" i="2" s="1"/>
  <c r="H40" i="2" s="1"/>
  <c r="F41" i="2"/>
  <c r="M43" i="5"/>
  <c r="I44" i="5"/>
  <c r="J44" i="5" s="1"/>
  <c r="K43" i="5"/>
  <c r="N43" i="5" s="1"/>
  <c r="N42" i="4"/>
  <c r="O42" i="4"/>
  <c r="J43" i="4"/>
  <c r="K43" i="4" s="1"/>
  <c r="L43" i="4" s="1"/>
  <c r="N40" i="3"/>
  <c r="J41" i="3"/>
  <c r="K40" i="3"/>
  <c r="L40" i="3" s="1"/>
  <c r="O40" i="3" s="1"/>
  <c r="M43" i="7"/>
  <c r="J43" i="7"/>
  <c r="K43" i="7" s="1"/>
  <c r="N43" i="7" s="1"/>
  <c r="I44" i="7"/>
  <c r="L40" i="2" l="1"/>
  <c r="U53" i="2"/>
  <c r="G41" i="2"/>
  <c r="N43" i="4"/>
  <c r="O43" i="4"/>
  <c r="J44" i="4"/>
  <c r="K44" i="4" s="1"/>
  <c r="L44" i="4" s="1"/>
  <c r="M44" i="5"/>
  <c r="I45" i="5"/>
  <c r="J45" i="5" s="1"/>
  <c r="K44" i="5"/>
  <c r="N44" i="5" s="1"/>
  <c r="M44" i="6"/>
  <c r="I45" i="6"/>
  <c r="J44" i="6"/>
  <c r="K44" i="6" s="1"/>
  <c r="N44" i="6" s="1"/>
  <c r="N41" i="3"/>
  <c r="K41" i="3"/>
  <c r="L41" i="3" s="1"/>
  <c r="O41" i="3" s="1"/>
  <c r="J42" i="3"/>
  <c r="K41" i="2"/>
  <c r="O41" i="2" s="1"/>
  <c r="W41" i="2" s="1"/>
  <c r="Y41" i="2" s="1"/>
  <c r="H41" i="2" s="1"/>
  <c r="F42" i="2"/>
  <c r="M44" i="7"/>
  <c r="I45" i="7"/>
  <c r="J44" i="7"/>
  <c r="K44" i="7" s="1"/>
  <c r="N44" i="7" s="1"/>
  <c r="L41" i="2" l="1"/>
  <c r="G42" i="2"/>
  <c r="N42" i="3"/>
  <c r="J43" i="3"/>
  <c r="K42" i="3"/>
  <c r="L42" i="3" s="1"/>
  <c r="O42" i="3" s="1"/>
  <c r="M45" i="6"/>
  <c r="I46" i="6"/>
  <c r="J45" i="6"/>
  <c r="K45" i="6" s="1"/>
  <c r="N45" i="6" s="1"/>
  <c r="K42" i="2"/>
  <c r="O42" i="2" s="1"/>
  <c r="W42" i="2" s="1"/>
  <c r="Y42" i="2" s="1"/>
  <c r="H42" i="2" s="1"/>
  <c r="F43" i="2"/>
  <c r="N44" i="4"/>
  <c r="O44" i="4"/>
  <c r="J45" i="4"/>
  <c r="K45" i="4" s="1"/>
  <c r="L45" i="4" s="1"/>
  <c r="M45" i="5"/>
  <c r="K45" i="5"/>
  <c r="N45" i="5" s="1"/>
  <c r="I46" i="5"/>
  <c r="J46" i="5" s="1"/>
  <c r="M45" i="7"/>
  <c r="J45" i="7"/>
  <c r="K45" i="7" s="1"/>
  <c r="N45" i="7" s="1"/>
  <c r="I46" i="7"/>
  <c r="L42" i="2" l="1"/>
  <c r="G43" i="2"/>
  <c r="N45" i="4"/>
  <c r="O45" i="4"/>
  <c r="J46" i="4"/>
  <c r="K46" i="4" s="1"/>
  <c r="L46" i="4" s="1"/>
  <c r="K46" i="5"/>
  <c r="N46" i="5" s="1"/>
  <c r="M46" i="5"/>
  <c r="I47" i="5"/>
  <c r="J47" i="5" s="1"/>
  <c r="N43" i="3"/>
  <c r="J44" i="3"/>
  <c r="K43" i="3"/>
  <c r="L43" i="3" s="1"/>
  <c r="O43" i="3" s="1"/>
  <c r="K43" i="2"/>
  <c r="O43" i="2" s="1"/>
  <c r="W43" i="2" s="1"/>
  <c r="Y43" i="2" s="1"/>
  <c r="H43" i="2" s="1"/>
  <c r="F44" i="2"/>
  <c r="M46" i="6"/>
  <c r="J46" i="6"/>
  <c r="K46" i="6" s="1"/>
  <c r="N46" i="6" s="1"/>
  <c r="I47" i="6"/>
  <c r="M46" i="7"/>
  <c r="J46" i="7"/>
  <c r="K46" i="7" s="1"/>
  <c r="N46" i="7" s="1"/>
  <c r="I47" i="7"/>
  <c r="L43" i="2" l="1"/>
  <c r="G44" i="2"/>
  <c r="F45" i="2"/>
  <c r="K44" i="2"/>
  <c r="O44" i="2" s="1"/>
  <c r="W44" i="2" s="1"/>
  <c r="Y44" i="2" s="1"/>
  <c r="H44" i="2" s="1"/>
  <c r="N44" i="3"/>
  <c r="J45" i="3"/>
  <c r="K44" i="3"/>
  <c r="L44" i="3" s="1"/>
  <c r="O44" i="3" s="1"/>
  <c r="M47" i="6"/>
  <c r="J47" i="6"/>
  <c r="K47" i="6" s="1"/>
  <c r="N47" i="6" s="1"/>
  <c r="I48" i="6"/>
  <c r="O46" i="4"/>
  <c r="N46" i="4"/>
  <c r="J47" i="4"/>
  <c r="K47" i="4" s="1"/>
  <c r="L47" i="4" s="1"/>
  <c r="I48" i="5"/>
  <c r="J48" i="5" s="1"/>
  <c r="M47" i="5"/>
  <c r="K47" i="5"/>
  <c r="N47" i="5" s="1"/>
  <c r="M47" i="7"/>
  <c r="J47" i="7"/>
  <c r="K47" i="7" s="1"/>
  <c r="N47" i="7" s="1"/>
  <c r="I48" i="7"/>
  <c r="L44" i="2" l="1"/>
  <c r="G45" i="2"/>
  <c r="O47" i="4"/>
  <c r="N47" i="4"/>
  <c r="J48" i="4"/>
  <c r="K48" i="4" s="1"/>
  <c r="L48" i="4" s="1"/>
  <c r="K45" i="2"/>
  <c r="O45" i="2" s="1"/>
  <c r="W45" i="2" s="1"/>
  <c r="Y45" i="2" s="1"/>
  <c r="H45" i="2" s="1"/>
  <c r="F46" i="2"/>
  <c r="M48" i="5"/>
  <c r="I49" i="5"/>
  <c r="J49" i="5" s="1"/>
  <c r="K48" i="5"/>
  <c r="N48" i="5" s="1"/>
  <c r="M48" i="6"/>
  <c r="I49" i="6"/>
  <c r="J48" i="6"/>
  <c r="K48" i="6" s="1"/>
  <c r="N48" i="6" s="1"/>
  <c r="N45" i="3"/>
  <c r="K45" i="3"/>
  <c r="L45" i="3" s="1"/>
  <c r="O45" i="3" s="1"/>
  <c r="J46" i="3"/>
  <c r="M48" i="7"/>
  <c r="J48" i="7"/>
  <c r="K48" i="7" s="1"/>
  <c r="N48" i="7" s="1"/>
  <c r="I49" i="7"/>
  <c r="L45" i="2" l="1"/>
  <c r="G46" i="2"/>
  <c r="M49" i="5"/>
  <c r="I50" i="5"/>
  <c r="J50" i="5" s="1"/>
  <c r="K49" i="5"/>
  <c r="N49" i="5" s="1"/>
  <c r="N46" i="3"/>
  <c r="K46" i="3"/>
  <c r="L46" i="3" s="1"/>
  <c r="O46" i="3" s="1"/>
  <c r="J47" i="3"/>
  <c r="M49" i="6"/>
  <c r="I50" i="6"/>
  <c r="J49" i="6"/>
  <c r="K49" i="6" s="1"/>
  <c r="N49" i="6" s="1"/>
  <c r="N48" i="4"/>
  <c r="O48" i="4"/>
  <c r="J49" i="4"/>
  <c r="K49" i="4" s="1"/>
  <c r="L49" i="4" s="1"/>
  <c r="K46" i="2"/>
  <c r="O46" i="2" s="1"/>
  <c r="W46" i="2" s="1"/>
  <c r="Y46" i="2" s="1"/>
  <c r="H46" i="2" s="1"/>
  <c r="F47" i="2"/>
  <c r="M49" i="7"/>
  <c r="J49" i="7"/>
  <c r="K49" i="7" s="1"/>
  <c r="N49" i="7" s="1"/>
  <c r="I50" i="7"/>
  <c r="L46" i="2" l="1"/>
  <c r="G47" i="2"/>
  <c r="N49" i="4"/>
  <c r="J50" i="4"/>
  <c r="K50" i="4" s="1"/>
  <c r="L50" i="4" s="1"/>
  <c r="O49" i="4"/>
  <c r="M50" i="6"/>
  <c r="J50" i="6"/>
  <c r="K50" i="6" s="1"/>
  <c r="N50" i="6" s="1"/>
  <c r="I51" i="6"/>
  <c r="K47" i="2"/>
  <c r="O47" i="2" s="1"/>
  <c r="W47" i="2" s="1"/>
  <c r="Y47" i="2" s="1"/>
  <c r="H47" i="2" s="1"/>
  <c r="F48" i="2"/>
  <c r="N47" i="3"/>
  <c r="J48" i="3"/>
  <c r="K47" i="3"/>
  <c r="L47" i="3" s="1"/>
  <c r="O47" i="3" s="1"/>
  <c r="M50" i="5"/>
  <c r="I51" i="5"/>
  <c r="J51" i="5" s="1"/>
  <c r="K50" i="5"/>
  <c r="N50" i="5" s="1"/>
  <c r="M50" i="7"/>
  <c r="I51" i="7"/>
  <c r="J50" i="7"/>
  <c r="K50" i="7" s="1"/>
  <c r="N50" i="7" s="1"/>
  <c r="L47" i="2" l="1"/>
  <c r="G48" i="2"/>
  <c r="K48" i="2"/>
  <c r="O48" i="2" s="1"/>
  <c r="W48" i="2" s="1"/>
  <c r="Y48" i="2" s="1"/>
  <c r="H48" i="2" s="1"/>
  <c r="F49" i="2"/>
  <c r="N48" i="3"/>
  <c r="J49" i="3"/>
  <c r="K48" i="3"/>
  <c r="L48" i="3" s="1"/>
  <c r="O48" i="3" s="1"/>
  <c r="M51" i="5"/>
  <c r="I52" i="5"/>
  <c r="J52" i="5" s="1"/>
  <c r="K51" i="5"/>
  <c r="N51" i="5" s="1"/>
  <c r="M51" i="6"/>
  <c r="J51" i="6"/>
  <c r="K51" i="6" s="1"/>
  <c r="N51" i="6" s="1"/>
  <c r="I52" i="6"/>
  <c r="N50" i="4"/>
  <c r="O50" i="4"/>
  <c r="J51" i="4"/>
  <c r="K51" i="4" s="1"/>
  <c r="L51" i="4" s="1"/>
  <c r="M51" i="7"/>
  <c r="I52" i="7"/>
  <c r="J51" i="7"/>
  <c r="K51" i="7" s="1"/>
  <c r="N51" i="7" s="1"/>
  <c r="L48" i="2" l="1"/>
  <c r="G49" i="2"/>
  <c r="M52" i="6"/>
  <c r="I53" i="6"/>
  <c r="J52" i="6"/>
  <c r="K52" i="6" s="1"/>
  <c r="N52" i="6" s="1"/>
  <c r="M52" i="5"/>
  <c r="I53" i="5"/>
  <c r="J53" i="5" s="1"/>
  <c r="K52" i="5"/>
  <c r="N52" i="5" s="1"/>
  <c r="N51" i="4"/>
  <c r="O51" i="4"/>
  <c r="J52" i="4"/>
  <c r="K52" i="4" s="1"/>
  <c r="L52" i="4" s="1"/>
  <c r="K49" i="2"/>
  <c r="O49" i="2" s="1"/>
  <c r="W49" i="2" s="1"/>
  <c r="Y49" i="2" s="1"/>
  <c r="H49" i="2" s="1"/>
  <c r="F50" i="2"/>
  <c r="N49" i="3"/>
  <c r="K49" i="3"/>
  <c r="L49" i="3" s="1"/>
  <c r="O49" i="3" s="1"/>
  <c r="J50" i="3"/>
  <c r="M52" i="7"/>
  <c r="I53" i="7"/>
  <c r="J52" i="7"/>
  <c r="K52" i="7" s="1"/>
  <c r="N52" i="7" s="1"/>
  <c r="L49" i="2" l="1"/>
  <c r="G50" i="2"/>
  <c r="N50" i="3"/>
  <c r="K50" i="3"/>
  <c r="L50" i="3" s="1"/>
  <c r="O50" i="3" s="1"/>
  <c r="J51" i="3"/>
  <c r="M53" i="6"/>
  <c r="J53" i="6"/>
  <c r="K53" i="6" s="1"/>
  <c r="N53" i="6" s="1"/>
  <c r="K50" i="2"/>
  <c r="O50" i="2" s="1"/>
  <c r="W50" i="2" s="1"/>
  <c r="Y50" i="2" s="1"/>
  <c r="H50" i="2" s="1"/>
  <c r="F51" i="2"/>
  <c r="N52" i="4"/>
  <c r="J53" i="4"/>
  <c r="K53" i="4" s="1"/>
  <c r="L53" i="4" s="1"/>
  <c r="O52" i="4"/>
  <c r="M53" i="5"/>
  <c r="K53" i="5"/>
  <c r="N53" i="5" s="1"/>
  <c r="J53" i="7"/>
  <c r="K53" i="7" s="1"/>
  <c r="N53" i="7" s="1"/>
  <c r="M53" i="7"/>
  <c r="L50" i="2" l="1"/>
  <c r="G51" i="2"/>
  <c r="K51" i="2"/>
  <c r="O51" i="2" s="1"/>
  <c r="W51" i="2" s="1"/>
  <c r="Y51" i="2" s="1"/>
  <c r="H51" i="2" s="1"/>
  <c r="F52" i="2"/>
  <c r="N51" i="3"/>
  <c r="J52" i="3"/>
  <c r="K51" i="3"/>
  <c r="L51" i="3" s="1"/>
  <c r="O51" i="3" s="1"/>
  <c r="O53" i="4"/>
  <c r="N53" i="4"/>
  <c r="L51" i="2" l="1"/>
  <c r="G52" i="2"/>
  <c r="F53" i="2"/>
  <c r="K52" i="2"/>
  <c r="O52" i="2" s="1"/>
  <c r="W52" i="2" s="1"/>
  <c r="Y52" i="2" s="1"/>
  <c r="H52" i="2" s="1"/>
  <c r="K52" i="3"/>
  <c r="L52" i="3" s="1"/>
  <c r="O52" i="3" s="1"/>
  <c r="N52" i="3"/>
  <c r="J53" i="3"/>
  <c r="L52" i="2" l="1"/>
  <c r="G53" i="2"/>
  <c r="N53" i="3"/>
  <c r="K53" i="3"/>
  <c r="L53" i="3" s="1"/>
  <c r="O53" i="3" s="1"/>
  <c r="K53" i="2"/>
  <c r="O53" i="2" s="1"/>
  <c r="W53" i="2" s="1"/>
  <c r="Y53" i="2" s="1"/>
  <c r="H53" i="2" s="1"/>
  <c r="L53" i="2" l="1"/>
</calcChain>
</file>

<file path=xl/sharedStrings.xml><?xml version="1.0" encoding="utf-8"?>
<sst xmlns="http://schemas.openxmlformats.org/spreadsheetml/2006/main" count="199" uniqueCount="105">
  <si>
    <t>kg</t>
  </si>
  <si>
    <t>Newtons</t>
  </si>
  <si>
    <t>lb</t>
  </si>
  <si>
    <t>Convert</t>
  </si>
  <si>
    <t>g</t>
  </si>
  <si>
    <t>m/sec^2</t>
  </si>
  <si>
    <t>airplane</t>
  </si>
  <si>
    <t>aspect ratio</t>
  </si>
  <si>
    <t>Cdo</t>
  </si>
  <si>
    <t>span efficiency  (e)</t>
  </si>
  <si>
    <t>propeller efficiency</t>
  </si>
  <si>
    <t>motor efficiency</t>
  </si>
  <si>
    <t>k     Drag due to lift factor</t>
  </si>
  <si>
    <t xml:space="preserve">    k=1/(pi*ar*e)  </t>
  </si>
  <si>
    <t>(L/D)  max    (emax)</t>
  </si>
  <si>
    <t xml:space="preserve"> 1/(2*sqrt(k*cdo)) </t>
  </si>
  <si>
    <t>N/m^2</t>
  </si>
  <si>
    <t>m</t>
  </si>
  <si>
    <t>Take off</t>
  </si>
  <si>
    <t>Density of air</t>
  </si>
  <si>
    <t>kg/m^3</t>
  </si>
  <si>
    <t>m/sec</t>
  </si>
  <si>
    <t xml:space="preserve"> vlo=1.2*sqrt(2.*wos/(sigma*rhosl*clmax));    % Take-off Velocity [Brandt Eq.5.52, Pg.221]</t>
  </si>
  <si>
    <t>Wing Loading</t>
  </si>
  <si>
    <t>Vlo</t>
  </si>
  <si>
    <t>P/W</t>
  </si>
  <si>
    <t>watts/N=m/sec</t>
  </si>
  <si>
    <t>tow=(1/alpha)*(q*cdo./(wos) +  k.*wos/q);</t>
  </si>
  <si>
    <t xml:space="preserve">    hpow=v.*tow/(eta_p*eta_m*550.)*745.699872;      % Power(watts)/Weight(lbf)</t>
  </si>
  <si>
    <t>Maximum speed</t>
  </si>
  <si>
    <t>velocity</t>
  </si>
  <si>
    <t>T/W</t>
  </si>
  <si>
    <t>q</t>
  </si>
  <si>
    <t xml:space="preserve">    pow=1/3*(vlo).^3/(eta_p*eta_m*g*d);        % Power-electric(watts)/Weight (N) </t>
  </si>
  <si>
    <t>ft/sec</t>
  </si>
  <si>
    <t>velocity conversions  from m/sec</t>
  </si>
  <si>
    <t>knots</t>
  </si>
  <si>
    <t>miles/hour</t>
  </si>
  <si>
    <t>miles/hr</t>
  </si>
  <si>
    <t>ft</t>
  </si>
  <si>
    <t xml:space="preserve">    </t>
  </si>
  <si>
    <t xml:space="preserve">        </t>
  </si>
  <si>
    <t xml:space="preserve">    vlo=1.2*sqrt(2*wos/(sigma*rhosl*clmax));   % Take-off Velocity [Brandt Eq.5.52, Pg.221]</t>
  </si>
  <si>
    <t xml:space="preserve">    hpow=vlo.^3/(alpha*2*550.*eta_p*eta_m*g*d);       % Power(HP)/Weight(lbf) [Simplified version of Brandt Eq.5.77, Pg.250]</t>
  </si>
  <si>
    <t>Altitude</t>
  </si>
  <si>
    <t>Cl Max</t>
  </si>
  <si>
    <t>Landing Distance</t>
  </si>
  <si>
    <t>Reverse Force Fraction</t>
  </si>
  <si>
    <t>Power/Weight</t>
  </si>
  <si>
    <t>Rho Sea Level</t>
  </si>
  <si>
    <t>(from takeoff)</t>
  </si>
  <si>
    <t>Density at Altitude</t>
  </si>
  <si>
    <t>W/N</t>
  </si>
  <si>
    <t>Altitude (landing)</t>
  </si>
  <si>
    <t>Rate of Climb</t>
  </si>
  <si>
    <t>m/s</t>
  </si>
  <si>
    <t>Cl</t>
  </si>
  <si>
    <t>at min D/V</t>
  </si>
  <si>
    <t>Vpmin</t>
  </si>
  <si>
    <t>m/min</t>
  </si>
  <si>
    <t>Airspeed</t>
  </si>
  <si>
    <t>Load Factor</t>
  </si>
  <si>
    <t>Density</t>
  </si>
  <si>
    <t>Dynamic Pressure</t>
  </si>
  <si>
    <t>kg/m^2</t>
  </si>
  <si>
    <t>watts/lbf</t>
  </si>
  <si>
    <t>ozf/ft^2</t>
  </si>
  <si>
    <t>Airplane</t>
  </si>
  <si>
    <t>Maximum Speed</t>
  </si>
  <si>
    <t>Landing</t>
  </si>
  <si>
    <t>Ceiling</t>
  </si>
  <si>
    <t>Turns</t>
  </si>
  <si>
    <t xml:space="preserve">Thrust </t>
  </si>
  <si>
    <t>Landing Velocity</t>
  </si>
  <si>
    <t xml:space="preserve"> </t>
  </si>
  <si>
    <t>Not used for electric</t>
  </si>
  <si>
    <t>Used to correct the thrust for altitude</t>
  </si>
  <si>
    <t>Vto=Vapproach</t>
  </si>
  <si>
    <t>fps</t>
  </si>
  <si>
    <t>ft/min</t>
  </si>
  <si>
    <t>VTO = VTO_nw - Vw</t>
  </si>
  <si>
    <t>ft/s</t>
  </si>
  <si>
    <t>Vapproach</t>
  </si>
  <si>
    <t>Vapp</t>
  </si>
  <si>
    <t>~</t>
  </si>
  <si>
    <t>W/S</t>
  </si>
  <si>
    <t>N/m</t>
  </si>
  <si>
    <t>mph</t>
  </si>
  <si>
    <t>English 2nd axis</t>
  </si>
  <si>
    <t>lbs/sqft</t>
  </si>
  <si>
    <t>W/lb</t>
  </si>
  <si>
    <t>Plot, Vapproach</t>
  </si>
  <si>
    <t>deg bank angle</t>
  </si>
  <si>
    <t>CLmax</t>
  </si>
  <si>
    <t>CLMax</t>
  </si>
  <si>
    <t>AR</t>
  </si>
  <si>
    <t>CD0</t>
  </si>
  <si>
    <t>e</t>
  </si>
  <si>
    <t>Pitch/diam</t>
  </si>
  <si>
    <t>Vlaunch</t>
  </si>
  <si>
    <t>Power_loading</t>
  </si>
  <si>
    <t>lb/ft2</t>
  </si>
  <si>
    <t>Hand Launch</t>
  </si>
  <si>
    <t>Vthrow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</si>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</sst>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Hand Launch</c:v>
          </c:tx>
          <c:spPr>
            <a:ln w="76200" cmpd="thickThin"/>
          </c:spPr>
          <c:marker>
            <c:symbol val="none"/>
          </c:marker>
          <c:xVal>
            <c:numRef>
              <c:f>Hand_launch!$F$3:$F$53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Hand_launch!$H$3:$H$53</c:f>
              <c:numCache>
                <c:formatCode>General</c:formatCode>
                <c:ptCount val="51"/>
                <c:pt idx="0">
                  <c:v>6.6975336659601759</c:v>
                </c:pt>
                <c:pt idx="1">
                  <c:v>6.6491940985174729</c:v>
                </c:pt>
                <c:pt idx="2">
                  <c:v>6.5375865857649034</c:v>
                </c:pt>
                <c:pt idx="3">
                  <c:v>6.3700047091328749</c:v>
                </c:pt>
                <c:pt idx="4">
                  <c:v>6.1464723577221934</c:v>
                </c:pt>
                <c:pt idx="5">
                  <c:v>5.856636405215963</c:v>
                </c:pt>
                <c:pt idx="6">
                  <c:v>5.4848080350733621</c:v>
                </c:pt>
                <c:pt idx="7">
                  <c:v>5.039898743974712</c:v>
                </c:pt>
                <c:pt idx="8">
                  <c:v>4.6260464650868309</c:v>
                </c:pt>
                <c:pt idx="9">
                  <c:v>4.5151539378475016</c:v>
                </c:pt>
                <c:pt idx="10">
                  <c:v>5.0887064106321915</c:v>
                </c:pt>
                <c:pt idx="11">
                  <c:v>6.5883551646550806</c:v>
                </c:pt>
                <c:pt idx="12">
                  <c:v>8.893395358751258</c:v>
                </c:pt>
                <c:pt idx="13">
                  <c:v>11.590495611121053</c:v>
                </c:pt>
                <c:pt idx="14">
                  <c:v>14.277037122313022</c:v>
                </c:pt>
                <c:pt idx="15">
                  <c:v>16.786620022056354</c:v>
                </c:pt>
                <c:pt idx="16">
                  <c:v>19.176110397811275</c:v>
                </c:pt>
                <c:pt idx="17">
                  <c:v>21.589391993248192</c:v>
                </c:pt>
                <c:pt idx="18">
                  <c:v>24.143237177955687</c:v>
                </c:pt>
                <c:pt idx="19">
                  <c:v>26.877237781831205</c:v>
                </c:pt>
                <c:pt idx="20">
                  <c:v>29.756414788164243</c:v>
                </c:pt>
                <c:pt idx="21">
                  <c:v>32.707039903994456</c:v>
                </c:pt>
                <c:pt idx="22">
                  <c:v>35.66153144782573</c:v>
                </c:pt>
                <c:pt idx="23">
                  <c:v>38.58815563032379</c:v>
                </c:pt>
                <c:pt idx="24">
                  <c:v>41.495238046262131</c:v>
                </c:pt>
                <c:pt idx="25">
                  <c:v>44.417134930978229</c:v>
                </c:pt>
                <c:pt idx="26">
                  <c:v>47.395660106653935</c:v>
                </c:pt>
                <c:pt idx="27">
                  <c:v>50.466103351326886</c:v>
                </c:pt>
                <c:pt idx="28">
                  <c:v>53.650016857200072</c:v>
                </c:pt>
                <c:pt idx="29">
                  <c:v>56.952838116406568</c:v>
                </c:pt>
                <c:pt idx="30">
                  <c:v>60.363434258168333</c:v>
                </c:pt>
                <c:pt idx="31">
                  <c:v>63.853515097797278</c:v>
                </c:pt>
                <c:pt idx="32">
                  <c:v>67.376608009638687</c:v>
                </c:pt>
                <c:pt idx="33">
                  <c:v>70.868139668660632</c:v>
                </c:pt>
                <c:pt idx="34">
                  <c:v>74.249081446620181</c:v>
                </c:pt>
                <c:pt idx="35">
                  <c:v>77.434617995943555</c:v>
                </c:pt>
                <c:pt idx="36">
                  <c:v>80.346573552009531</c:v>
                </c:pt>
                <c:pt idx="37">
                  <c:v>82.92568928097829</c:v>
                </c:pt>
                <c:pt idx="38">
                  <c:v>85.139419457167932</c:v>
                </c:pt>
                <c:pt idx="39">
                  <c:v>86.983082460150314</c:v>
                </c:pt>
                <c:pt idx="40">
                  <c:v>88.475237406174102</c:v>
                </c:pt>
                <c:pt idx="41">
                  <c:v>89.650026737458319</c:v>
                </c:pt>
                <c:pt idx="42">
                  <c:v>90.549282606369246</c:v>
                </c:pt>
                <c:pt idx="43">
                  <c:v>91.216133818595679</c:v>
                </c:pt>
                <c:pt idx="44">
                  <c:v>91.69064837376024</c:v>
                </c:pt>
                <c:pt idx="45">
                  <c:v>92.00724189263299</c:v>
                </c:pt>
                <c:pt idx="46">
                  <c:v>92.193230053663186</c:v>
                </c:pt>
                <c:pt idx="47">
                  <c:v>92.267837697645575</c:v>
                </c:pt>
                <c:pt idx="48">
                  <c:v>92.241027048537717</c:v>
                </c:pt>
                <c:pt idx="49">
                  <c:v>92.111591436490016</c:v>
                </c:pt>
                <c:pt idx="50">
                  <c:v>91.864134007099651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FBF-B33F-92DEB2B401EF}"/>
            </c:ext>
          </c:extLst>
        </c:ser>
        <c:ser>
          <c:idx val="1"/>
          <c:order val="1"/>
          <c:tx>
            <c:v>Max Speed</c:v>
          </c:tx>
          <c:spPr>
            <a:ln w="76200" cmpd="thickThin"/>
          </c:spPr>
          <c:marker>
            <c:symbol val="none"/>
          </c:marker>
          <c:xVal>
            <c:numRef>
              <c:f>Hand_launch!$F$3:$F$52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xVal>
          <c:yVal>
            <c:numRef>
              <c:f>'maximum speed'!$L$3:$L$53</c:f>
              <c:numCache>
                <c:formatCode>General</c:formatCode>
                <c:ptCount val="51"/>
                <c:pt idx="8">
                  <c:v>21.567208185017286</c:v>
                </c:pt>
                <c:pt idx="9">
                  <c:v>19.220981799830742</c:v>
                </c:pt>
                <c:pt idx="10">
                  <c:v>17.349308582485492</c:v>
                </c:pt>
                <c:pt idx="11">
                  <c:v>15.822764941752091</c:v>
                </c:pt>
                <c:pt idx="12">
                  <c:v>14.555068483477569</c:v>
                </c:pt>
                <c:pt idx="13">
                  <c:v>13.486485242479116</c:v>
                </c:pt>
                <c:pt idx="14">
                  <c:v>12.574348100769001</c:v>
                </c:pt>
                <c:pt idx="15">
                  <c:v>11.787367838489557</c:v>
                </c:pt>
                <c:pt idx="16">
                  <c:v>11.10207754074753</c:v>
                </c:pt>
                <c:pt idx="17">
                  <c:v>10.500531919683375</c:v>
                </c:pt>
                <c:pt idx="18">
                  <c:v>9.9687735291841157</c:v>
                </c:pt>
                <c:pt idx="19">
                  <c:v>9.4957833328447734</c:v>
                </c:pt>
                <c:pt idx="20">
                  <c:v>9.0727461015413535</c:v>
                </c:pt>
                <c:pt idx="21">
                  <c:v>8.6925256974115843</c:v>
                </c:pt>
                <c:pt idx="22">
                  <c:v>8.3492834622045127</c:v>
                </c:pt>
                <c:pt idx="23">
                  <c:v>8.0381961564954398</c:v>
                </c:pt>
                <c:pt idx="24">
                  <c:v>7.7552444140971142</c:v>
                </c:pt>
                <c:pt idx="25">
                  <c:v>7.4970519674122471</c:v>
                </c:pt>
                <c:pt idx="26">
                  <c:v>7.2607619746277479</c:v>
                </c:pt>
                <c:pt idx="27">
                  <c:v>7.0439408297546864</c:v>
                </c:pt>
                <c:pt idx="28">
                  <c:v>6.8445025848025498</c:v>
                </c:pt>
                <c:pt idx="29">
                  <c:v>6.6606490087450387</c:v>
                </c:pt>
                <c:pt idx="30">
                  <c:v>6.4908216346926881</c:v>
                </c:pt>
                <c:pt idx="31">
                  <c:v>6.3336630882579028</c:v>
                </c:pt>
                <c:pt idx="32">
                  <c:v>6.1879856668515352</c:v>
                </c:pt>
                <c:pt idx="33">
                  <c:v>6.0527456318346395</c:v>
                </c:pt>
                <c:pt idx="34">
                  <c:v>5.9270220373493192</c:v>
                </c:pt>
                <c:pt idx="35">
                  <c:v>5.8099991884928706</c:v>
                </c:pt>
                <c:pt idx="36">
                  <c:v>5.7009520231295516</c:v>
                </c:pt>
                <c:pt idx="37">
                  <c:v>5.5992338642193804</c:v>
                </c:pt>
                <c:pt idx="38">
                  <c:v>5.5042661059897409</c:v>
                </c:pt>
                <c:pt idx="39">
                  <c:v>5.4155294868498203</c:v>
                </c:pt>
                <c:pt idx="40">
                  <c:v>5.3325566713678905</c:v>
                </c:pt>
                <c:pt idx="41">
                  <c:v>5.2549259178128809</c:v>
                </c:pt>
                <c:pt idx="42">
                  <c:v>5.1822556503328672</c:v>
                </c:pt>
                <c:pt idx="43">
                  <c:v>5.1141997885040125</c:v>
                </c:pt>
                <c:pt idx="44">
                  <c:v>5.0504437137591918</c:v>
                </c:pt>
                <c:pt idx="45">
                  <c:v>4.9907007736261368</c:v>
                </c:pt>
                <c:pt idx="46">
                  <c:v>4.9347092419345158</c:v>
                </c:pt>
                <c:pt idx="47">
                  <c:v>4.8822296670816829</c:v>
                </c:pt>
                <c:pt idx="48">
                  <c:v>4.8330425517652147</c:v>
                </c:pt>
                <c:pt idx="49">
                  <c:v>4.7869463168298214</c:v>
                </c:pt>
                <c:pt idx="50">
                  <c:v>4.743755509452642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FBF-B33F-92DEB2B401EF}"/>
            </c:ext>
          </c:extLst>
        </c:ser>
        <c:ser>
          <c:idx val="3"/>
          <c:order val="2"/>
          <c:tx>
            <c:v>Ceiling</c:v>
          </c:tx>
          <c:spPr>
            <a:ln w="76200" cmpd="thickThin"/>
          </c:spPr>
          <c:marker>
            <c:symbol val="none"/>
          </c:marker>
          <c:xVal>
            <c:numRef>
              <c:f>Hand_launch!$F$3:$F$53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Ceiling!$K$3:$K$53</c:f>
              <c:numCache>
                <c:formatCode>General</c:formatCode>
                <c:ptCount val="51"/>
                <c:pt idx="0">
                  <c:v>0</c:v>
                </c:pt>
                <c:pt idx="1">
                  <c:v>0.39104709370547958</c:v>
                </c:pt>
                <c:pt idx="2">
                  <c:v>0.55302410344487174</c:v>
                </c:pt>
                <c:pt idx="3">
                  <c:v>0.67731343445003833</c:v>
                </c:pt>
                <c:pt idx="4">
                  <c:v>0.78209418741095915</c:v>
                </c:pt>
                <c:pt idx="5">
                  <c:v>0.87440788392918256</c:v>
                </c:pt>
                <c:pt idx="6">
                  <c:v>0.95786584497674443</c:v>
                </c:pt>
                <c:pt idx="7">
                  <c:v>1.0346133608592705</c:v>
                </c:pt>
                <c:pt idx="8">
                  <c:v>1.1060482068897435</c:v>
                </c:pt>
                <c:pt idx="9">
                  <c:v>1.173141281116439</c:v>
                </c:pt>
                <c:pt idx="10">
                  <c:v>1.2365994884986089</c:v>
                </c:pt>
                <c:pt idx="11">
                  <c:v>1.2969564851800246</c:v>
                </c:pt>
                <c:pt idx="12">
                  <c:v>1.3546268689000767</c:v>
                </c:pt>
                <c:pt idx="13">
                  <c:v>1.4099403474762779</c:v>
                </c:pt>
                <c:pt idx="14">
                  <c:v>1.4631642467395891</c:v>
                </c:pt>
                <c:pt idx="15">
                  <c:v>1.5145188815041335</c:v>
                </c:pt>
                <c:pt idx="16">
                  <c:v>1.5641883748219183</c:v>
                </c:pt>
                <c:pt idx="17">
                  <c:v>1.6123284719384994</c:v>
                </c:pt>
                <c:pt idx="18">
                  <c:v>1.6590723103346154</c:v>
                </c:pt>
                <c:pt idx="19">
                  <c:v>1.7045347636274657</c:v>
                </c:pt>
                <c:pt idx="20">
                  <c:v>1.7488157678583651</c:v>
                </c:pt>
                <c:pt idx="21">
                  <c:v>1.7920029071978494</c:v>
                </c:pt>
                <c:pt idx="22">
                  <c:v>1.8341734511493308</c:v>
                </c:pt>
                <c:pt idx="23">
                  <c:v>1.8753959790925618</c:v>
                </c:pt>
                <c:pt idx="24">
                  <c:v>1.9157316899534889</c:v>
                </c:pt>
                <c:pt idx="25">
                  <c:v>1.955235468527398</c:v>
                </c:pt>
                <c:pt idx="26">
                  <c:v>1.9939567615379867</c:v>
                </c:pt>
                <c:pt idx="27">
                  <c:v>2.0319403033501149</c:v>
                </c:pt>
                <c:pt idx="28">
                  <c:v>2.0692267217185409</c:v>
                </c:pt>
                <c:pt idx="29">
                  <c:v>2.1058530469549774</c:v>
                </c:pt>
                <c:pt idx="30">
                  <c:v>2.1418531426932761</c:v>
                </c:pt>
                <c:pt idx="31">
                  <c:v>2.1772580725216213</c:v>
                </c:pt>
                <c:pt idx="32">
                  <c:v>2.212096413779487</c:v>
                </c:pt>
                <c:pt idx="33">
                  <c:v>2.2463945275377544</c:v>
                </c:pt>
                <c:pt idx="34">
                  <c:v>2.2801767920157143</c:v>
                </c:pt>
                <c:pt idx="35">
                  <c:v>2.3134658053108486</c:v>
                </c:pt>
                <c:pt idx="36">
                  <c:v>2.346282562232878</c:v>
                </c:pt>
                <c:pt idx="37">
                  <c:v>2.3786466091737077</c:v>
                </c:pt>
                <c:pt idx="38">
                  <c:v>2.4105761802583796</c:v>
                </c:pt>
                <c:pt idx="39">
                  <c:v>2.442088317470231</c:v>
                </c:pt>
                <c:pt idx="40">
                  <c:v>2.4731989769972178</c:v>
                </c:pt>
                <c:pt idx="41">
                  <c:v>2.5039231236832307</c:v>
                </c:pt>
                <c:pt idx="42">
                  <c:v>2.5342748151712136</c:v>
                </c:pt>
                <c:pt idx="43">
                  <c:v>2.5642672770806461</c:v>
                </c:pt>
                <c:pt idx="44">
                  <c:v>2.5939129703600492</c:v>
                </c:pt>
                <c:pt idx="45">
                  <c:v>2.6232236517875474</c:v>
                </c:pt>
                <c:pt idx="46">
                  <c:v>2.6522104284526709</c:v>
                </c:pt>
                <c:pt idx="47">
                  <c:v>2.6808838069354293</c:v>
                </c:pt>
                <c:pt idx="48">
                  <c:v>2.7092537378001533</c:v>
                </c:pt>
                <c:pt idx="49">
                  <c:v>2.7373296559383569</c:v>
                </c:pt>
                <c:pt idx="50">
                  <c:v>2.7651205172243589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E-4FBF-B33F-92DEB2B401EF}"/>
            </c:ext>
          </c:extLst>
        </c:ser>
        <c:ser>
          <c:idx val="4"/>
          <c:order val="3"/>
          <c:tx>
            <c:v>Rate of climb</c:v>
          </c:tx>
          <c:spPr>
            <a:ln w="76200" cmpd="thickThin"/>
          </c:spPr>
          <c:marker>
            <c:symbol val="none"/>
          </c:marker>
          <c:xVal>
            <c:numRef>
              <c:f>Hand_launch!$F$3:$F$53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'Rate of climb'!$K$3:$K$53</c:f>
              <c:numCache>
                <c:formatCode>General</c:formatCode>
                <c:ptCount val="51"/>
                <c:pt idx="0">
                  <c:v>3.4722222222222228</c:v>
                </c:pt>
                <c:pt idx="1">
                  <c:v>3.854545584553823</c:v>
                </c:pt>
                <c:pt idx="2">
                  <c:v>4.0129091064436544</c:v>
                </c:pt>
                <c:pt idx="3">
                  <c:v>4.1344257107011195</c:v>
                </c:pt>
                <c:pt idx="4">
                  <c:v>4.2368689468854237</c:v>
                </c:pt>
                <c:pt idx="5">
                  <c:v>4.3271232497819643</c:v>
                </c:pt>
                <c:pt idx="6">
                  <c:v>4.408719376679854</c:v>
                </c:pt>
                <c:pt idx="7">
                  <c:v>4.4837547593616769</c:v>
                </c:pt>
                <c:pt idx="8">
                  <c:v>4.5535959906650874</c:v>
                </c:pt>
                <c:pt idx="9">
                  <c:v>4.6191923092170244</c:v>
                </c:pt>
                <c:pt idx="10">
                  <c:v>4.6812348498839036</c:v>
                </c:pt>
                <c:pt idx="11">
                  <c:v>4.7402453636632389</c:v>
                </c:pt>
                <c:pt idx="12">
                  <c:v>4.7966291991800167</c:v>
                </c:pt>
                <c:pt idx="13">
                  <c:v>4.8507087089166054</c:v>
                </c:pt>
                <c:pt idx="14">
                  <c:v>4.902745255026506</c:v>
                </c:pt>
                <c:pt idx="15">
                  <c:v>4.9529542373985356</c:v>
                </c:pt>
                <c:pt idx="16">
                  <c:v>5.0015156715486242</c:v>
                </c:pt>
                <c:pt idx="17">
                  <c:v>5.0485818282567037</c:v>
                </c:pt>
                <c:pt idx="18">
                  <c:v>5.0942828748865194</c:v>
                </c:pt>
                <c:pt idx="19">
                  <c:v>5.1387311223803547</c:v>
                </c:pt>
                <c:pt idx="20">
                  <c:v>5.1820242773417053</c:v>
                </c:pt>
                <c:pt idx="21">
                  <c:v>5.2242479700568101</c:v>
                </c:pt>
                <c:pt idx="22">
                  <c:v>5.2654777462510447</c:v>
                </c:pt>
                <c:pt idx="23">
                  <c:v>5.3057806553910227</c:v>
                </c:pt>
                <c:pt idx="24">
                  <c:v>5.3452165311374857</c:v>
                </c:pt>
                <c:pt idx="25">
                  <c:v>5.3838390338802249</c:v>
                </c:pt>
                <c:pt idx="26">
                  <c:v>5.4216965072534578</c:v>
                </c:pt>
                <c:pt idx="27">
                  <c:v>5.4588326876589139</c:v>
                </c:pt>
                <c:pt idx="28">
                  <c:v>5.4952872965011323</c:v>
                </c:pt>
                <c:pt idx="29">
                  <c:v>5.5310965379956913</c:v>
                </c:pt>
                <c:pt idx="30">
                  <c:v>5.5662935203246082</c:v>
                </c:pt>
                <c:pt idx="31">
                  <c:v>5.6009086140894579</c:v>
                </c:pt>
                <c:pt idx="32">
                  <c:v>5.6349697591079515</c:v>
                </c:pt>
                <c:pt idx="33">
                  <c:v>5.6685027283711591</c:v>
                </c:pt>
                <c:pt idx="34">
                  <c:v>5.7015313562532945</c:v>
                </c:pt>
                <c:pt idx="35">
                  <c:v>5.7340777367188736</c:v>
                </c:pt>
                <c:pt idx="36">
                  <c:v>5.7661623962118256</c:v>
                </c:pt>
                <c:pt idx="37">
                  <c:v>5.7978044450705113</c:v>
                </c:pt>
                <c:pt idx="38">
                  <c:v>5.8290217106413218</c:v>
                </c:pt>
                <c:pt idx="39">
                  <c:v>5.859830854724013</c:v>
                </c:pt>
                <c:pt idx="40">
                  <c:v>5.8902474775455849</c:v>
                </c:pt>
                <c:pt idx="41">
                  <c:v>5.9202862101045142</c:v>
                </c:pt>
                <c:pt idx="42">
                  <c:v>5.94996079643676</c:v>
                </c:pt>
                <c:pt idx="43">
                  <c:v>5.9792841671161323</c:v>
                </c:pt>
                <c:pt idx="44">
                  <c:v>6.0082685051042555</c:v>
                </c:pt>
                <c:pt idx="45">
                  <c:v>6.0369253049014455</c:v>
                </c:pt>
                <c:pt idx="46">
                  <c:v>6.0652654258131022</c:v>
                </c:pt>
                <c:pt idx="47">
                  <c:v>6.0932991400316547</c:v>
                </c:pt>
                <c:pt idx="48">
                  <c:v>6.1210361761378103</c:v>
                </c:pt>
                <c:pt idx="49">
                  <c:v>6.1484857585434254</c:v>
                </c:pt>
                <c:pt idx="50">
                  <c:v>6.1756566433293845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3E-4FBF-B33F-92DEB2B401EF}"/>
            </c:ext>
          </c:extLst>
        </c:ser>
        <c:ser>
          <c:idx val="5"/>
          <c:order val="4"/>
          <c:tx>
            <c:v>Turns</c:v>
          </c:tx>
          <c:spPr>
            <a:ln w="76200" cmpd="thickThin"/>
          </c:spPr>
          <c:marker>
            <c:symbol val="none"/>
          </c:marker>
          <c:xVal>
            <c:numRef>
              <c:f>Hand_launch!$F$3:$F$53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Turns!$K$3:$K$53</c:f>
              <c:numCache>
                <c:formatCode>General</c:formatCode>
                <c:ptCount val="51"/>
                <c:pt idx="1">
                  <c:v>37.483538417206539</c:v>
                </c:pt>
                <c:pt idx="2">
                  <c:v>19.153014334413069</c:v>
                </c:pt>
                <c:pt idx="3">
                  <c:v>13.225615251619606</c:v>
                </c:pt>
                <c:pt idx="4">
                  <c:v>10.39899741882614</c:v>
                </c:pt>
                <c:pt idx="5">
                  <c:v>8.8126920860326745</c:v>
                </c:pt>
                <c:pt idx="6">
                  <c:v>7.8465430032392076</c:v>
                </c:pt>
                <c:pt idx="7">
                  <c:v>7.2347689204457417</c:v>
                </c:pt>
                <c:pt idx="8">
                  <c:v>6.844479212652276</c:v>
                </c:pt>
                <c:pt idx="9">
                  <c:v>6.601845754858811</c:v>
                </c:pt>
                <c:pt idx="10">
                  <c:v>6.4625716720653452</c:v>
                </c:pt>
                <c:pt idx="11">
                  <c:v>6.398468043817334</c:v>
                </c:pt>
                <c:pt idx="12">
                  <c:v>6.390742256478414</c:v>
                </c:pt>
                <c:pt idx="13">
                  <c:v>6.4263840390695641</c:v>
                </c:pt>
                <c:pt idx="14">
                  <c:v>6.4961003408914832</c:v>
                </c:pt>
                <c:pt idx="15">
                  <c:v>6.5930762580980167</c:v>
                </c:pt>
                <c:pt idx="16">
                  <c:v>6.7122006128045513</c:v>
                </c:pt>
                <c:pt idx="17">
                  <c:v>6.8495648572169685</c:v>
                </c:pt>
                <c:pt idx="18">
                  <c:v>7.0021290097176196</c:v>
                </c:pt>
                <c:pt idx="19">
                  <c:v>7.1674930848188927</c:v>
                </c:pt>
                <c:pt idx="20">
                  <c:v>7.3437370941306899</c:v>
                </c:pt>
                <c:pt idx="21">
                  <c:v>7.5293067613372235</c:v>
                </c:pt>
                <c:pt idx="22">
                  <c:v>7.7229304058164852</c:v>
                </c:pt>
                <c:pt idx="23">
                  <c:v>7.9235575087937713</c:v>
                </c:pt>
                <c:pt idx="24">
                  <c:v>8.1303126379568287</c:v>
                </c:pt>
                <c:pt idx="25">
                  <c:v>8.3424604301633618</c:v>
                </c:pt>
                <c:pt idx="26">
                  <c:v>8.5593786550622042</c:v>
                </c:pt>
                <c:pt idx="27">
                  <c:v>8.7805372645764308</c:v>
                </c:pt>
                <c:pt idx="28">
                  <c:v>9.0054819317829651</c:v>
                </c:pt>
                <c:pt idx="29">
                  <c:v>9.2338209955412243</c:v>
                </c:pt>
                <c:pt idx="30">
                  <c:v>9.4652150161960353</c:v>
                </c:pt>
                <c:pt idx="31">
                  <c:v>9.6993683527574071</c:v>
                </c:pt>
                <c:pt idx="32">
                  <c:v>9.9360223193591022</c:v>
                </c:pt>
                <c:pt idx="33">
                  <c:v>10.174949585997457</c:v>
                </c:pt>
                <c:pt idx="34">
                  <c:v>10.415949567375112</c:v>
                </c:pt>
                <c:pt idx="35">
                  <c:v>10.658844602228704</c:v>
                </c:pt>
                <c:pt idx="36">
                  <c:v>10.903476769435239</c:v>
                </c:pt>
                <c:pt idx="37">
                  <c:v>11.149705220425558</c:v>
                </c:pt>
                <c:pt idx="38">
                  <c:v>11.39740393279568</c:v>
                </c:pt>
                <c:pt idx="39">
                  <c:v>11.646459809516383</c:v>
                </c:pt>
                <c:pt idx="40">
                  <c:v>11.896771063261376</c:v>
                </c:pt>
                <c:pt idx="41">
                  <c:v>12.14824583717523</c:v>
                </c:pt>
                <c:pt idx="42">
                  <c:v>12.400801022674447</c:v>
                </c:pt>
                <c:pt idx="43">
                  <c:v>12.654361242206562</c:v>
                </c:pt>
                <c:pt idx="44">
                  <c:v>12.908857970723879</c:v>
                </c:pt>
                <c:pt idx="45">
                  <c:v>13.164228774294052</c:v>
                </c:pt>
                <c:pt idx="46">
                  <c:v>13.420416648022325</c:v>
                </c:pt>
                <c:pt idx="47">
                  <c:v>13.677369438494352</c:v>
                </c:pt>
                <c:pt idx="48">
                  <c:v>13.935039338413656</c:v>
                </c:pt>
                <c:pt idx="49">
                  <c:v>14.193382443120189</c:v>
                </c:pt>
                <c:pt idx="50">
                  <c:v>14.452358360326723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3E-4FBF-B33F-92DEB2B401EF}"/>
            </c:ext>
          </c:extLst>
        </c:ser>
        <c:ser>
          <c:idx val="2"/>
          <c:order val="5"/>
          <c:tx>
            <c:v>Vapproach</c:v>
          </c:tx>
          <c:spPr>
            <a:ln w="76200" cmpd="thickThin"/>
          </c:spPr>
          <c:marker>
            <c:symbol val="none"/>
          </c:marker>
          <c:xVal>
            <c:numRef>
              <c:f>airplane!$I$44:$I$45</c:f>
              <c:numCache>
                <c:formatCode>General</c:formatCode>
                <c:ptCount val="2"/>
                <c:pt idx="0">
                  <c:v>68.882341418498839</c:v>
                </c:pt>
                <c:pt idx="1">
                  <c:v>68.882341418498839</c:v>
                </c:pt>
              </c:numCache>
            </c:numRef>
          </c:xVal>
          <c:yVal>
            <c:numRef>
              <c:f>airplane!$J$44:$J$45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E-4FBF-B33F-92DEB2B4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6480"/>
        <c:axId val="192997056"/>
      </c:scatterChart>
      <c:scatterChart>
        <c:scatterStyle val="smoothMarker"/>
        <c:varyColors val="0"/>
        <c:ser>
          <c:idx val="6"/>
          <c:order val="6"/>
          <c:tx>
            <c:v>English Units</c:v>
          </c:tx>
          <c:spPr>
            <a:ln>
              <a:noFill/>
            </a:ln>
          </c:spPr>
          <c:marker>
            <c:symbol val="none"/>
          </c:marker>
          <c:xVal>
            <c:numRef>
              <c:f>airplane!$R$35:$R$36</c:f>
              <c:numCache>
                <c:formatCode>0.00</c:formatCode>
                <c:ptCount val="2"/>
                <c:pt idx="0">
                  <c:v>0.83465867013075312</c:v>
                </c:pt>
                <c:pt idx="1">
                  <c:v>2.0866466753268833</c:v>
                </c:pt>
              </c:numCache>
            </c:numRef>
          </c:xVal>
          <c:yVal>
            <c:numRef>
              <c:f>airplane!$R$38:$R$39</c:f>
              <c:numCache>
                <c:formatCode>General</c:formatCode>
                <c:ptCount val="2"/>
                <c:pt idx="0">
                  <c:v>0</c:v>
                </c:pt>
                <c:pt idx="1">
                  <c:v>133.44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3E-4FBF-B33F-92DEB2B4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208"/>
        <c:axId val="192997632"/>
      </c:scatterChart>
      <c:valAx>
        <c:axId val="192996480"/>
        <c:scaling>
          <c:orientation val="minMax"/>
          <c:max val="100"/>
          <c:min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Wing Loading, W/S (N/m</a:t>
                </a:r>
                <a:r>
                  <a:rPr lang="en-US" sz="1100" baseline="30000"/>
                  <a:t>2</a:t>
                </a:r>
                <a:r>
                  <a:rPr lang="en-US" sz="11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997056"/>
        <c:crosses val="autoZero"/>
        <c:crossBetween val="midCat"/>
      </c:valAx>
      <c:valAx>
        <c:axId val="19299705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Power Loading, P/W (Watt/N)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92996480"/>
        <c:crosses val="autoZero"/>
        <c:crossBetween val="midCat"/>
      </c:valAx>
      <c:valAx>
        <c:axId val="192997632"/>
        <c:scaling>
          <c:orientation val="minMax"/>
          <c:max val="133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Power Loading P/W</a:t>
                </a:r>
                <a:r>
                  <a:rPr lang="en-US" sz="1100" baseline="0"/>
                  <a:t> (Watt/lbs)</a:t>
                </a:r>
                <a:endParaRPr lang="en-US" sz="11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998208"/>
        <c:crosses val="max"/>
        <c:crossBetween val="midCat"/>
      </c:valAx>
      <c:valAx>
        <c:axId val="192998208"/>
        <c:scaling>
          <c:orientation val="minMax"/>
          <c:max val="2.09"/>
          <c:min val="0.83000000000000007"/>
        </c:scaling>
        <c:delete val="0"/>
        <c:axPos val="t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Wing</a:t>
                </a:r>
                <a:r>
                  <a:rPr lang="en-US" sz="1100" baseline="0"/>
                  <a:t> Loading, W/S (lbs/ft</a:t>
                </a:r>
                <a:r>
                  <a:rPr lang="en-US" sz="1100" baseline="30000"/>
                  <a:t>2</a:t>
                </a:r>
                <a:r>
                  <a:rPr lang="en-US" sz="1100" baseline="0"/>
                  <a:t>)</a:t>
                </a:r>
                <a:endParaRPr lang="en-US" sz="11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997632"/>
        <c:crosses val="max"/>
        <c:crossBetween val="midCat"/>
        <c:majorUnit val="0.21000000000000002"/>
      </c:valAx>
      <c:spPr>
        <a:ln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0</xdr:rowOff>
    </xdr:from>
    <xdr:to>
      <xdr:col>19</xdr:col>
      <xdr:colOff>361950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424543</xdr:colOff>
          <xdr:row>5</xdr:row>
          <xdr:rowOff>0</xdr:rowOff>
        </xdr:from>
        <xdr:to>
          <xdr:col>4</xdr:col>
          <xdr:colOff>1061357</xdr:colOff>
          <xdr:row>10</xdr:row>
          <xdr:rowOff>81643</xdr:rowOff>
        </xdr:to>
        <xdr:sp macro="" textlink="">
          <xdr:nvSpPr>
            <xdr:cNvPr id="2050" name="Object 219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212271</xdr:colOff>
          <xdr:row>11</xdr:row>
          <xdr:rowOff>5443</xdr:rowOff>
        </xdr:from>
        <xdr:to>
          <xdr:col>5</xdr:col>
          <xdr:colOff>228600</xdr:colOff>
          <xdr:row>14</xdr:row>
          <xdr:rowOff>152400</xdr:rowOff>
        </xdr:to>
        <xdr:sp macro="" textlink="">
          <xdr:nvSpPr>
            <xdr:cNvPr id="2052" name="Object 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32657</xdr:colOff>
          <xdr:row>1</xdr:row>
          <xdr:rowOff>146957</xdr:rowOff>
        </xdr:from>
        <xdr:to>
          <xdr:col>9</xdr:col>
          <xdr:colOff>261257</xdr:colOff>
          <xdr:row>25</xdr:row>
          <xdr:rowOff>119743</xdr:rowOff>
        </xdr:to>
        <xdr:sp macro="" textlink="">
          <xdr:nvSpPr>
            <xdr:cNvPr id="3074" name="Object 3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604157</xdr:colOff>
          <xdr:row>21</xdr:row>
          <xdr:rowOff>59871</xdr:rowOff>
        </xdr:from>
        <xdr:to>
          <xdr:col>5</xdr:col>
          <xdr:colOff>342900</xdr:colOff>
          <xdr:row>26</xdr:row>
          <xdr:rowOff>146957</xdr:rowOff>
        </xdr:to>
        <xdr:sp macro="" textlink="">
          <xdr:nvSpPr>
            <xdr:cNvPr id="4099" name="Object 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451757</xdr:colOff>
          <xdr:row>27</xdr:row>
          <xdr:rowOff>108857</xdr:rowOff>
        </xdr:from>
        <xdr:to>
          <xdr:col>9</xdr:col>
          <xdr:colOff>266700</xdr:colOff>
          <xdr:row>32</xdr:row>
          <xdr:rowOff>76200</xdr:rowOff>
        </xdr:to>
        <xdr:sp macro="" textlink="">
          <xdr:nvSpPr>
            <xdr:cNvPr id="4102" name="Object 1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8</xdr:col>
          <xdr:colOff>881743</xdr:colOff>
          <xdr:row>30</xdr:row>
          <xdr:rowOff>21771</xdr:rowOff>
        </xdr:to>
        <xdr:sp macro="" textlink="">
          <xdr:nvSpPr>
            <xdr:cNvPr id="5121" name="Object 3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81643</xdr:rowOff>
        </xdr:from>
        <xdr:to>
          <xdr:col>8</xdr:col>
          <xdr:colOff>310243</xdr:colOff>
          <xdr:row>28</xdr:row>
          <xdr:rowOff>32657</xdr:rowOff>
        </xdr:to>
        <xdr:sp macro="" textlink="">
          <xdr:nvSpPr>
            <xdr:cNvPr id="7169" name="Object 4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1.doc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2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A5" zoomScale="85" zoomScaleNormal="85" workbookViewId="0">
      <selection activeCell="B34" sqref="B34"/>
    </sheetView>
  </sheetViews>
  <sheetFormatPr defaultRowHeight="14.6" x14ac:dyDescent="0.4"/>
  <cols>
    <col min="1" max="1" width="23.07421875" customWidth="1"/>
    <col min="4" max="4" width="15.4609375" customWidth="1"/>
  </cols>
  <sheetData>
    <row r="1" spans="1:5" x14ac:dyDescent="0.4">
      <c r="C1" s="1" t="s">
        <v>0</v>
      </c>
      <c r="D1" s="1" t="s">
        <v>1</v>
      </c>
      <c r="E1" s="1" t="s">
        <v>2</v>
      </c>
    </row>
    <row r="2" spans="1:5" x14ac:dyDescent="0.4">
      <c r="B2" t="s">
        <v>3</v>
      </c>
      <c r="C2">
        <v>20</v>
      </c>
      <c r="D2">
        <f>9.80665*C2</f>
        <v>196.13299999999998</v>
      </c>
      <c r="E2" s="2">
        <f>2.20462*C2</f>
        <v>44.092399999999998</v>
      </c>
    </row>
    <row r="3" spans="1:5" x14ac:dyDescent="0.4">
      <c r="A3" s="5" t="s">
        <v>67</v>
      </c>
    </row>
    <row r="4" spans="1:5" x14ac:dyDescent="0.4">
      <c r="A4" t="s">
        <v>4</v>
      </c>
      <c r="B4">
        <v>9.8000000000000007</v>
      </c>
      <c r="C4" t="s">
        <v>5</v>
      </c>
    </row>
    <row r="5" spans="1:5" x14ac:dyDescent="0.4">
      <c r="A5" t="s">
        <v>6</v>
      </c>
    </row>
    <row r="6" spans="1:5" x14ac:dyDescent="0.4">
      <c r="A6" t="s">
        <v>7</v>
      </c>
      <c r="B6" s="3">
        <v>8.57</v>
      </c>
    </row>
    <row r="7" spans="1:5" x14ac:dyDescent="0.4">
      <c r="A7" t="s">
        <v>8</v>
      </c>
      <c r="B7" s="3">
        <v>2.5000000000000001E-2</v>
      </c>
    </row>
    <row r="8" spans="1:5" x14ac:dyDescent="0.4">
      <c r="A8" t="s">
        <v>9</v>
      </c>
      <c r="B8" s="3">
        <v>0.8</v>
      </c>
    </row>
    <row r="9" spans="1:5" x14ac:dyDescent="0.4">
      <c r="A9" t="s">
        <v>10</v>
      </c>
      <c r="B9" s="3">
        <v>0.6</v>
      </c>
    </row>
    <row r="10" spans="1:5" x14ac:dyDescent="0.4">
      <c r="A10" t="s">
        <v>11</v>
      </c>
      <c r="B10" s="3">
        <v>0.8</v>
      </c>
    </row>
    <row r="11" spans="1:5" x14ac:dyDescent="0.4">
      <c r="A11" t="s">
        <v>12</v>
      </c>
      <c r="B11" s="4">
        <f>1/(PI()*B6*B8)</f>
        <v>4.642792972342337E-2</v>
      </c>
      <c r="D11" t="s">
        <v>13</v>
      </c>
    </row>
    <row r="12" spans="1:5" x14ac:dyDescent="0.4">
      <c r="A12" t="s">
        <v>14</v>
      </c>
      <c r="B12" s="4">
        <f>1/(2*SQRT(B11*B7))</f>
        <v>14.676089136078325</v>
      </c>
      <c r="D12" t="s">
        <v>15</v>
      </c>
    </row>
    <row r="13" spans="1:5" x14ac:dyDescent="0.4">
      <c r="D13" s="2"/>
    </row>
    <row r="14" spans="1:5" x14ac:dyDescent="0.4">
      <c r="A14" s="5" t="s">
        <v>102</v>
      </c>
      <c r="D14" s="2"/>
    </row>
    <row r="15" spans="1:5" x14ac:dyDescent="0.4">
      <c r="B15" s="3"/>
    </row>
    <row r="16" spans="1:5" x14ac:dyDescent="0.4">
      <c r="A16" t="s">
        <v>93</v>
      </c>
      <c r="B16" s="3">
        <v>1.2</v>
      </c>
    </row>
    <row r="17" spans="1:9" x14ac:dyDescent="0.4">
      <c r="A17" s="11"/>
      <c r="B17" s="12"/>
      <c r="C17" s="11"/>
      <c r="D17" s="13"/>
    </row>
    <row r="18" spans="1:9" x14ac:dyDescent="0.4">
      <c r="A18" s="11"/>
      <c r="B18" s="11"/>
      <c r="C18" s="11"/>
      <c r="D18" s="11"/>
    </row>
    <row r="19" spans="1:9" x14ac:dyDescent="0.4">
      <c r="A19" t="s">
        <v>103</v>
      </c>
      <c r="B19" s="3">
        <v>7.5</v>
      </c>
      <c r="C19" t="s">
        <v>55</v>
      </c>
      <c r="D19" s="7">
        <f>B19*3.28</f>
        <v>24.599999999999998</v>
      </c>
      <c r="E19" t="s">
        <v>81</v>
      </c>
    </row>
    <row r="21" spans="1:9" x14ac:dyDescent="0.4">
      <c r="A21" s="5" t="s">
        <v>68</v>
      </c>
    </row>
    <row r="22" spans="1:9" x14ac:dyDescent="0.4">
      <c r="A22" t="s">
        <v>44</v>
      </c>
      <c r="B22" s="3">
        <v>100</v>
      </c>
      <c r="C22" t="s">
        <v>17</v>
      </c>
      <c r="H22">
        <f>airplane!B23*'maximum speed'!P4</f>
        <v>67.10808876162001</v>
      </c>
      <c r="I22" t="s">
        <v>38</v>
      </c>
    </row>
    <row r="23" spans="1:9" x14ac:dyDescent="0.4">
      <c r="A23" t="s">
        <v>30</v>
      </c>
      <c r="B23" s="3">
        <v>30</v>
      </c>
      <c r="C23" t="s">
        <v>21</v>
      </c>
      <c r="D23" s="6">
        <f>airplane!B23*'maximum speed'!P2</f>
        <v>98.425196850389995</v>
      </c>
      <c r="E23" t="s">
        <v>34</v>
      </c>
      <c r="F23" s="6">
        <f>D23*3600/5280</f>
        <v>67.108088761629546</v>
      </c>
      <c r="G23" t="s">
        <v>87</v>
      </c>
    </row>
    <row r="24" spans="1:9" x14ac:dyDescent="0.4">
      <c r="A24" t="s">
        <v>32</v>
      </c>
      <c r="B24">
        <f>1/2*B25*B23^2</f>
        <v>546.68524935316543</v>
      </c>
      <c r="C24" t="s">
        <v>16</v>
      </c>
    </row>
    <row r="25" spans="1:9" x14ac:dyDescent="0.4">
      <c r="A25" t="s">
        <v>19</v>
      </c>
      <c r="B25">
        <f>(101.29*((15.04-0.00649*B22+273.1)/288.08)^5.256)/(0.2869*(15.05-0.00649*B22+273.1))</f>
        <v>1.2148561096737009</v>
      </c>
      <c r="C25" t="s">
        <v>20</v>
      </c>
    </row>
    <row r="27" spans="1:9" x14ac:dyDescent="0.4">
      <c r="A27" s="5" t="s">
        <v>69</v>
      </c>
    </row>
    <row r="28" spans="1:9" x14ac:dyDescent="0.4">
      <c r="A28" t="s">
        <v>53</v>
      </c>
      <c r="B28" s="3">
        <v>0</v>
      </c>
    </row>
    <row r="29" spans="1:9" x14ac:dyDescent="0.4">
      <c r="A29" t="s">
        <v>94</v>
      </c>
      <c r="B29" s="3">
        <v>1</v>
      </c>
      <c r="C29" t="s">
        <v>50</v>
      </c>
    </row>
    <row r="30" spans="1:9" x14ac:dyDescent="0.4">
      <c r="A30" t="s">
        <v>46</v>
      </c>
      <c r="B30" s="3">
        <v>10</v>
      </c>
      <c r="C30" t="s">
        <v>17</v>
      </c>
    </row>
    <row r="31" spans="1:9" x14ac:dyDescent="0.4">
      <c r="A31" t="s">
        <v>47</v>
      </c>
      <c r="B31" s="3">
        <v>0</v>
      </c>
    </row>
    <row r="32" spans="1:9" x14ac:dyDescent="0.4">
      <c r="A32" t="s">
        <v>51</v>
      </c>
      <c r="B32">
        <f>(101.29*((15.04-0.00649*B28+273.1)/288.08)^5.256)/(0.2869*(15.05-0.00649*B28+273.1))</f>
        <v>1.2265712188256008</v>
      </c>
      <c r="C32" t="s">
        <v>20</v>
      </c>
    </row>
    <row r="33" spans="1:19" x14ac:dyDescent="0.4">
      <c r="A33" t="s">
        <v>72</v>
      </c>
      <c r="B33" s="3">
        <v>1</v>
      </c>
      <c r="C33" t="s">
        <v>75</v>
      </c>
      <c r="E33" t="s">
        <v>76</v>
      </c>
    </row>
    <row r="34" spans="1:19" x14ac:dyDescent="0.4">
      <c r="A34" t="s">
        <v>49</v>
      </c>
      <c r="B34">
        <v>1.2250000000000001</v>
      </c>
      <c r="Q34" s="5" t="s">
        <v>88</v>
      </c>
    </row>
    <row r="35" spans="1:19" x14ac:dyDescent="0.4">
      <c r="I35" s="5" t="s">
        <v>82</v>
      </c>
      <c r="Q35">
        <v>40</v>
      </c>
      <c r="R35" s="2">
        <f>(Q35*2.2/9.8)/(3.28^2)</f>
        <v>0.83465867013075312</v>
      </c>
      <c r="S35" t="s">
        <v>89</v>
      </c>
    </row>
    <row r="36" spans="1:19" x14ac:dyDescent="0.4">
      <c r="A36" s="5" t="s">
        <v>70</v>
      </c>
      <c r="C36" t="s">
        <v>104</v>
      </c>
      <c r="I36" t="s">
        <v>44</v>
      </c>
      <c r="J36" s="3">
        <v>100</v>
      </c>
      <c r="K36" t="s">
        <v>17</v>
      </c>
      <c r="Q36">
        <v>100</v>
      </c>
      <c r="R36" s="2">
        <f>(Q36*2.2/9.8)/(3.28^2)</f>
        <v>2.0866466753268833</v>
      </c>
      <c r="S36" t="s">
        <v>89</v>
      </c>
    </row>
    <row r="37" spans="1:19" x14ac:dyDescent="0.4">
      <c r="A37" t="s">
        <v>44</v>
      </c>
      <c r="B37" s="3">
        <v>1900</v>
      </c>
      <c r="C37" t="s">
        <v>17</v>
      </c>
      <c r="D37">
        <f>B37*3.28</f>
        <v>6232</v>
      </c>
      <c r="E37" t="s">
        <v>39</v>
      </c>
      <c r="I37" t="s">
        <v>94</v>
      </c>
      <c r="J37" s="3">
        <v>1.4</v>
      </c>
      <c r="K37" t="s">
        <v>84</v>
      </c>
    </row>
    <row r="38" spans="1:19" x14ac:dyDescent="0.4">
      <c r="A38" t="s">
        <v>62</v>
      </c>
      <c r="B38">
        <f>(101.29*((15.04-0.00649*B37+273.1)/288.08)^5.256)/(0.2869*(15.05-0.00649*B37+273.1))</f>
        <v>1.0182369975668024</v>
      </c>
      <c r="C38" t="s">
        <v>20</v>
      </c>
      <c r="I38" t="s">
        <v>83</v>
      </c>
      <c r="J38" s="3">
        <v>9</v>
      </c>
      <c r="K38" t="s">
        <v>55</v>
      </c>
      <c r="L38">
        <f>J38*3.28</f>
        <v>29.52</v>
      </c>
      <c r="M38" t="s">
        <v>78</v>
      </c>
      <c r="Q38">
        <v>0</v>
      </c>
      <c r="R38">
        <v>0</v>
      </c>
      <c r="S38" t="s">
        <v>90</v>
      </c>
    </row>
    <row r="39" spans="1:19" x14ac:dyDescent="0.4">
      <c r="A39" t="s">
        <v>72</v>
      </c>
      <c r="B39" s="3">
        <v>1</v>
      </c>
      <c r="C39" t="s">
        <v>75</v>
      </c>
      <c r="Q39">
        <v>30</v>
      </c>
      <c r="R39">
        <f>Q39*4.448</f>
        <v>133.44</v>
      </c>
      <c r="S39" t="s">
        <v>90</v>
      </c>
    </row>
    <row r="40" spans="1:19" x14ac:dyDescent="0.4">
      <c r="A40" t="s">
        <v>56</v>
      </c>
      <c r="B40">
        <f>SQRT(3*airplane!$B$7/airplane!$B$11)</f>
        <v>1.2709866020048646</v>
      </c>
      <c r="I40" t="s">
        <v>51</v>
      </c>
      <c r="J40" s="2">
        <f>(101.29*((15.04-0.00649*J36+273.1)/288.08)^5.256)/(0.2869*(15.05-0.00649*J36+273.1))</f>
        <v>1.2148561096737009</v>
      </c>
      <c r="K40" t="s">
        <v>20</v>
      </c>
    </row>
    <row r="41" spans="1:19" x14ac:dyDescent="0.4">
      <c r="I41" t="s">
        <v>85</v>
      </c>
      <c r="J41" s="2">
        <f>0.5*J40*J38^2*J37</f>
        <v>68.882341418498839</v>
      </c>
      <c r="K41" t="s">
        <v>86</v>
      </c>
    </row>
    <row r="42" spans="1:19" x14ac:dyDescent="0.4">
      <c r="A42" s="5" t="s">
        <v>54</v>
      </c>
    </row>
    <row r="43" spans="1:19" x14ac:dyDescent="0.4">
      <c r="A43" t="s">
        <v>54</v>
      </c>
      <c r="B43" s="3">
        <v>100</v>
      </c>
      <c r="C43" t="s">
        <v>59</v>
      </c>
      <c r="D43">
        <f>B43*3.28</f>
        <v>328</v>
      </c>
      <c r="E43" t="s">
        <v>79</v>
      </c>
      <c r="I43" s="5" t="s">
        <v>91</v>
      </c>
    </row>
    <row r="44" spans="1:19" x14ac:dyDescent="0.4">
      <c r="A44" t="s">
        <v>54</v>
      </c>
      <c r="B44" s="3">
        <f>B43/60</f>
        <v>1.6666666666666667</v>
      </c>
      <c r="C44" t="s">
        <v>21</v>
      </c>
      <c r="I44">
        <f>J41</f>
        <v>68.882341418498839</v>
      </c>
      <c r="J44">
        <v>0</v>
      </c>
    </row>
    <row r="45" spans="1:19" x14ac:dyDescent="0.4">
      <c r="A45" t="s">
        <v>44</v>
      </c>
      <c r="B45" s="3">
        <f>1300/3.28084</f>
        <v>396.23998732032038</v>
      </c>
      <c r="C45" t="s">
        <v>17</v>
      </c>
      <c r="I45">
        <f>J41</f>
        <v>68.882341418498839</v>
      </c>
      <c r="J45">
        <v>100</v>
      </c>
    </row>
    <row r="46" spans="1:19" x14ac:dyDescent="0.4">
      <c r="A46" t="s">
        <v>51</v>
      </c>
      <c r="B46">
        <f>(101.29*((15.04-0.00649*B45+273.1)/288.08)^5.256)/(0.2869*(15.05-0.00649*B45+273.1))</f>
        <v>1.1806531347952522</v>
      </c>
      <c r="C46" t="s">
        <v>20</v>
      </c>
    </row>
    <row r="47" spans="1:19" x14ac:dyDescent="0.4">
      <c r="A47" t="s">
        <v>72</v>
      </c>
      <c r="B47" s="3">
        <v>1</v>
      </c>
      <c r="C47" t="s">
        <v>75</v>
      </c>
    </row>
    <row r="48" spans="1:19" x14ac:dyDescent="0.4">
      <c r="A48" t="s">
        <v>56</v>
      </c>
      <c r="B48">
        <f>SQRT(3*airplane!$B$7/airplane!$B$11)</f>
        <v>1.2709866020048646</v>
      </c>
      <c r="C48" t="s">
        <v>57</v>
      </c>
    </row>
    <row r="50" spans="1:7" x14ac:dyDescent="0.4">
      <c r="A50" s="5" t="s">
        <v>71</v>
      </c>
    </row>
    <row r="51" spans="1:7" x14ac:dyDescent="0.4">
      <c r="A51" t="s">
        <v>44</v>
      </c>
      <c r="B51" s="3">
        <v>100</v>
      </c>
      <c r="C51" t="s">
        <v>17</v>
      </c>
    </row>
    <row r="52" spans="1:7" x14ac:dyDescent="0.4">
      <c r="A52" t="s">
        <v>60</v>
      </c>
      <c r="B52" s="3">
        <v>18</v>
      </c>
      <c r="C52" t="s">
        <v>55</v>
      </c>
      <c r="D52">
        <f>B52*3.28</f>
        <v>59.04</v>
      </c>
      <c r="E52" t="s">
        <v>78</v>
      </c>
      <c r="F52" s="6">
        <f>D52*3600/5280</f>
        <v>40.254545454545458</v>
      </c>
      <c r="G52" t="s">
        <v>87</v>
      </c>
    </row>
    <row r="53" spans="1:7" x14ac:dyDescent="0.4">
      <c r="A53" t="s">
        <v>61</v>
      </c>
      <c r="B53" s="3">
        <v>2.5</v>
      </c>
      <c r="D53" s="8">
        <f>DEGREES(ACOS(1/B53))</f>
        <v>66.421821521798165</v>
      </c>
      <c r="E53" s="5" t="s">
        <v>92</v>
      </c>
    </row>
    <row r="54" spans="1:7" x14ac:dyDescent="0.4">
      <c r="A54" t="s">
        <v>62</v>
      </c>
      <c r="B54">
        <f>(101.29*((15.04-0.00649*B51+273.1)/288.08)^5.256)/(0.2869*(15.05-0.00649*B51+273.1))</f>
        <v>1.2148561096737009</v>
      </c>
      <c r="C54" t="s">
        <v>20</v>
      </c>
    </row>
    <row r="55" spans="1:7" x14ac:dyDescent="0.4">
      <c r="A55" t="s">
        <v>72</v>
      </c>
      <c r="B55" s="3">
        <v>1</v>
      </c>
      <c r="C55" t="s">
        <v>75</v>
      </c>
    </row>
    <row r="56" spans="1:7" x14ac:dyDescent="0.4">
      <c r="A56" t="s">
        <v>63</v>
      </c>
      <c r="B56">
        <f>0.5*B55*airplane!B34*B52^2</f>
        <v>198.45000000000002</v>
      </c>
      <c r="C56" t="s">
        <v>64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3"/>
  <sheetViews>
    <sheetView topLeftCell="E1" workbookViewId="0">
      <selection activeCell="T4" sqref="T4"/>
    </sheetView>
  </sheetViews>
  <sheetFormatPr defaultRowHeight="14.6" x14ac:dyDescent="0.4"/>
  <cols>
    <col min="1" max="1" width="19" customWidth="1"/>
    <col min="5" max="5" width="21.3046875" customWidth="1"/>
    <col min="6" max="6" width="14.53515625" customWidth="1"/>
    <col min="15" max="23" width="8.84375" style="9"/>
  </cols>
  <sheetData>
    <row r="1" spans="1:25" x14ac:dyDescent="0.4">
      <c r="A1" t="s">
        <v>18</v>
      </c>
      <c r="F1" t="s">
        <v>23</v>
      </c>
      <c r="G1" t="s">
        <v>24</v>
      </c>
      <c r="H1" t="s">
        <v>25</v>
      </c>
      <c r="K1" t="s">
        <v>23</v>
      </c>
      <c r="L1" t="s">
        <v>25</v>
      </c>
      <c r="O1" s="9" t="s">
        <v>85</v>
      </c>
      <c r="P1" s="9" t="s">
        <v>93</v>
      </c>
      <c r="Q1" s="9" t="s">
        <v>95</v>
      </c>
      <c r="R1" s="9" t="s">
        <v>96</v>
      </c>
      <c r="S1" s="9" t="s">
        <v>97</v>
      </c>
      <c r="T1" s="9" t="s">
        <v>98</v>
      </c>
      <c r="U1" s="9" t="s">
        <v>99</v>
      </c>
      <c r="W1" s="9" t="s">
        <v>100</v>
      </c>
      <c r="Y1" t="s">
        <v>25</v>
      </c>
    </row>
    <row r="2" spans="1:25" x14ac:dyDescent="0.4">
      <c r="F2" t="s">
        <v>16</v>
      </c>
      <c r="G2" t="s">
        <v>21</v>
      </c>
      <c r="H2" t="s">
        <v>26</v>
      </c>
      <c r="K2" t="s">
        <v>66</v>
      </c>
      <c r="L2" t="s">
        <v>65</v>
      </c>
      <c r="O2" s="9" t="s">
        <v>101</v>
      </c>
      <c r="U2" s="9" t="s">
        <v>81</v>
      </c>
      <c r="W2" s="9" t="s">
        <v>90</v>
      </c>
      <c r="Y2" t="s">
        <v>26</v>
      </c>
    </row>
    <row r="3" spans="1:25" x14ac:dyDescent="0.4">
      <c r="A3" t="s">
        <v>80</v>
      </c>
      <c r="F3">
        <v>0</v>
      </c>
      <c r="G3" t="e">
        <f>1.2*SQRT(2*F3/(airplane!$B$16*airplane!$B$18))-airplane!$B$19</f>
        <v>#DIV/0!</v>
      </c>
      <c r="H3">
        <f>Y3</f>
        <v>6.6975336659601759</v>
      </c>
      <c r="K3">
        <f>F3*0.3342</f>
        <v>0</v>
      </c>
      <c r="L3">
        <f>H3*4.448</f>
        <v>29.790629746190866</v>
      </c>
      <c r="O3" s="9">
        <f>K3/16</f>
        <v>0</v>
      </c>
      <c r="P3" s="9">
        <f>airplane!$B$16</f>
        <v>1.2</v>
      </c>
      <c r="Q3" s="9">
        <f>airplane!$B$6</f>
        <v>8.57</v>
      </c>
      <c r="R3" s="9">
        <f>airplane!$B$7</f>
        <v>2.5000000000000001E-2</v>
      </c>
      <c r="S3" s="9">
        <f>airplane!$B$8</f>
        <v>0.8</v>
      </c>
      <c r="T3" s="9">
        <v>0.75</v>
      </c>
      <c r="U3" s="10">
        <f>airplane!$D$19</f>
        <v>24.599999999999998</v>
      </c>
      <c r="W3" s="9">
        <f>149.048255755414 + -54.8076469211868 * TANH(0.5 * ((-1.90311837493387) + -2.90092544214518 * O3 + 2.39505098582308 * P3 + -0.0283389134105036 * Q3 + 5.19308047170936 * R3 + -0.0705176187957977 * S3 + -3.27116421887395 * T3 + 0.487399857872412 * U3)) + 33.0866673975606 * TANH(0.5 * ((-10.9668713929341) + 2.35524027768271 * O3 + 3.73791895311835 * P3 + 0.0550541094921953 * Q3 + 5.9452766643223 * R3 + -0.0800115435216866 * S3 + -0.0158182141911049 * T3 + 0.347472887456459 * U3)) + 28.3453260854724 * TANH(0.5 * (4.25176964573387 + -0.66460275837987 * O3 + 1.29537751335798 * P3 + -0.130256031902394 * Q3 + 31.2667602760926 * R3 + -1.24048544610401 * S3 + 0.0937927006240642 * T3 + -0.0566650624068167 * U3)) + 6.79870987971588 * TANH(0.5 * (10.0518228768354 + 5.50509550241032 * O3 + -3.83803539356733 * P3 + -0.465217054676259 * Q3 + -26.6617416441195 * R3 + 1.69864364271823 * S3 + 1.31308464511239 * T3 + -0.408787412840148 * U3)) + 34.8668869080431 * TANH(0.5 * (8.22077312844118 + 5.58131964160515 * O3 + -5.45167953353492 * P3 + 0.131357302073037 * Q3 + -3.02895908030327 * R3 + 0.620182457511558 * S3 + 0.516840709792139 * T3 + -0.426084796098354 * U3)) + -38.9742336884865 * TANH(0.5 * ((-6.63509223591402) + -3.81651288586513 * O3 + 3.96461447865925 * P3 + -0.0427755407034191 * Q3 + 1.12271394672456 * R3 + 0.0774782141523358 * S3 + -1.00839111713208 * T3 + 0.432613997233709 * U3)) + 94.7572230191964 * TANH(0.5 * (2.61370613563095 + 2.08158608465853 * O3 + -5.30494797629013 * P3 + -0.0107060857549542 * Q3 + -3.17349866436297 * R3 + 0.259803966881259 * S3 + 0.165932316676154 * T3 + -0.103542416733828 * U3)) + 19.6842352112259 * TANH(0.5 * ((-11.3180358678866) + -6.05406376734185 * O3 + 6.26161664490292 * P3 + -0.0149996825471037 * Q3 + 12.6493036152436 * R3 + -1.26783941440917 * S3 + -1.22533297933495 * T3 + 0.454263469706135 * U3)) + 33.3825353084738 * TANH(0.5 * (3.02832658290986 + -4.98369928277894 * O3 + -5.38839891768436 * P3 + 2.00089047251944 * Q3 + 518.862002410857 * R3 + 5.25176474025537 * S3 + -17.6499237483562 * T3 + 0.479515709156452 * U3)) + 8.33789006875588 * TANH(0.5 * (5.21393347551219 + -2.63059327387901 * O3 + 4.88843846109308 * P3 + -0.746655568511994 * Q3 + 25.471194142492 * R3 + -5.03554280328379 * S3 + 0.903364963978358 * T3 + -0.050418064604326 * U3))</f>
        <v>29.790629746190866</v>
      </c>
      <c r="Y3">
        <f>W3/4.448</f>
        <v>6.6975336659601759</v>
      </c>
    </row>
    <row r="4" spans="1:25" x14ac:dyDescent="0.4">
      <c r="F4">
        <f>F3+5</f>
        <v>5</v>
      </c>
      <c r="G4" t="e">
        <f>1.2*SQRT(2*F4/(airplane!$B$16*airplane!$B$18))-airplane!$B$19</f>
        <v>#DIV/0!</v>
      </c>
      <c r="H4">
        <f t="shared" ref="H4:H53" si="0">Y4</f>
        <v>6.6491940985174729</v>
      </c>
      <c r="K4">
        <f t="shared" ref="K4:K53" si="1">F4*0.3342</f>
        <v>1.671</v>
      </c>
      <c r="L4">
        <f t="shared" ref="L4:L53" si="2">H4*4.448</f>
        <v>29.575615350205723</v>
      </c>
      <c r="O4" s="9">
        <f>K4/16</f>
        <v>0.1044375</v>
      </c>
      <c r="P4" s="9">
        <f>P3</f>
        <v>1.2</v>
      </c>
      <c r="Q4" s="9">
        <f t="shared" ref="Q4:U4" si="3">Q3</f>
        <v>8.57</v>
      </c>
      <c r="R4" s="9">
        <f t="shared" si="3"/>
        <v>2.5000000000000001E-2</v>
      </c>
      <c r="S4" s="9">
        <f t="shared" si="3"/>
        <v>0.8</v>
      </c>
      <c r="T4" s="9">
        <f t="shared" si="3"/>
        <v>0.75</v>
      </c>
      <c r="U4" s="9">
        <f t="shared" si="3"/>
        <v>24.599999999999998</v>
      </c>
      <c r="W4" s="9">
        <f>149.048255755414 + -54.8076469211868 * TANH(0.5 * ((-1.90311837493387) + -2.90092544214518 * O4 + 2.39505098582308 * P4 + -0.0283389134105036 * Q4 + 5.19308047170936 * R4 + -0.0705176187957977 * S4 + -3.27116421887395 * T4 + 0.487399857872412 * U4)) + 33.0866673975606 * TANH(0.5 * ((-10.9668713929341) + 2.35524027768271 * O4 + 3.73791895311835 * P4 + 0.0550541094921953 * Q4 + 5.9452766643223 * R4 + -0.0800115435216866 * S4 + -0.0158182141911049 * T4 + 0.347472887456459 * U4)) + 28.3453260854724 * TANH(0.5 * (4.25176964573387 + -0.66460275837987 * O4 + 1.29537751335798 * P4 + -0.130256031902394 * Q4 + 31.2667602760926 * R4 + -1.24048544610401 * S4 + 0.0937927006240642 * T4 + -0.0566650624068167 * U4)) + 6.79870987971588 * TANH(0.5 * (10.0518228768354 + 5.50509550241032 * O4 + -3.83803539356733 * P4 + -0.465217054676259 * Q4 + -26.6617416441195 * R4 + 1.69864364271823 * S4 + 1.31308464511239 * T4 + -0.408787412840148 * U4)) + 34.8668869080431 * TANH(0.5 * (8.22077312844118 + 5.58131964160515 * O4 + -5.45167953353492 * P4 + 0.131357302073037 * Q4 + -3.02895908030327 * R4 + 0.620182457511558 * S4 + 0.516840709792139 * T4 + -0.426084796098354 * U4)) + -38.9742336884865 * TANH(0.5 * ((-6.63509223591402) + -3.81651288586513 * O4 + 3.96461447865925 * P4 + -0.0427755407034191 * Q4 + 1.12271394672456 * R4 + 0.0774782141523358 * S4 + -1.00839111713208 * T4 + 0.432613997233709 * U4)) + 94.7572230191964 * TANH(0.5 * (2.61370613563095 + 2.08158608465853 * O4 + -5.30494797629013 * P4 + -0.0107060857549542 * Q4 + -3.17349866436297 * R4 + 0.259803966881259 * S4 + 0.165932316676154 * T4 + -0.103542416733828 * U4)) + 19.6842352112259 * TANH(0.5 * ((-11.3180358678866) + -6.05406376734185 * O4 + 6.26161664490292 * P4 + -0.0149996825471037 * Q4 + 12.6493036152436 * R4 + -1.26783941440917 * S4 + -1.22533297933495 * T4 + 0.454263469706135 * U4)) + 33.3825353084738 * TANH(0.5 * (3.02832658290986 + -4.98369928277894 * O4 + -5.38839891768436 * P4 + 2.00089047251944 * Q4 + 518.862002410857 * R4 + 5.25176474025537 * S4 + -17.6499237483562 * T4 + 0.479515709156452 * U4)) + 8.33789006875588 * TANH(0.5 * (5.21393347551219 + -2.63059327387901 * O4 + 4.88843846109308 * P4 + -0.746655568511994 * Q4 + 25.471194142492 * R4 + -5.03554280328379 * S4 + 0.903364963978358 * T4 + -0.050418064604326 * U4))</f>
        <v>29.575615350205723</v>
      </c>
      <c r="Y4">
        <f>W4/4.448</f>
        <v>6.6491940985174729</v>
      </c>
    </row>
    <row r="5" spans="1:25" x14ac:dyDescent="0.4">
      <c r="F5">
        <f t="shared" ref="F5:F53" si="4">F4+5</f>
        <v>10</v>
      </c>
      <c r="G5" t="e">
        <f>1.2*SQRT(2*F5/(airplane!$B$16*airplane!$B$18))-airplane!$B$19</f>
        <v>#DIV/0!</v>
      </c>
      <c r="H5">
        <f t="shared" si="0"/>
        <v>6.5375865857649034</v>
      </c>
      <c r="K5">
        <f t="shared" si="1"/>
        <v>3.3420000000000001</v>
      </c>
      <c r="L5">
        <f t="shared" si="2"/>
        <v>29.079185133482294</v>
      </c>
      <c r="O5" s="9">
        <f t="shared" ref="O5:O14" si="5">K5/16</f>
        <v>0.20887500000000001</v>
      </c>
      <c r="P5" s="9">
        <f t="shared" ref="P5:P14" si="6">P4</f>
        <v>1.2</v>
      </c>
      <c r="Q5" s="9">
        <f t="shared" ref="Q5:Q14" si="7">Q4</f>
        <v>8.57</v>
      </c>
      <c r="R5" s="9">
        <f t="shared" ref="R5:R14" si="8">R4</f>
        <v>2.5000000000000001E-2</v>
      </c>
      <c r="S5" s="9">
        <f t="shared" ref="S5:S14" si="9">S4</f>
        <v>0.8</v>
      </c>
      <c r="T5" s="9">
        <f t="shared" ref="T5:T14" si="10">T4</f>
        <v>0.75</v>
      </c>
      <c r="U5" s="9">
        <f t="shared" ref="U5:U14" si="11">U4</f>
        <v>24.599999999999998</v>
      </c>
      <c r="W5" s="9">
        <f t="shared" ref="W5:W14" si="12">149.048255755414 + -54.8076469211868 * TANH(0.5 * ((-1.90311837493387) + -2.90092544214518 * O5 + 2.39505098582308 * P5 + -0.0283389134105036 * Q5 + 5.19308047170936 * R5 + -0.0705176187957977 * S5 + -3.27116421887395 * T5 + 0.487399857872412 * U5)) + 33.0866673975606 * TANH(0.5 * ((-10.9668713929341) + 2.35524027768271 * O5 + 3.73791895311835 * P5 + 0.0550541094921953 * Q5 + 5.9452766643223 * R5 + -0.0800115435216866 * S5 + -0.0158182141911049 * T5 + 0.347472887456459 * U5)) + 28.3453260854724 * TANH(0.5 * (4.25176964573387 + -0.66460275837987 * O5 + 1.29537751335798 * P5 + -0.130256031902394 * Q5 + 31.2667602760926 * R5 + -1.24048544610401 * S5 + 0.0937927006240642 * T5 + -0.0566650624068167 * U5)) + 6.79870987971588 * TANH(0.5 * (10.0518228768354 + 5.50509550241032 * O5 + -3.83803539356733 * P5 + -0.465217054676259 * Q5 + -26.6617416441195 * R5 + 1.69864364271823 * S5 + 1.31308464511239 * T5 + -0.408787412840148 * U5)) + 34.8668869080431 * TANH(0.5 * (8.22077312844118 + 5.58131964160515 * O5 + -5.45167953353492 * P5 + 0.131357302073037 * Q5 + -3.02895908030327 * R5 + 0.620182457511558 * S5 + 0.516840709792139 * T5 + -0.426084796098354 * U5)) + -38.9742336884865 * TANH(0.5 * ((-6.63509223591402) + -3.81651288586513 * O5 + 3.96461447865925 * P5 + -0.0427755407034191 * Q5 + 1.12271394672456 * R5 + 0.0774782141523358 * S5 + -1.00839111713208 * T5 + 0.432613997233709 * U5)) + 94.7572230191964 * TANH(0.5 * (2.61370613563095 + 2.08158608465853 * O5 + -5.30494797629013 * P5 + -0.0107060857549542 * Q5 + -3.17349866436297 * R5 + 0.259803966881259 * S5 + 0.165932316676154 * T5 + -0.103542416733828 * U5)) + 19.6842352112259 * TANH(0.5 * ((-11.3180358678866) + -6.05406376734185 * O5 + 6.26161664490292 * P5 + -0.0149996825471037 * Q5 + 12.6493036152436 * R5 + -1.26783941440917 * S5 + -1.22533297933495 * T5 + 0.454263469706135 * U5)) + 33.3825353084738 * TANH(0.5 * (3.02832658290986 + -4.98369928277894 * O5 + -5.38839891768436 * P5 + 2.00089047251944 * Q5 + 518.862002410857 * R5 + 5.25176474025537 * S5 + -17.6499237483562 * T5 + 0.479515709156452 * U5)) + 8.33789006875588 * TANH(0.5 * (5.21393347551219 + -2.63059327387901 * O5 + 4.88843846109308 * P5 + -0.746655568511994 * Q5 + 25.471194142492 * R5 + -5.03554280328379 * S5 + 0.903364963978358 * T5 + -0.050418064604326 * U5))</f>
        <v>29.079185133482294</v>
      </c>
      <c r="Y5">
        <f>W5/4.448</f>
        <v>6.5375865857649034</v>
      </c>
    </row>
    <row r="6" spans="1:25" x14ac:dyDescent="0.4">
      <c r="F6">
        <f t="shared" si="4"/>
        <v>15</v>
      </c>
      <c r="G6" t="e">
        <f>1.2*SQRT(2*F6/(airplane!$B$16*airplane!$B$18))-airplane!$B$19</f>
        <v>#DIV/0!</v>
      </c>
      <c r="H6">
        <f t="shared" si="0"/>
        <v>6.3700047091328749</v>
      </c>
      <c r="K6">
        <f t="shared" si="1"/>
        <v>5.0129999999999999</v>
      </c>
      <c r="L6">
        <f t="shared" si="2"/>
        <v>28.33378094622303</v>
      </c>
      <c r="O6" s="9">
        <f t="shared" si="5"/>
        <v>0.31331249999999999</v>
      </c>
      <c r="P6" s="9">
        <f t="shared" si="6"/>
        <v>1.2</v>
      </c>
      <c r="Q6" s="9">
        <f t="shared" si="7"/>
        <v>8.57</v>
      </c>
      <c r="R6" s="9">
        <f t="shared" si="8"/>
        <v>2.5000000000000001E-2</v>
      </c>
      <c r="S6" s="9">
        <f t="shared" si="9"/>
        <v>0.8</v>
      </c>
      <c r="T6" s="9">
        <f t="shared" si="10"/>
        <v>0.75</v>
      </c>
      <c r="U6" s="9">
        <f t="shared" si="11"/>
        <v>24.599999999999998</v>
      </c>
      <c r="W6" s="9">
        <f t="shared" si="12"/>
        <v>28.33378094622303</v>
      </c>
      <c r="Y6">
        <f t="shared" ref="Y6:Y14" si="13">W6/4.448</f>
        <v>6.3700047091328749</v>
      </c>
    </row>
    <row r="7" spans="1:25" x14ac:dyDescent="0.4">
      <c r="F7">
        <f t="shared" si="4"/>
        <v>20</v>
      </c>
      <c r="G7" t="e">
        <f>1.2*SQRT(2*F7/(airplane!$B$16*airplane!$B$18))-airplane!$B$19</f>
        <v>#DIV/0!</v>
      </c>
      <c r="H7">
        <f t="shared" si="0"/>
        <v>6.1464723577221934</v>
      </c>
      <c r="K7">
        <f t="shared" si="1"/>
        <v>6.6840000000000002</v>
      </c>
      <c r="L7">
        <f t="shared" si="2"/>
        <v>27.339509047148319</v>
      </c>
      <c r="O7" s="9">
        <f t="shared" si="5"/>
        <v>0.41775000000000001</v>
      </c>
      <c r="P7" s="9">
        <f t="shared" si="6"/>
        <v>1.2</v>
      </c>
      <c r="Q7" s="9">
        <f t="shared" si="7"/>
        <v>8.57</v>
      </c>
      <c r="R7" s="9">
        <f t="shared" si="8"/>
        <v>2.5000000000000001E-2</v>
      </c>
      <c r="S7" s="9">
        <f t="shared" si="9"/>
        <v>0.8</v>
      </c>
      <c r="T7" s="9">
        <f t="shared" si="10"/>
        <v>0.75</v>
      </c>
      <c r="U7" s="9">
        <f t="shared" si="11"/>
        <v>24.599999999999998</v>
      </c>
      <c r="W7" s="9">
        <f t="shared" si="12"/>
        <v>27.339509047148319</v>
      </c>
      <c r="Y7">
        <f t="shared" si="13"/>
        <v>6.1464723577221934</v>
      </c>
    </row>
    <row r="8" spans="1:25" x14ac:dyDescent="0.4">
      <c r="F8">
        <f t="shared" si="4"/>
        <v>25</v>
      </c>
      <c r="G8" t="e">
        <f>1.2*SQRT(2*F8/(airplane!$B$16*airplane!$B$18))-airplane!$B$19</f>
        <v>#DIV/0!</v>
      </c>
      <c r="H8">
        <f t="shared" si="0"/>
        <v>5.856636405215963</v>
      </c>
      <c r="K8">
        <f t="shared" si="1"/>
        <v>8.3550000000000004</v>
      </c>
      <c r="L8">
        <f t="shared" si="2"/>
        <v>26.050318730400605</v>
      </c>
      <c r="O8" s="9">
        <f t="shared" si="5"/>
        <v>0.52218750000000003</v>
      </c>
      <c r="P8" s="9">
        <f t="shared" si="6"/>
        <v>1.2</v>
      </c>
      <c r="Q8" s="9">
        <f t="shared" si="7"/>
        <v>8.57</v>
      </c>
      <c r="R8" s="9">
        <f t="shared" si="8"/>
        <v>2.5000000000000001E-2</v>
      </c>
      <c r="S8" s="9">
        <f t="shared" si="9"/>
        <v>0.8</v>
      </c>
      <c r="T8" s="9">
        <f t="shared" si="10"/>
        <v>0.75</v>
      </c>
      <c r="U8" s="9">
        <f t="shared" si="11"/>
        <v>24.599999999999998</v>
      </c>
      <c r="W8" s="9">
        <f t="shared" si="12"/>
        <v>26.050318730400605</v>
      </c>
      <c r="Y8">
        <f t="shared" si="13"/>
        <v>5.856636405215963</v>
      </c>
    </row>
    <row r="9" spans="1:25" x14ac:dyDescent="0.4">
      <c r="F9">
        <f t="shared" si="4"/>
        <v>30</v>
      </c>
      <c r="G9" t="e">
        <f>1.2*SQRT(2*F9/(airplane!$B$16*airplane!$B$18))-airplane!$B$19</f>
        <v>#DIV/0!</v>
      </c>
      <c r="H9">
        <f t="shared" si="0"/>
        <v>5.4848080350733621</v>
      </c>
      <c r="K9">
        <f t="shared" si="1"/>
        <v>10.026</v>
      </c>
      <c r="L9">
        <f t="shared" si="2"/>
        <v>24.396426140006316</v>
      </c>
      <c r="O9" s="9">
        <f t="shared" si="5"/>
        <v>0.62662499999999999</v>
      </c>
      <c r="P9" s="9">
        <f t="shared" si="6"/>
        <v>1.2</v>
      </c>
      <c r="Q9" s="9">
        <f t="shared" si="7"/>
        <v>8.57</v>
      </c>
      <c r="R9" s="9">
        <f t="shared" si="8"/>
        <v>2.5000000000000001E-2</v>
      </c>
      <c r="S9" s="9">
        <f t="shared" si="9"/>
        <v>0.8</v>
      </c>
      <c r="T9" s="9">
        <f t="shared" si="10"/>
        <v>0.75</v>
      </c>
      <c r="U9" s="9">
        <f t="shared" si="11"/>
        <v>24.599999999999998</v>
      </c>
      <c r="W9" s="9">
        <f t="shared" si="12"/>
        <v>24.396426140006316</v>
      </c>
      <c r="Y9">
        <f t="shared" si="13"/>
        <v>5.4848080350733621</v>
      </c>
    </row>
    <row r="10" spans="1:25" x14ac:dyDescent="0.4">
      <c r="F10">
        <f t="shared" si="4"/>
        <v>35</v>
      </c>
      <c r="G10" t="e">
        <f>1.2*SQRT(2*F10/(airplane!$B$16*airplane!$B$18))-airplane!$B$19</f>
        <v>#DIV/0!</v>
      </c>
      <c r="H10">
        <f t="shared" si="0"/>
        <v>5.039898743974712</v>
      </c>
      <c r="K10">
        <f t="shared" si="1"/>
        <v>11.696999999999999</v>
      </c>
      <c r="L10">
        <f t="shared" si="2"/>
        <v>22.417469613199522</v>
      </c>
      <c r="O10" s="9">
        <f t="shared" si="5"/>
        <v>0.73106249999999995</v>
      </c>
      <c r="P10" s="9">
        <f t="shared" si="6"/>
        <v>1.2</v>
      </c>
      <c r="Q10" s="9">
        <f t="shared" si="7"/>
        <v>8.57</v>
      </c>
      <c r="R10" s="9">
        <f t="shared" si="8"/>
        <v>2.5000000000000001E-2</v>
      </c>
      <c r="S10" s="9">
        <f t="shared" si="9"/>
        <v>0.8</v>
      </c>
      <c r="T10" s="9">
        <f t="shared" si="10"/>
        <v>0.75</v>
      </c>
      <c r="U10" s="9">
        <f t="shared" si="11"/>
        <v>24.599999999999998</v>
      </c>
      <c r="W10" s="9">
        <f t="shared" si="12"/>
        <v>22.417469613199522</v>
      </c>
      <c r="Y10">
        <f t="shared" si="13"/>
        <v>5.039898743974712</v>
      </c>
    </row>
    <row r="11" spans="1:25" x14ac:dyDescent="0.4">
      <c r="F11">
        <f t="shared" si="4"/>
        <v>40</v>
      </c>
      <c r="G11" t="e">
        <f>1.2*SQRT(2*F11/(airplane!$B$16*airplane!$B$18))-airplane!$B$19</f>
        <v>#DIV/0!</v>
      </c>
      <c r="H11">
        <f t="shared" si="0"/>
        <v>4.6260464650868309</v>
      </c>
      <c r="K11">
        <f t="shared" si="1"/>
        <v>13.368</v>
      </c>
      <c r="L11">
        <f t="shared" si="2"/>
        <v>20.576654676706227</v>
      </c>
      <c r="O11" s="9">
        <f t="shared" si="5"/>
        <v>0.83550000000000002</v>
      </c>
      <c r="P11" s="9">
        <f t="shared" si="6"/>
        <v>1.2</v>
      </c>
      <c r="Q11" s="9">
        <f t="shared" si="7"/>
        <v>8.57</v>
      </c>
      <c r="R11" s="9">
        <f t="shared" si="8"/>
        <v>2.5000000000000001E-2</v>
      </c>
      <c r="S11" s="9">
        <f t="shared" si="9"/>
        <v>0.8</v>
      </c>
      <c r="T11" s="9">
        <f t="shared" si="10"/>
        <v>0.75</v>
      </c>
      <c r="U11" s="9">
        <f t="shared" si="11"/>
        <v>24.599999999999998</v>
      </c>
      <c r="W11" s="9">
        <f t="shared" si="12"/>
        <v>20.576654676706227</v>
      </c>
      <c r="Y11">
        <f t="shared" si="13"/>
        <v>4.6260464650868309</v>
      </c>
    </row>
    <row r="12" spans="1:25" x14ac:dyDescent="0.4">
      <c r="F12">
        <f t="shared" si="4"/>
        <v>45</v>
      </c>
      <c r="G12" t="e">
        <f>1.2*SQRT(2*F12/(airplane!$B$16*airplane!$B$18))-airplane!$B$19</f>
        <v>#DIV/0!</v>
      </c>
      <c r="H12">
        <f t="shared" si="0"/>
        <v>4.5151539378475016</v>
      </c>
      <c r="K12">
        <f t="shared" si="1"/>
        <v>15.039</v>
      </c>
      <c r="L12">
        <f t="shared" si="2"/>
        <v>20.08340471554569</v>
      </c>
      <c r="O12" s="9">
        <f t="shared" si="5"/>
        <v>0.93993749999999998</v>
      </c>
      <c r="P12" s="9">
        <f t="shared" si="6"/>
        <v>1.2</v>
      </c>
      <c r="Q12" s="9">
        <f t="shared" si="7"/>
        <v>8.57</v>
      </c>
      <c r="R12" s="9">
        <f t="shared" si="8"/>
        <v>2.5000000000000001E-2</v>
      </c>
      <c r="S12" s="9">
        <f t="shared" si="9"/>
        <v>0.8</v>
      </c>
      <c r="T12" s="9">
        <f t="shared" si="10"/>
        <v>0.75</v>
      </c>
      <c r="U12" s="9">
        <f t="shared" si="11"/>
        <v>24.599999999999998</v>
      </c>
      <c r="W12" s="9">
        <f t="shared" si="12"/>
        <v>20.08340471554569</v>
      </c>
      <c r="Y12">
        <f t="shared" si="13"/>
        <v>4.5151539378475016</v>
      </c>
    </row>
    <row r="13" spans="1:25" x14ac:dyDescent="0.4">
      <c r="F13">
        <f t="shared" si="4"/>
        <v>50</v>
      </c>
      <c r="G13" t="e">
        <f>1.2*SQRT(2*F13/(airplane!$B$16*airplane!$B$18))-airplane!$B$19</f>
        <v>#DIV/0!</v>
      </c>
      <c r="H13">
        <f t="shared" si="0"/>
        <v>5.0887064106321915</v>
      </c>
      <c r="K13">
        <f t="shared" si="1"/>
        <v>16.71</v>
      </c>
      <c r="L13">
        <f t="shared" si="2"/>
        <v>22.634566114491989</v>
      </c>
      <c r="O13" s="9">
        <f t="shared" si="5"/>
        <v>1.0443750000000001</v>
      </c>
      <c r="P13" s="9">
        <f t="shared" si="6"/>
        <v>1.2</v>
      </c>
      <c r="Q13" s="9">
        <f t="shared" si="7"/>
        <v>8.57</v>
      </c>
      <c r="R13" s="9">
        <f t="shared" si="8"/>
        <v>2.5000000000000001E-2</v>
      </c>
      <c r="S13" s="9">
        <f t="shared" si="9"/>
        <v>0.8</v>
      </c>
      <c r="T13" s="9">
        <f t="shared" si="10"/>
        <v>0.75</v>
      </c>
      <c r="U13" s="9">
        <f t="shared" si="11"/>
        <v>24.599999999999998</v>
      </c>
      <c r="W13" s="9">
        <f t="shared" si="12"/>
        <v>22.634566114491989</v>
      </c>
      <c r="Y13">
        <f t="shared" si="13"/>
        <v>5.0887064106321915</v>
      </c>
    </row>
    <row r="14" spans="1:25" x14ac:dyDescent="0.4">
      <c r="F14">
        <f t="shared" si="4"/>
        <v>55</v>
      </c>
      <c r="G14" t="e">
        <f>1.2*SQRT(2*F14/(airplane!$B$16*airplane!$B$18))-airplane!$B$19</f>
        <v>#DIV/0!</v>
      </c>
      <c r="H14">
        <f t="shared" si="0"/>
        <v>6.5883551646550806</v>
      </c>
      <c r="K14">
        <f t="shared" si="1"/>
        <v>18.381</v>
      </c>
      <c r="L14">
        <f t="shared" si="2"/>
        <v>29.305003772385803</v>
      </c>
      <c r="O14" s="9">
        <f t="shared" si="5"/>
        <v>1.1488125</v>
      </c>
      <c r="P14" s="9">
        <f t="shared" si="6"/>
        <v>1.2</v>
      </c>
      <c r="Q14" s="9">
        <f t="shared" si="7"/>
        <v>8.57</v>
      </c>
      <c r="R14" s="9">
        <f t="shared" si="8"/>
        <v>2.5000000000000001E-2</v>
      </c>
      <c r="S14" s="9">
        <f t="shared" si="9"/>
        <v>0.8</v>
      </c>
      <c r="T14" s="9">
        <f t="shared" si="10"/>
        <v>0.75</v>
      </c>
      <c r="U14" s="9">
        <f t="shared" si="11"/>
        <v>24.599999999999998</v>
      </c>
      <c r="W14" s="9">
        <f t="shared" si="12"/>
        <v>29.305003772385803</v>
      </c>
      <c r="Y14">
        <f t="shared" si="13"/>
        <v>6.5883551646550806</v>
      </c>
    </row>
    <row r="15" spans="1:25" x14ac:dyDescent="0.4">
      <c r="F15">
        <f t="shared" si="4"/>
        <v>60</v>
      </c>
      <c r="G15" t="e">
        <f>1.2*SQRT(2*F15/(airplane!$B$16*airplane!$B$18))-airplane!$B$19</f>
        <v>#DIV/0!</v>
      </c>
      <c r="H15">
        <f t="shared" si="0"/>
        <v>8.893395358751258</v>
      </c>
      <c r="K15">
        <f t="shared" si="1"/>
        <v>20.052</v>
      </c>
      <c r="L15">
        <f t="shared" si="2"/>
        <v>39.5578225557256</v>
      </c>
      <c r="O15" s="9">
        <f t="shared" ref="O15:O53" si="14">K15/16</f>
        <v>1.25325</v>
      </c>
      <c r="P15" s="9">
        <f t="shared" ref="P15:P53" si="15">P14</f>
        <v>1.2</v>
      </c>
      <c r="Q15" s="9">
        <f t="shared" ref="Q15:Q53" si="16">Q14</f>
        <v>8.57</v>
      </c>
      <c r="R15" s="9">
        <f t="shared" ref="R15:R53" si="17">R14</f>
        <v>2.5000000000000001E-2</v>
      </c>
      <c r="S15" s="9">
        <f t="shared" ref="S15:S53" si="18">S14</f>
        <v>0.8</v>
      </c>
      <c r="T15" s="9">
        <f t="shared" ref="T15:T53" si="19">T14</f>
        <v>0.75</v>
      </c>
      <c r="U15" s="9">
        <f t="shared" ref="U15:U53" si="20">U14</f>
        <v>24.599999999999998</v>
      </c>
      <c r="W15" s="9">
        <f t="shared" ref="W15:W53" si="21">149.048255755414 + -54.8076469211868 * TANH(0.5 * ((-1.90311837493387) + -2.90092544214518 * O15 + 2.39505098582308 * P15 + -0.0283389134105036 * Q15 + 5.19308047170936 * R15 + -0.0705176187957977 * S15 + -3.27116421887395 * T15 + 0.487399857872412 * U15)) + 33.0866673975606 * TANH(0.5 * ((-10.9668713929341) + 2.35524027768271 * O15 + 3.73791895311835 * P15 + 0.0550541094921953 * Q15 + 5.9452766643223 * R15 + -0.0800115435216866 * S15 + -0.0158182141911049 * T15 + 0.347472887456459 * U15)) + 28.3453260854724 * TANH(0.5 * (4.25176964573387 + -0.66460275837987 * O15 + 1.29537751335798 * P15 + -0.130256031902394 * Q15 + 31.2667602760926 * R15 + -1.24048544610401 * S15 + 0.0937927006240642 * T15 + -0.0566650624068167 * U15)) + 6.79870987971588 * TANH(0.5 * (10.0518228768354 + 5.50509550241032 * O15 + -3.83803539356733 * P15 + -0.465217054676259 * Q15 + -26.6617416441195 * R15 + 1.69864364271823 * S15 + 1.31308464511239 * T15 + -0.408787412840148 * U15)) + 34.8668869080431 * TANH(0.5 * (8.22077312844118 + 5.58131964160515 * O15 + -5.45167953353492 * P15 + 0.131357302073037 * Q15 + -3.02895908030327 * R15 + 0.620182457511558 * S15 + 0.516840709792139 * T15 + -0.426084796098354 * U15)) + -38.9742336884865 * TANH(0.5 * ((-6.63509223591402) + -3.81651288586513 * O15 + 3.96461447865925 * P15 + -0.0427755407034191 * Q15 + 1.12271394672456 * R15 + 0.0774782141523358 * S15 + -1.00839111713208 * T15 + 0.432613997233709 * U15)) + 94.7572230191964 * TANH(0.5 * (2.61370613563095 + 2.08158608465853 * O15 + -5.30494797629013 * P15 + -0.0107060857549542 * Q15 + -3.17349866436297 * R15 + 0.259803966881259 * S15 + 0.165932316676154 * T15 + -0.103542416733828 * U15)) + 19.6842352112259 * TANH(0.5 * ((-11.3180358678866) + -6.05406376734185 * O15 + 6.26161664490292 * P15 + -0.0149996825471037 * Q15 + 12.6493036152436 * R15 + -1.26783941440917 * S15 + -1.22533297933495 * T15 + 0.454263469706135 * U15)) + 33.3825353084738 * TANH(0.5 * (3.02832658290986 + -4.98369928277894 * O15 + -5.38839891768436 * P15 + 2.00089047251944 * Q15 + 518.862002410857 * R15 + 5.25176474025537 * S15 + -17.6499237483562 * T15 + 0.479515709156452 * U15)) + 8.33789006875588 * TANH(0.5 * (5.21393347551219 + -2.63059327387901 * O15 + 4.88843846109308 * P15 + -0.746655568511994 * Q15 + 25.471194142492 * R15 + -5.03554280328379 * S15 + 0.903364963978358 * T15 + -0.050418064604326 * U15))</f>
        <v>39.5578225557256</v>
      </c>
      <c r="Y15">
        <f t="shared" ref="Y15:Y53" si="22">W15/4.448</f>
        <v>8.893395358751258</v>
      </c>
    </row>
    <row r="16" spans="1:25" x14ac:dyDescent="0.4">
      <c r="F16">
        <f t="shared" si="4"/>
        <v>65</v>
      </c>
      <c r="G16" t="e">
        <f>1.2*SQRT(2*F16/(airplane!$B$16*airplane!$B$18))-airplane!$B$19</f>
        <v>#DIV/0!</v>
      </c>
      <c r="H16">
        <f t="shared" si="0"/>
        <v>11.590495611121053</v>
      </c>
      <c r="K16">
        <f t="shared" si="1"/>
        <v>21.722999999999999</v>
      </c>
      <c r="L16">
        <f t="shared" si="2"/>
        <v>51.554524478266451</v>
      </c>
      <c r="O16" s="9">
        <f t="shared" si="14"/>
        <v>1.3576874999999999</v>
      </c>
      <c r="P16" s="9">
        <f t="shared" si="15"/>
        <v>1.2</v>
      </c>
      <c r="Q16" s="9">
        <f t="shared" si="16"/>
        <v>8.57</v>
      </c>
      <c r="R16" s="9">
        <f t="shared" si="17"/>
        <v>2.5000000000000001E-2</v>
      </c>
      <c r="S16" s="9">
        <f t="shared" si="18"/>
        <v>0.8</v>
      </c>
      <c r="T16" s="9">
        <f t="shared" si="19"/>
        <v>0.75</v>
      </c>
      <c r="U16" s="9">
        <f t="shared" si="20"/>
        <v>24.599999999999998</v>
      </c>
      <c r="W16" s="9">
        <f t="shared" si="21"/>
        <v>51.554524478266451</v>
      </c>
      <c r="Y16">
        <f t="shared" si="22"/>
        <v>11.590495611121053</v>
      </c>
    </row>
    <row r="17" spans="1:25" x14ac:dyDescent="0.4">
      <c r="F17">
        <f t="shared" si="4"/>
        <v>70</v>
      </c>
      <c r="G17" t="e">
        <f>1.2*SQRT(2*F17/(airplane!$B$16*airplane!$B$18))-airplane!$B$19</f>
        <v>#DIV/0!</v>
      </c>
      <c r="H17">
        <f t="shared" si="0"/>
        <v>14.277037122313022</v>
      </c>
      <c r="K17">
        <f t="shared" si="1"/>
        <v>23.393999999999998</v>
      </c>
      <c r="L17">
        <f t="shared" si="2"/>
        <v>63.504261120048326</v>
      </c>
      <c r="O17" s="9">
        <f t="shared" si="14"/>
        <v>1.4621249999999999</v>
      </c>
      <c r="P17" s="9">
        <f t="shared" si="15"/>
        <v>1.2</v>
      </c>
      <c r="Q17" s="9">
        <f t="shared" si="16"/>
        <v>8.57</v>
      </c>
      <c r="R17" s="9">
        <f t="shared" si="17"/>
        <v>2.5000000000000001E-2</v>
      </c>
      <c r="S17" s="9">
        <f t="shared" si="18"/>
        <v>0.8</v>
      </c>
      <c r="T17" s="9">
        <f t="shared" si="19"/>
        <v>0.75</v>
      </c>
      <c r="U17" s="9">
        <f t="shared" si="20"/>
        <v>24.599999999999998</v>
      </c>
      <c r="W17" s="9">
        <f t="shared" si="21"/>
        <v>63.504261120048326</v>
      </c>
      <c r="Y17">
        <f t="shared" si="22"/>
        <v>14.277037122313022</v>
      </c>
    </row>
    <row r="18" spans="1:25" x14ac:dyDescent="0.4">
      <c r="A18" t="s">
        <v>22</v>
      </c>
      <c r="F18">
        <f t="shared" si="4"/>
        <v>75</v>
      </c>
      <c r="G18" t="e">
        <f>1.2*SQRT(2*F18/(airplane!$B$16*airplane!$B$18))-airplane!$B$19</f>
        <v>#DIV/0!</v>
      </c>
      <c r="H18">
        <f t="shared" si="0"/>
        <v>16.786620022056354</v>
      </c>
      <c r="K18">
        <f t="shared" si="1"/>
        <v>25.065000000000001</v>
      </c>
      <c r="L18">
        <f t="shared" si="2"/>
        <v>74.666885858106667</v>
      </c>
      <c r="O18" s="9">
        <f t="shared" si="14"/>
        <v>1.5665625000000001</v>
      </c>
      <c r="P18" s="9">
        <f t="shared" si="15"/>
        <v>1.2</v>
      </c>
      <c r="Q18" s="9">
        <f t="shared" si="16"/>
        <v>8.57</v>
      </c>
      <c r="R18" s="9">
        <f t="shared" si="17"/>
        <v>2.5000000000000001E-2</v>
      </c>
      <c r="S18" s="9">
        <f t="shared" si="18"/>
        <v>0.8</v>
      </c>
      <c r="T18" s="9">
        <f t="shared" si="19"/>
        <v>0.75</v>
      </c>
      <c r="U18" s="9">
        <f t="shared" si="20"/>
        <v>24.599999999999998</v>
      </c>
      <c r="W18" s="9">
        <f t="shared" si="21"/>
        <v>74.666885858106667</v>
      </c>
      <c r="Y18">
        <f t="shared" si="22"/>
        <v>16.786620022056354</v>
      </c>
    </row>
    <row r="19" spans="1:25" x14ac:dyDescent="0.4">
      <c r="A19" t="s">
        <v>33</v>
      </c>
      <c r="F19">
        <f t="shared" si="4"/>
        <v>80</v>
      </c>
      <c r="G19" t="e">
        <f>1.2*SQRT(2*F19/(airplane!$B$16*airplane!$B$18))-airplane!$B$19</f>
        <v>#DIV/0!</v>
      </c>
      <c r="H19">
        <f t="shared" si="0"/>
        <v>19.176110397811275</v>
      </c>
      <c r="K19">
        <f t="shared" si="1"/>
        <v>26.736000000000001</v>
      </c>
      <c r="L19">
        <f t="shared" si="2"/>
        <v>85.295339049464559</v>
      </c>
      <c r="O19" s="9">
        <f t="shared" si="14"/>
        <v>1.671</v>
      </c>
      <c r="P19" s="9">
        <f t="shared" si="15"/>
        <v>1.2</v>
      </c>
      <c r="Q19" s="9">
        <f t="shared" si="16"/>
        <v>8.57</v>
      </c>
      <c r="R19" s="9">
        <f t="shared" si="17"/>
        <v>2.5000000000000001E-2</v>
      </c>
      <c r="S19" s="9">
        <f t="shared" si="18"/>
        <v>0.8</v>
      </c>
      <c r="T19" s="9">
        <f t="shared" si="19"/>
        <v>0.75</v>
      </c>
      <c r="U19" s="9">
        <f t="shared" si="20"/>
        <v>24.599999999999998</v>
      </c>
      <c r="W19" s="9">
        <f t="shared" si="21"/>
        <v>85.295339049464559</v>
      </c>
      <c r="Y19">
        <f t="shared" si="22"/>
        <v>19.176110397811275</v>
      </c>
    </row>
    <row r="20" spans="1:25" x14ac:dyDescent="0.4">
      <c r="F20">
        <f t="shared" si="4"/>
        <v>85</v>
      </c>
      <c r="G20" t="e">
        <f>1.2*SQRT(2*F20/(airplane!$B$16*airplane!$B$18))-airplane!$B$19</f>
        <v>#DIV/0!</v>
      </c>
      <c r="H20">
        <f t="shared" si="0"/>
        <v>21.589391993248192</v>
      </c>
      <c r="K20">
        <f t="shared" si="1"/>
        <v>28.407</v>
      </c>
      <c r="L20">
        <f t="shared" si="2"/>
        <v>96.029615585967974</v>
      </c>
      <c r="O20" s="9">
        <f t="shared" si="14"/>
        <v>1.7754375</v>
      </c>
      <c r="P20" s="9">
        <f t="shared" si="15"/>
        <v>1.2</v>
      </c>
      <c r="Q20" s="9">
        <f t="shared" si="16"/>
        <v>8.57</v>
      </c>
      <c r="R20" s="9">
        <f t="shared" si="17"/>
        <v>2.5000000000000001E-2</v>
      </c>
      <c r="S20" s="9">
        <f t="shared" si="18"/>
        <v>0.8</v>
      </c>
      <c r="T20" s="9">
        <f t="shared" si="19"/>
        <v>0.75</v>
      </c>
      <c r="U20" s="9">
        <f t="shared" si="20"/>
        <v>24.599999999999998</v>
      </c>
      <c r="W20" s="9">
        <f t="shared" si="21"/>
        <v>96.02961558596796</v>
      </c>
      <c r="Y20">
        <f t="shared" si="22"/>
        <v>21.589391993248192</v>
      </c>
    </row>
    <row r="21" spans="1:25" x14ac:dyDescent="0.4">
      <c r="F21">
        <f t="shared" si="4"/>
        <v>90</v>
      </c>
      <c r="G21" t="e">
        <f>1.2*SQRT(2*F21/(airplane!$B$16*airplane!$B$18))-airplane!$B$19</f>
        <v>#DIV/0!</v>
      </c>
      <c r="H21">
        <f t="shared" si="0"/>
        <v>24.143237177955687</v>
      </c>
      <c r="K21">
        <f t="shared" si="1"/>
        <v>30.077999999999999</v>
      </c>
      <c r="L21">
        <f t="shared" si="2"/>
        <v>107.38911896754691</v>
      </c>
      <c r="O21" s="9">
        <f t="shared" si="14"/>
        <v>1.879875</v>
      </c>
      <c r="P21" s="9">
        <f t="shared" si="15"/>
        <v>1.2</v>
      </c>
      <c r="Q21" s="9">
        <f t="shared" si="16"/>
        <v>8.57</v>
      </c>
      <c r="R21" s="9">
        <f t="shared" si="17"/>
        <v>2.5000000000000001E-2</v>
      </c>
      <c r="S21" s="9">
        <f t="shared" si="18"/>
        <v>0.8</v>
      </c>
      <c r="T21" s="9">
        <f t="shared" si="19"/>
        <v>0.75</v>
      </c>
      <c r="U21" s="9">
        <f t="shared" si="20"/>
        <v>24.599999999999998</v>
      </c>
      <c r="W21" s="9">
        <f t="shared" si="21"/>
        <v>107.38911896754691</v>
      </c>
      <c r="Y21">
        <f t="shared" si="22"/>
        <v>24.143237177955687</v>
      </c>
    </row>
    <row r="22" spans="1:25" x14ac:dyDescent="0.4">
      <c r="F22">
        <f t="shared" si="4"/>
        <v>95</v>
      </c>
      <c r="G22" t="e">
        <f>1.2*SQRT(2*F22/(airplane!$B$16*airplane!$B$18))-airplane!$B$19</f>
        <v>#DIV/0!</v>
      </c>
      <c r="H22">
        <f t="shared" si="0"/>
        <v>26.877237781831205</v>
      </c>
      <c r="K22">
        <f t="shared" si="1"/>
        <v>31.748999999999999</v>
      </c>
      <c r="L22">
        <f t="shared" si="2"/>
        <v>119.54995365358521</v>
      </c>
      <c r="O22" s="9">
        <f t="shared" si="14"/>
        <v>1.9843124999999999</v>
      </c>
      <c r="P22" s="9">
        <f t="shared" si="15"/>
        <v>1.2</v>
      </c>
      <c r="Q22" s="9">
        <f t="shared" si="16"/>
        <v>8.57</v>
      </c>
      <c r="R22" s="9">
        <f t="shared" si="17"/>
        <v>2.5000000000000001E-2</v>
      </c>
      <c r="S22" s="9">
        <f t="shared" si="18"/>
        <v>0.8</v>
      </c>
      <c r="T22" s="9">
        <f t="shared" si="19"/>
        <v>0.75</v>
      </c>
      <c r="U22" s="9">
        <f t="shared" si="20"/>
        <v>24.599999999999998</v>
      </c>
      <c r="W22" s="9">
        <f t="shared" si="21"/>
        <v>119.54995365358521</v>
      </c>
      <c r="Y22">
        <f t="shared" si="22"/>
        <v>26.877237781831205</v>
      </c>
    </row>
    <row r="23" spans="1:25" x14ac:dyDescent="0.4">
      <c r="F23">
        <f t="shared" si="4"/>
        <v>100</v>
      </c>
      <c r="G23" t="e">
        <f>1.2*SQRT(2*F23/(airplane!$B$16*airplane!$B$18))-airplane!$B$19</f>
        <v>#DIV/0!</v>
      </c>
      <c r="H23">
        <f t="shared" si="0"/>
        <v>29.756414788164243</v>
      </c>
      <c r="K23">
        <f t="shared" si="1"/>
        <v>33.42</v>
      </c>
      <c r="L23">
        <f t="shared" si="2"/>
        <v>132.35653297775457</v>
      </c>
      <c r="O23" s="9">
        <f t="shared" si="14"/>
        <v>2.0887500000000001</v>
      </c>
      <c r="P23" s="9">
        <f t="shared" si="15"/>
        <v>1.2</v>
      </c>
      <c r="Q23" s="9">
        <f t="shared" si="16"/>
        <v>8.57</v>
      </c>
      <c r="R23" s="9">
        <f t="shared" si="17"/>
        <v>2.5000000000000001E-2</v>
      </c>
      <c r="S23" s="9">
        <f t="shared" si="18"/>
        <v>0.8</v>
      </c>
      <c r="T23" s="9">
        <f t="shared" si="19"/>
        <v>0.75</v>
      </c>
      <c r="U23" s="9">
        <f t="shared" si="20"/>
        <v>24.599999999999998</v>
      </c>
      <c r="W23" s="9">
        <f t="shared" si="21"/>
        <v>132.35653297775457</v>
      </c>
      <c r="Y23">
        <f t="shared" si="22"/>
        <v>29.756414788164243</v>
      </c>
    </row>
    <row r="24" spans="1:25" x14ac:dyDescent="0.4">
      <c r="F24">
        <f t="shared" si="4"/>
        <v>105</v>
      </c>
      <c r="G24" t="e">
        <f>1.2*SQRT(2*F24/(airplane!$B$16*airplane!$B$18))-airplane!$B$19</f>
        <v>#DIV/0!</v>
      </c>
      <c r="H24">
        <f t="shared" si="0"/>
        <v>32.707039903994456</v>
      </c>
      <c r="K24">
        <f t="shared" si="1"/>
        <v>35.091000000000001</v>
      </c>
      <c r="L24">
        <f t="shared" si="2"/>
        <v>145.48091349296735</v>
      </c>
      <c r="O24" s="9">
        <f t="shared" si="14"/>
        <v>2.1931875000000001</v>
      </c>
      <c r="P24" s="9">
        <f t="shared" si="15"/>
        <v>1.2</v>
      </c>
      <c r="Q24" s="9">
        <f t="shared" si="16"/>
        <v>8.57</v>
      </c>
      <c r="R24" s="9">
        <f t="shared" si="17"/>
        <v>2.5000000000000001E-2</v>
      </c>
      <c r="S24" s="9">
        <f t="shared" si="18"/>
        <v>0.8</v>
      </c>
      <c r="T24" s="9">
        <f t="shared" si="19"/>
        <v>0.75</v>
      </c>
      <c r="U24" s="9">
        <f t="shared" si="20"/>
        <v>24.599999999999998</v>
      </c>
      <c r="W24" s="9">
        <f t="shared" si="21"/>
        <v>145.48091349296735</v>
      </c>
      <c r="Y24">
        <f t="shared" si="22"/>
        <v>32.707039903994456</v>
      </c>
    </row>
    <row r="25" spans="1:25" x14ac:dyDescent="0.4">
      <c r="F25">
        <f t="shared" si="4"/>
        <v>110</v>
      </c>
      <c r="G25" t="e">
        <f>1.2*SQRT(2*F25/(airplane!$B$16*airplane!$B$18))-airplane!$B$19</f>
        <v>#DIV/0!</v>
      </c>
      <c r="H25">
        <f t="shared" si="0"/>
        <v>35.66153144782573</v>
      </c>
      <c r="K25">
        <f t="shared" si="1"/>
        <v>36.762</v>
      </c>
      <c r="L25">
        <f t="shared" si="2"/>
        <v>158.62249187992887</v>
      </c>
      <c r="O25" s="9">
        <f t="shared" si="14"/>
        <v>2.297625</v>
      </c>
      <c r="P25" s="9">
        <f t="shared" si="15"/>
        <v>1.2</v>
      </c>
      <c r="Q25" s="9">
        <f t="shared" si="16"/>
        <v>8.57</v>
      </c>
      <c r="R25" s="9">
        <f t="shared" si="17"/>
        <v>2.5000000000000001E-2</v>
      </c>
      <c r="S25" s="9">
        <f t="shared" si="18"/>
        <v>0.8</v>
      </c>
      <c r="T25" s="9">
        <f t="shared" si="19"/>
        <v>0.75</v>
      </c>
      <c r="U25" s="9">
        <f t="shared" si="20"/>
        <v>24.599999999999998</v>
      </c>
      <c r="W25" s="9">
        <f t="shared" si="21"/>
        <v>158.62249187992887</v>
      </c>
      <c r="Y25">
        <f t="shared" si="22"/>
        <v>35.66153144782573</v>
      </c>
    </row>
    <row r="26" spans="1:25" x14ac:dyDescent="0.4">
      <c r="F26">
        <f t="shared" si="4"/>
        <v>115</v>
      </c>
      <c r="G26" t="e">
        <f>1.2*SQRT(2*F26/(airplane!$B$16*airplane!$B$18))-airplane!$B$19</f>
        <v>#DIV/0!</v>
      </c>
      <c r="H26">
        <f t="shared" si="0"/>
        <v>38.58815563032379</v>
      </c>
      <c r="K26">
        <f t="shared" si="1"/>
        <v>38.433</v>
      </c>
      <c r="L26">
        <f t="shared" si="2"/>
        <v>171.64011624368024</v>
      </c>
      <c r="O26" s="9">
        <f t="shared" si="14"/>
        <v>2.4020625</v>
      </c>
      <c r="P26" s="9">
        <f t="shared" si="15"/>
        <v>1.2</v>
      </c>
      <c r="Q26" s="9">
        <f t="shared" si="16"/>
        <v>8.57</v>
      </c>
      <c r="R26" s="9">
        <f t="shared" si="17"/>
        <v>2.5000000000000001E-2</v>
      </c>
      <c r="S26" s="9">
        <f t="shared" si="18"/>
        <v>0.8</v>
      </c>
      <c r="T26" s="9">
        <f t="shared" si="19"/>
        <v>0.75</v>
      </c>
      <c r="U26" s="9">
        <f t="shared" si="20"/>
        <v>24.599999999999998</v>
      </c>
      <c r="W26" s="9">
        <f t="shared" si="21"/>
        <v>171.64011624368024</v>
      </c>
      <c r="Y26">
        <f t="shared" si="22"/>
        <v>38.58815563032379</v>
      </c>
    </row>
    <row r="27" spans="1:25" x14ac:dyDescent="0.4">
      <c r="F27">
        <f t="shared" si="4"/>
        <v>120</v>
      </c>
      <c r="G27" t="e">
        <f>1.2*SQRT(2*F27/(airplane!$B$16*airplane!$B$18))-airplane!$B$19</f>
        <v>#DIV/0!</v>
      </c>
      <c r="H27">
        <f t="shared" si="0"/>
        <v>41.495238046262131</v>
      </c>
      <c r="K27">
        <f t="shared" si="1"/>
        <v>40.103999999999999</v>
      </c>
      <c r="L27">
        <f t="shared" si="2"/>
        <v>184.57081882977397</v>
      </c>
      <c r="O27" s="9">
        <f t="shared" si="14"/>
        <v>2.5065</v>
      </c>
      <c r="P27" s="9">
        <f t="shared" si="15"/>
        <v>1.2</v>
      </c>
      <c r="Q27" s="9">
        <f t="shared" si="16"/>
        <v>8.57</v>
      </c>
      <c r="R27" s="9">
        <f t="shared" si="17"/>
        <v>2.5000000000000001E-2</v>
      </c>
      <c r="S27" s="9">
        <f t="shared" si="18"/>
        <v>0.8</v>
      </c>
      <c r="T27" s="9">
        <f t="shared" si="19"/>
        <v>0.75</v>
      </c>
      <c r="U27" s="9">
        <f t="shared" si="20"/>
        <v>24.599999999999998</v>
      </c>
      <c r="W27" s="9">
        <f t="shared" si="21"/>
        <v>184.57081882977397</v>
      </c>
      <c r="Y27">
        <f t="shared" si="22"/>
        <v>41.495238046262131</v>
      </c>
    </row>
    <row r="28" spans="1:25" x14ac:dyDescent="0.4">
      <c r="F28">
        <f t="shared" si="4"/>
        <v>125</v>
      </c>
      <c r="G28" t="e">
        <f>1.2*SQRT(2*F28/(airplane!$B$16*airplane!$B$18))-airplane!$B$19</f>
        <v>#DIV/0!</v>
      </c>
      <c r="H28">
        <f t="shared" si="0"/>
        <v>44.417134930978229</v>
      </c>
      <c r="K28">
        <f t="shared" si="1"/>
        <v>41.774999999999999</v>
      </c>
      <c r="L28">
        <f t="shared" si="2"/>
        <v>197.56741617299119</v>
      </c>
      <c r="O28" s="9">
        <f t="shared" si="14"/>
        <v>2.6109374999999999</v>
      </c>
      <c r="P28" s="9">
        <f t="shared" si="15"/>
        <v>1.2</v>
      </c>
      <c r="Q28" s="9">
        <f t="shared" si="16"/>
        <v>8.57</v>
      </c>
      <c r="R28" s="9">
        <f t="shared" si="17"/>
        <v>2.5000000000000001E-2</v>
      </c>
      <c r="S28" s="9">
        <f t="shared" si="18"/>
        <v>0.8</v>
      </c>
      <c r="T28" s="9">
        <f t="shared" si="19"/>
        <v>0.75</v>
      </c>
      <c r="U28" s="9">
        <f t="shared" si="20"/>
        <v>24.599999999999998</v>
      </c>
      <c r="W28" s="9">
        <f t="shared" si="21"/>
        <v>197.56741617299119</v>
      </c>
      <c r="Y28">
        <f t="shared" si="22"/>
        <v>44.417134930978229</v>
      </c>
    </row>
    <row r="29" spans="1:25" x14ac:dyDescent="0.4">
      <c r="F29">
        <f t="shared" si="4"/>
        <v>130</v>
      </c>
      <c r="G29" t="e">
        <f>1.2*SQRT(2*F29/(airplane!$B$16*airplane!$B$18))-airplane!$B$19</f>
        <v>#DIV/0!</v>
      </c>
      <c r="H29">
        <f t="shared" si="0"/>
        <v>47.395660106653935</v>
      </c>
      <c r="K29">
        <f t="shared" si="1"/>
        <v>43.445999999999998</v>
      </c>
      <c r="L29">
        <f t="shared" si="2"/>
        <v>210.81589615439671</v>
      </c>
      <c r="O29" s="9">
        <f t="shared" si="14"/>
        <v>2.7153749999999999</v>
      </c>
      <c r="P29" s="9">
        <f t="shared" si="15"/>
        <v>1.2</v>
      </c>
      <c r="Q29" s="9">
        <f t="shared" si="16"/>
        <v>8.57</v>
      </c>
      <c r="R29" s="9">
        <f t="shared" si="17"/>
        <v>2.5000000000000001E-2</v>
      </c>
      <c r="S29" s="9">
        <f t="shared" si="18"/>
        <v>0.8</v>
      </c>
      <c r="T29" s="9">
        <f t="shared" si="19"/>
        <v>0.75</v>
      </c>
      <c r="U29" s="9">
        <f t="shared" si="20"/>
        <v>24.599999999999998</v>
      </c>
      <c r="W29" s="9">
        <f t="shared" si="21"/>
        <v>210.81589615439671</v>
      </c>
      <c r="Y29">
        <f t="shared" si="22"/>
        <v>47.395660106653935</v>
      </c>
    </row>
    <row r="30" spans="1:25" x14ac:dyDescent="0.4">
      <c r="F30">
        <f t="shared" si="4"/>
        <v>135</v>
      </c>
      <c r="G30" t="e">
        <f>1.2*SQRT(2*F30/(airplane!$B$16*airplane!$B$18))-airplane!$B$19</f>
        <v>#DIV/0!</v>
      </c>
      <c r="H30">
        <f t="shared" si="0"/>
        <v>50.466103351326886</v>
      </c>
      <c r="K30">
        <f t="shared" si="1"/>
        <v>45.116999999999997</v>
      </c>
      <c r="L30">
        <f t="shared" si="2"/>
        <v>224.473227706702</v>
      </c>
      <c r="O30" s="9">
        <f t="shared" si="14"/>
        <v>2.8198124999999998</v>
      </c>
      <c r="P30" s="9">
        <f t="shared" si="15"/>
        <v>1.2</v>
      </c>
      <c r="Q30" s="9">
        <f t="shared" si="16"/>
        <v>8.57</v>
      </c>
      <c r="R30" s="9">
        <f t="shared" si="17"/>
        <v>2.5000000000000001E-2</v>
      </c>
      <c r="S30" s="9">
        <f t="shared" si="18"/>
        <v>0.8</v>
      </c>
      <c r="T30" s="9">
        <f t="shared" si="19"/>
        <v>0.75</v>
      </c>
      <c r="U30" s="9">
        <f t="shared" si="20"/>
        <v>24.599999999999998</v>
      </c>
      <c r="W30" s="9">
        <f t="shared" si="21"/>
        <v>224.473227706702</v>
      </c>
      <c r="Y30">
        <f t="shared" si="22"/>
        <v>50.466103351326886</v>
      </c>
    </row>
    <row r="31" spans="1:25" x14ac:dyDescent="0.4">
      <c r="F31">
        <f>F30+5</f>
        <v>140</v>
      </c>
      <c r="G31" t="e">
        <f>1.2*SQRT(2*F31/(airplane!$B$16*airplane!$B$18))-airplane!$B$19</f>
        <v>#DIV/0!</v>
      </c>
      <c r="H31">
        <f t="shared" si="0"/>
        <v>53.650016857200072</v>
      </c>
      <c r="K31">
        <f t="shared" si="1"/>
        <v>46.787999999999997</v>
      </c>
      <c r="L31">
        <f t="shared" si="2"/>
        <v>238.63527498082595</v>
      </c>
      <c r="O31" s="9">
        <f t="shared" si="14"/>
        <v>2.9242499999999998</v>
      </c>
      <c r="P31" s="9">
        <f t="shared" si="15"/>
        <v>1.2</v>
      </c>
      <c r="Q31" s="9">
        <f t="shared" si="16"/>
        <v>8.57</v>
      </c>
      <c r="R31" s="9">
        <f t="shared" si="17"/>
        <v>2.5000000000000001E-2</v>
      </c>
      <c r="S31" s="9">
        <f t="shared" si="18"/>
        <v>0.8</v>
      </c>
      <c r="T31" s="9">
        <f t="shared" si="19"/>
        <v>0.75</v>
      </c>
      <c r="U31" s="9">
        <f t="shared" si="20"/>
        <v>24.599999999999998</v>
      </c>
      <c r="W31" s="9">
        <f t="shared" si="21"/>
        <v>238.63527498082593</v>
      </c>
      <c r="Y31">
        <f t="shared" si="22"/>
        <v>53.650016857200072</v>
      </c>
    </row>
    <row r="32" spans="1:25" x14ac:dyDescent="0.4">
      <c r="F32">
        <f t="shared" si="4"/>
        <v>145</v>
      </c>
      <c r="G32" t="e">
        <f>1.2*SQRT(2*F32/(airplane!$B$16*airplane!$B$18))-airplane!$B$19</f>
        <v>#DIV/0!</v>
      </c>
      <c r="H32">
        <f t="shared" si="0"/>
        <v>56.952838116406568</v>
      </c>
      <c r="K32">
        <f t="shared" si="1"/>
        <v>48.458999999999996</v>
      </c>
      <c r="L32">
        <f t="shared" si="2"/>
        <v>253.32622394177645</v>
      </c>
      <c r="O32" s="9">
        <f t="shared" si="14"/>
        <v>3.0286874999999998</v>
      </c>
      <c r="P32" s="9">
        <f t="shared" si="15"/>
        <v>1.2</v>
      </c>
      <c r="Q32" s="9">
        <f t="shared" si="16"/>
        <v>8.57</v>
      </c>
      <c r="R32" s="9">
        <f t="shared" si="17"/>
        <v>2.5000000000000001E-2</v>
      </c>
      <c r="S32" s="9">
        <f t="shared" si="18"/>
        <v>0.8</v>
      </c>
      <c r="T32" s="9">
        <f t="shared" si="19"/>
        <v>0.75</v>
      </c>
      <c r="U32" s="9">
        <f t="shared" si="20"/>
        <v>24.599999999999998</v>
      </c>
      <c r="W32" s="9">
        <f t="shared" si="21"/>
        <v>253.32622394177645</v>
      </c>
      <c r="Y32">
        <f t="shared" si="22"/>
        <v>56.952838116406568</v>
      </c>
    </row>
    <row r="33" spans="6:25" x14ac:dyDescent="0.4">
      <c r="F33">
        <f t="shared" si="4"/>
        <v>150</v>
      </c>
      <c r="G33" t="e">
        <f>1.2*SQRT(2*F33/(airplane!$B$16*airplane!$B$18))-airplane!$B$19</f>
        <v>#DIV/0!</v>
      </c>
      <c r="H33">
        <f t="shared" si="0"/>
        <v>60.363434258168333</v>
      </c>
      <c r="K33">
        <f t="shared" si="1"/>
        <v>50.13</v>
      </c>
      <c r="L33">
        <f t="shared" si="2"/>
        <v>268.49655558033277</v>
      </c>
      <c r="O33" s="9">
        <f t="shared" si="14"/>
        <v>3.1331250000000002</v>
      </c>
      <c r="P33" s="9">
        <f t="shared" si="15"/>
        <v>1.2</v>
      </c>
      <c r="Q33" s="9">
        <f t="shared" si="16"/>
        <v>8.57</v>
      </c>
      <c r="R33" s="9">
        <f t="shared" si="17"/>
        <v>2.5000000000000001E-2</v>
      </c>
      <c r="S33" s="9">
        <f t="shared" si="18"/>
        <v>0.8</v>
      </c>
      <c r="T33" s="9">
        <f t="shared" si="19"/>
        <v>0.75</v>
      </c>
      <c r="U33" s="9">
        <f t="shared" si="20"/>
        <v>24.599999999999998</v>
      </c>
      <c r="W33" s="9">
        <f t="shared" si="21"/>
        <v>268.49655558033277</v>
      </c>
      <c r="Y33">
        <f t="shared" si="22"/>
        <v>60.363434258168333</v>
      </c>
    </row>
    <row r="34" spans="6:25" x14ac:dyDescent="0.4">
      <c r="F34">
        <f t="shared" si="4"/>
        <v>155</v>
      </c>
      <c r="G34" t="e">
        <f>1.2*SQRT(2*F34/(airplane!$B$16*airplane!$B$18))-airplane!$B$19</f>
        <v>#DIV/0!</v>
      </c>
      <c r="H34">
        <f t="shared" si="0"/>
        <v>63.853515097797278</v>
      </c>
      <c r="K34">
        <f t="shared" si="1"/>
        <v>51.801000000000002</v>
      </c>
      <c r="L34">
        <f t="shared" si="2"/>
        <v>284.0204351550023</v>
      </c>
      <c r="O34" s="9">
        <f t="shared" si="14"/>
        <v>3.2375625000000001</v>
      </c>
      <c r="P34" s="9">
        <f t="shared" si="15"/>
        <v>1.2</v>
      </c>
      <c r="Q34" s="9">
        <f t="shared" si="16"/>
        <v>8.57</v>
      </c>
      <c r="R34" s="9">
        <f t="shared" si="17"/>
        <v>2.5000000000000001E-2</v>
      </c>
      <c r="S34" s="9">
        <f t="shared" si="18"/>
        <v>0.8</v>
      </c>
      <c r="T34" s="9">
        <f t="shared" si="19"/>
        <v>0.75</v>
      </c>
      <c r="U34" s="9">
        <f t="shared" si="20"/>
        <v>24.599999999999998</v>
      </c>
      <c r="W34" s="9">
        <f t="shared" si="21"/>
        <v>284.0204351550023</v>
      </c>
      <c r="Y34">
        <f t="shared" si="22"/>
        <v>63.853515097797278</v>
      </c>
    </row>
    <row r="35" spans="6:25" x14ac:dyDescent="0.4">
      <c r="F35">
        <f t="shared" si="4"/>
        <v>160</v>
      </c>
      <c r="G35" t="e">
        <f>1.2*SQRT(2*F35/(airplane!$B$16*airplane!$B$18))-airplane!$B$19</f>
        <v>#DIV/0!</v>
      </c>
      <c r="H35">
        <f t="shared" si="0"/>
        <v>67.376608009638687</v>
      </c>
      <c r="K35">
        <f t="shared" si="1"/>
        <v>53.472000000000001</v>
      </c>
      <c r="L35">
        <f t="shared" si="2"/>
        <v>299.69115242687292</v>
      </c>
      <c r="O35" s="9">
        <f t="shared" si="14"/>
        <v>3.3420000000000001</v>
      </c>
      <c r="P35" s="9">
        <f t="shared" si="15"/>
        <v>1.2</v>
      </c>
      <c r="Q35" s="9">
        <f t="shared" si="16"/>
        <v>8.57</v>
      </c>
      <c r="R35" s="9">
        <f t="shared" si="17"/>
        <v>2.5000000000000001E-2</v>
      </c>
      <c r="S35" s="9">
        <f t="shared" si="18"/>
        <v>0.8</v>
      </c>
      <c r="T35" s="9">
        <f t="shared" si="19"/>
        <v>0.75</v>
      </c>
      <c r="U35" s="9">
        <f t="shared" si="20"/>
        <v>24.599999999999998</v>
      </c>
      <c r="W35" s="9">
        <f t="shared" si="21"/>
        <v>299.69115242687292</v>
      </c>
      <c r="Y35">
        <f t="shared" si="22"/>
        <v>67.376608009638687</v>
      </c>
    </row>
    <row r="36" spans="6:25" x14ac:dyDescent="0.4">
      <c r="F36">
        <f t="shared" si="4"/>
        <v>165</v>
      </c>
      <c r="G36" t="e">
        <f>1.2*SQRT(2*F36/(airplane!$B$16*airplane!$B$18))-airplane!$B$19</f>
        <v>#DIV/0!</v>
      </c>
      <c r="H36">
        <f t="shared" si="0"/>
        <v>70.868139668660632</v>
      </c>
      <c r="K36">
        <f t="shared" si="1"/>
        <v>55.143000000000001</v>
      </c>
      <c r="L36">
        <f t="shared" si="2"/>
        <v>315.22148524620252</v>
      </c>
      <c r="O36" s="9">
        <f t="shared" si="14"/>
        <v>3.4464375</v>
      </c>
      <c r="P36" s="9">
        <f t="shared" si="15"/>
        <v>1.2</v>
      </c>
      <c r="Q36" s="9">
        <f t="shared" si="16"/>
        <v>8.57</v>
      </c>
      <c r="R36" s="9">
        <f t="shared" si="17"/>
        <v>2.5000000000000001E-2</v>
      </c>
      <c r="S36" s="9">
        <f t="shared" si="18"/>
        <v>0.8</v>
      </c>
      <c r="T36" s="9">
        <f t="shared" si="19"/>
        <v>0.75</v>
      </c>
      <c r="U36" s="9">
        <f t="shared" si="20"/>
        <v>24.599999999999998</v>
      </c>
      <c r="W36" s="9">
        <f t="shared" si="21"/>
        <v>315.22148524620252</v>
      </c>
      <c r="Y36">
        <f t="shared" si="22"/>
        <v>70.868139668660632</v>
      </c>
    </row>
    <row r="37" spans="6:25" x14ac:dyDescent="0.4">
      <c r="F37">
        <f t="shared" si="4"/>
        <v>170</v>
      </c>
      <c r="G37" t="e">
        <f>1.2*SQRT(2*F37/(airplane!$B$16*airplane!$B$18))-airplane!$B$19</f>
        <v>#DIV/0!</v>
      </c>
      <c r="H37">
        <f t="shared" si="0"/>
        <v>74.249081446620181</v>
      </c>
      <c r="K37">
        <f t="shared" si="1"/>
        <v>56.814</v>
      </c>
      <c r="L37">
        <f t="shared" si="2"/>
        <v>330.2599142745666</v>
      </c>
      <c r="O37" s="9">
        <f t="shared" si="14"/>
        <v>3.550875</v>
      </c>
      <c r="P37" s="9">
        <f t="shared" si="15"/>
        <v>1.2</v>
      </c>
      <c r="Q37" s="9">
        <f t="shared" si="16"/>
        <v>8.57</v>
      </c>
      <c r="R37" s="9">
        <f t="shared" si="17"/>
        <v>2.5000000000000001E-2</v>
      </c>
      <c r="S37" s="9">
        <f t="shared" si="18"/>
        <v>0.8</v>
      </c>
      <c r="T37" s="9">
        <f t="shared" si="19"/>
        <v>0.75</v>
      </c>
      <c r="U37" s="9">
        <f t="shared" si="20"/>
        <v>24.599999999999998</v>
      </c>
      <c r="W37" s="9">
        <f t="shared" si="21"/>
        <v>330.2599142745666</v>
      </c>
      <c r="Y37">
        <f t="shared" si="22"/>
        <v>74.249081446620181</v>
      </c>
    </row>
    <row r="38" spans="6:25" x14ac:dyDescent="0.4">
      <c r="F38">
        <f t="shared" si="4"/>
        <v>175</v>
      </c>
      <c r="G38" t="e">
        <f>1.2*SQRT(2*F38/(airplane!$B$16*airplane!$B$18))-airplane!$B$19</f>
        <v>#DIV/0!</v>
      </c>
      <c r="H38">
        <f t="shared" si="0"/>
        <v>77.434617995943555</v>
      </c>
      <c r="K38">
        <f t="shared" si="1"/>
        <v>58.484999999999999</v>
      </c>
      <c r="L38">
        <f t="shared" si="2"/>
        <v>344.42918084595698</v>
      </c>
      <c r="O38" s="9">
        <f t="shared" si="14"/>
        <v>3.6553125</v>
      </c>
      <c r="P38" s="9">
        <f t="shared" si="15"/>
        <v>1.2</v>
      </c>
      <c r="Q38" s="9">
        <f t="shared" si="16"/>
        <v>8.57</v>
      </c>
      <c r="R38" s="9">
        <f t="shared" si="17"/>
        <v>2.5000000000000001E-2</v>
      </c>
      <c r="S38" s="9">
        <f t="shared" si="18"/>
        <v>0.8</v>
      </c>
      <c r="T38" s="9">
        <f t="shared" si="19"/>
        <v>0.75</v>
      </c>
      <c r="U38" s="9">
        <f t="shared" si="20"/>
        <v>24.599999999999998</v>
      </c>
      <c r="W38" s="9">
        <f t="shared" si="21"/>
        <v>344.42918084595698</v>
      </c>
      <c r="Y38">
        <f t="shared" si="22"/>
        <v>77.434617995943555</v>
      </c>
    </row>
    <row r="39" spans="6:25" x14ac:dyDescent="0.4">
      <c r="F39">
        <f t="shared" si="4"/>
        <v>180</v>
      </c>
      <c r="G39" t="e">
        <f>1.2*SQRT(2*F39/(airplane!$B$16*airplane!$B$18))-airplane!$B$19</f>
        <v>#DIV/0!</v>
      </c>
      <c r="H39">
        <f t="shared" si="0"/>
        <v>80.346573552009531</v>
      </c>
      <c r="K39">
        <f t="shared" si="1"/>
        <v>60.155999999999999</v>
      </c>
      <c r="L39">
        <f t="shared" si="2"/>
        <v>357.38155915933845</v>
      </c>
      <c r="O39" s="9">
        <f t="shared" si="14"/>
        <v>3.7597499999999999</v>
      </c>
      <c r="P39" s="9">
        <f t="shared" si="15"/>
        <v>1.2</v>
      </c>
      <c r="Q39" s="9">
        <f t="shared" si="16"/>
        <v>8.57</v>
      </c>
      <c r="R39" s="9">
        <f t="shared" si="17"/>
        <v>2.5000000000000001E-2</v>
      </c>
      <c r="S39" s="9">
        <f t="shared" si="18"/>
        <v>0.8</v>
      </c>
      <c r="T39" s="9">
        <f t="shared" si="19"/>
        <v>0.75</v>
      </c>
      <c r="U39" s="9">
        <f t="shared" si="20"/>
        <v>24.599999999999998</v>
      </c>
      <c r="W39" s="9">
        <f t="shared" si="21"/>
        <v>357.38155915933839</v>
      </c>
      <c r="Y39">
        <f t="shared" si="22"/>
        <v>80.346573552009531</v>
      </c>
    </row>
    <row r="40" spans="6:25" x14ac:dyDescent="0.4">
      <c r="F40">
        <f t="shared" si="4"/>
        <v>185</v>
      </c>
      <c r="G40" t="e">
        <f>1.2*SQRT(2*F40/(airplane!$B$16*airplane!$B$18))-airplane!$B$19</f>
        <v>#DIV/0!</v>
      </c>
      <c r="H40">
        <f t="shared" si="0"/>
        <v>82.92568928097829</v>
      </c>
      <c r="K40">
        <f t="shared" si="1"/>
        <v>61.826999999999998</v>
      </c>
      <c r="L40">
        <f t="shared" si="2"/>
        <v>368.85346592179144</v>
      </c>
      <c r="O40" s="9">
        <f t="shared" si="14"/>
        <v>3.8641874999999999</v>
      </c>
      <c r="P40" s="9">
        <f t="shared" si="15"/>
        <v>1.2</v>
      </c>
      <c r="Q40" s="9">
        <f t="shared" si="16"/>
        <v>8.57</v>
      </c>
      <c r="R40" s="9">
        <f t="shared" si="17"/>
        <v>2.5000000000000001E-2</v>
      </c>
      <c r="S40" s="9">
        <f t="shared" si="18"/>
        <v>0.8</v>
      </c>
      <c r="T40" s="9">
        <f t="shared" si="19"/>
        <v>0.75</v>
      </c>
      <c r="U40" s="9">
        <f t="shared" si="20"/>
        <v>24.599999999999998</v>
      </c>
      <c r="W40" s="9">
        <f t="shared" si="21"/>
        <v>368.85346592179144</v>
      </c>
      <c r="Y40">
        <f t="shared" si="22"/>
        <v>82.92568928097829</v>
      </c>
    </row>
    <row r="41" spans="6:25" x14ac:dyDescent="0.4">
      <c r="F41">
        <f t="shared" si="4"/>
        <v>190</v>
      </c>
      <c r="G41" t="e">
        <f>1.2*SQRT(2*F41/(airplane!$B$16*airplane!$B$18))-airplane!$B$19</f>
        <v>#DIV/0!</v>
      </c>
      <c r="H41">
        <f t="shared" si="0"/>
        <v>85.139419457167932</v>
      </c>
      <c r="K41">
        <f t="shared" si="1"/>
        <v>63.497999999999998</v>
      </c>
      <c r="L41">
        <f t="shared" si="2"/>
        <v>378.700137745483</v>
      </c>
      <c r="O41" s="9">
        <f t="shared" si="14"/>
        <v>3.9686249999999998</v>
      </c>
      <c r="P41" s="9">
        <f t="shared" si="15"/>
        <v>1.2</v>
      </c>
      <c r="Q41" s="9">
        <f t="shared" si="16"/>
        <v>8.57</v>
      </c>
      <c r="R41" s="9">
        <f t="shared" si="17"/>
        <v>2.5000000000000001E-2</v>
      </c>
      <c r="S41" s="9">
        <f t="shared" si="18"/>
        <v>0.8</v>
      </c>
      <c r="T41" s="9">
        <f t="shared" si="19"/>
        <v>0.75</v>
      </c>
      <c r="U41" s="9">
        <f t="shared" si="20"/>
        <v>24.599999999999998</v>
      </c>
      <c r="W41" s="9">
        <f t="shared" si="21"/>
        <v>378.700137745483</v>
      </c>
      <c r="Y41">
        <f t="shared" si="22"/>
        <v>85.139419457167932</v>
      </c>
    </row>
    <row r="42" spans="6:25" x14ac:dyDescent="0.4">
      <c r="F42">
        <f t="shared" si="4"/>
        <v>195</v>
      </c>
      <c r="G42" t="e">
        <f>1.2*SQRT(2*F42/(airplane!$B$16*airplane!$B$18))-airplane!$B$19</f>
        <v>#DIV/0!</v>
      </c>
      <c r="H42">
        <f t="shared" si="0"/>
        <v>86.983082460150314</v>
      </c>
      <c r="K42">
        <f t="shared" si="1"/>
        <v>65.168999999999997</v>
      </c>
      <c r="L42">
        <f t="shared" si="2"/>
        <v>386.90075078274862</v>
      </c>
      <c r="O42" s="9">
        <f t="shared" si="14"/>
        <v>4.0730624999999998</v>
      </c>
      <c r="P42" s="9">
        <f t="shared" si="15"/>
        <v>1.2</v>
      </c>
      <c r="Q42" s="9">
        <f t="shared" si="16"/>
        <v>8.57</v>
      </c>
      <c r="R42" s="9">
        <f t="shared" si="17"/>
        <v>2.5000000000000001E-2</v>
      </c>
      <c r="S42" s="9">
        <f t="shared" si="18"/>
        <v>0.8</v>
      </c>
      <c r="T42" s="9">
        <f t="shared" si="19"/>
        <v>0.75</v>
      </c>
      <c r="U42" s="9">
        <f t="shared" si="20"/>
        <v>24.599999999999998</v>
      </c>
      <c r="W42" s="9">
        <f t="shared" si="21"/>
        <v>386.90075078274862</v>
      </c>
      <c r="Y42">
        <f t="shared" si="22"/>
        <v>86.983082460150314</v>
      </c>
    </row>
    <row r="43" spans="6:25" x14ac:dyDescent="0.4">
      <c r="F43">
        <f t="shared" si="4"/>
        <v>200</v>
      </c>
      <c r="G43" t="e">
        <f>1.2*SQRT(2*F43/(airplane!$B$16*airplane!$B$18))-airplane!$B$19</f>
        <v>#DIV/0!</v>
      </c>
      <c r="H43">
        <f t="shared" si="0"/>
        <v>88.475237406174102</v>
      </c>
      <c r="K43">
        <f t="shared" si="1"/>
        <v>66.84</v>
      </c>
      <c r="L43">
        <f t="shared" si="2"/>
        <v>393.53785598266245</v>
      </c>
      <c r="O43" s="9">
        <f t="shared" si="14"/>
        <v>4.1775000000000002</v>
      </c>
      <c r="P43" s="9">
        <f t="shared" si="15"/>
        <v>1.2</v>
      </c>
      <c r="Q43" s="9">
        <f t="shared" si="16"/>
        <v>8.57</v>
      </c>
      <c r="R43" s="9">
        <f t="shared" si="17"/>
        <v>2.5000000000000001E-2</v>
      </c>
      <c r="S43" s="9">
        <f t="shared" si="18"/>
        <v>0.8</v>
      </c>
      <c r="T43" s="9">
        <f t="shared" si="19"/>
        <v>0.75</v>
      </c>
      <c r="U43" s="9">
        <f t="shared" si="20"/>
        <v>24.599999999999998</v>
      </c>
      <c r="W43" s="9">
        <f t="shared" si="21"/>
        <v>393.53785598266245</v>
      </c>
      <c r="Y43">
        <f t="shared" si="22"/>
        <v>88.475237406174102</v>
      </c>
    </row>
    <row r="44" spans="6:25" x14ac:dyDescent="0.4">
      <c r="F44">
        <f t="shared" si="4"/>
        <v>205</v>
      </c>
      <c r="G44" t="e">
        <f>1.2*SQRT(2*F44/(airplane!$B$16*airplane!$B$18))-airplane!$B$19</f>
        <v>#DIV/0!</v>
      </c>
      <c r="H44">
        <f t="shared" si="0"/>
        <v>89.650026737458319</v>
      </c>
      <c r="K44">
        <f t="shared" si="1"/>
        <v>68.510999999999996</v>
      </c>
      <c r="L44">
        <f t="shared" si="2"/>
        <v>398.76331892821463</v>
      </c>
      <c r="O44" s="9">
        <f t="shared" si="14"/>
        <v>4.2819374999999997</v>
      </c>
      <c r="P44" s="9">
        <f t="shared" si="15"/>
        <v>1.2</v>
      </c>
      <c r="Q44" s="9">
        <f t="shared" si="16"/>
        <v>8.57</v>
      </c>
      <c r="R44" s="9">
        <f t="shared" si="17"/>
        <v>2.5000000000000001E-2</v>
      </c>
      <c r="S44" s="9">
        <f t="shared" si="18"/>
        <v>0.8</v>
      </c>
      <c r="T44" s="9">
        <f t="shared" si="19"/>
        <v>0.75</v>
      </c>
      <c r="U44" s="9">
        <f t="shared" si="20"/>
        <v>24.599999999999998</v>
      </c>
      <c r="W44" s="9">
        <f t="shared" si="21"/>
        <v>398.76331892821463</v>
      </c>
      <c r="Y44">
        <f t="shared" si="22"/>
        <v>89.650026737458319</v>
      </c>
    </row>
    <row r="45" spans="6:25" x14ac:dyDescent="0.4">
      <c r="F45">
        <f t="shared" si="4"/>
        <v>210</v>
      </c>
      <c r="G45" t="e">
        <f>1.2*SQRT(2*F45/(airplane!$B$16*airplane!$B$18))-airplane!$B$19</f>
        <v>#DIV/0!</v>
      </c>
      <c r="H45">
        <f t="shared" si="0"/>
        <v>90.549282606369246</v>
      </c>
      <c r="K45">
        <f t="shared" si="1"/>
        <v>70.182000000000002</v>
      </c>
      <c r="L45">
        <f t="shared" si="2"/>
        <v>402.76320903313047</v>
      </c>
      <c r="O45" s="9">
        <f t="shared" si="14"/>
        <v>4.3863750000000001</v>
      </c>
      <c r="P45" s="9">
        <f t="shared" si="15"/>
        <v>1.2</v>
      </c>
      <c r="Q45" s="9">
        <f t="shared" si="16"/>
        <v>8.57</v>
      </c>
      <c r="R45" s="9">
        <f t="shared" si="17"/>
        <v>2.5000000000000001E-2</v>
      </c>
      <c r="S45" s="9">
        <f t="shared" si="18"/>
        <v>0.8</v>
      </c>
      <c r="T45" s="9">
        <f t="shared" si="19"/>
        <v>0.75</v>
      </c>
      <c r="U45" s="9">
        <f t="shared" si="20"/>
        <v>24.599999999999998</v>
      </c>
      <c r="W45" s="9">
        <f t="shared" si="21"/>
        <v>402.76320903313047</v>
      </c>
      <c r="Y45">
        <f t="shared" si="22"/>
        <v>90.549282606369246</v>
      </c>
    </row>
    <row r="46" spans="6:25" x14ac:dyDescent="0.4">
      <c r="F46">
        <f t="shared" si="4"/>
        <v>215</v>
      </c>
      <c r="G46" t="e">
        <f>1.2*SQRT(2*F46/(airplane!$B$16*airplane!$B$18))-airplane!$B$19</f>
        <v>#DIV/0!</v>
      </c>
      <c r="H46">
        <f t="shared" si="0"/>
        <v>91.216133818595679</v>
      </c>
      <c r="K46">
        <f t="shared" si="1"/>
        <v>71.852999999999994</v>
      </c>
      <c r="L46">
        <f t="shared" si="2"/>
        <v>405.72936322511362</v>
      </c>
      <c r="O46" s="9">
        <f t="shared" si="14"/>
        <v>4.4908124999999997</v>
      </c>
      <c r="P46" s="9">
        <f t="shared" si="15"/>
        <v>1.2</v>
      </c>
      <c r="Q46" s="9">
        <f t="shared" si="16"/>
        <v>8.57</v>
      </c>
      <c r="R46" s="9">
        <f t="shared" si="17"/>
        <v>2.5000000000000001E-2</v>
      </c>
      <c r="S46" s="9">
        <f t="shared" si="18"/>
        <v>0.8</v>
      </c>
      <c r="T46" s="9">
        <f t="shared" si="19"/>
        <v>0.75</v>
      </c>
      <c r="U46" s="9">
        <f t="shared" si="20"/>
        <v>24.599999999999998</v>
      </c>
      <c r="W46" s="9">
        <f t="shared" si="21"/>
        <v>405.72936322511362</v>
      </c>
      <c r="Y46">
        <f t="shared" si="22"/>
        <v>91.216133818595679</v>
      </c>
    </row>
    <row r="47" spans="6:25" x14ac:dyDescent="0.4">
      <c r="F47">
        <f t="shared" si="4"/>
        <v>220</v>
      </c>
      <c r="G47" t="e">
        <f>1.2*SQRT(2*F47/(airplane!$B$16*airplane!$B$18))-airplane!$B$19</f>
        <v>#DIV/0!</v>
      </c>
      <c r="H47">
        <f t="shared" si="0"/>
        <v>91.69064837376024</v>
      </c>
      <c r="K47">
        <f t="shared" si="1"/>
        <v>73.524000000000001</v>
      </c>
      <c r="L47">
        <f t="shared" si="2"/>
        <v>407.8400039664856</v>
      </c>
      <c r="O47" s="9">
        <f t="shared" si="14"/>
        <v>4.5952500000000001</v>
      </c>
      <c r="P47" s="9">
        <f t="shared" si="15"/>
        <v>1.2</v>
      </c>
      <c r="Q47" s="9">
        <f t="shared" si="16"/>
        <v>8.57</v>
      </c>
      <c r="R47" s="9">
        <f t="shared" si="17"/>
        <v>2.5000000000000001E-2</v>
      </c>
      <c r="S47" s="9">
        <f t="shared" si="18"/>
        <v>0.8</v>
      </c>
      <c r="T47" s="9">
        <f t="shared" si="19"/>
        <v>0.75</v>
      </c>
      <c r="U47" s="9">
        <f t="shared" si="20"/>
        <v>24.599999999999998</v>
      </c>
      <c r="W47" s="9">
        <f t="shared" si="21"/>
        <v>407.8400039664856</v>
      </c>
      <c r="Y47">
        <f t="shared" si="22"/>
        <v>91.69064837376024</v>
      </c>
    </row>
    <row r="48" spans="6:25" x14ac:dyDescent="0.4">
      <c r="F48">
        <f t="shared" si="4"/>
        <v>225</v>
      </c>
      <c r="G48" t="e">
        <f>1.2*SQRT(2*F48/(airplane!$B$16*airplane!$B$18))-airplane!$B$19</f>
        <v>#DIV/0!</v>
      </c>
      <c r="H48">
        <f t="shared" si="0"/>
        <v>92.00724189263299</v>
      </c>
      <c r="K48">
        <f t="shared" si="1"/>
        <v>75.194999999999993</v>
      </c>
      <c r="L48">
        <f t="shared" si="2"/>
        <v>409.24821193843155</v>
      </c>
      <c r="O48" s="9">
        <f t="shared" si="14"/>
        <v>4.6996874999999996</v>
      </c>
      <c r="P48" s="9">
        <f t="shared" si="15"/>
        <v>1.2</v>
      </c>
      <c r="Q48" s="9">
        <f t="shared" si="16"/>
        <v>8.57</v>
      </c>
      <c r="R48" s="9">
        <f t="shared" si="17"/>
        <v>2.5000000000000001E-2</v>
      </c>
      <c r="S48" s="9">
        <f t="shared" si="18"/>
        <v>0.8</v>
      </c>
      <c r="T48" s="9">
        <f t="shared" si="19"/>
        <v>0.75</v>
      </c>
      <c r="U48" s="9">
        <f t="shared" si="20"/>
        <v>24.599999999999998</v>
      </c>
      <c r="W48" s="9">
        <f t="shared" si="21"/>
        <v>409.24821193843155</v>
      </c>
      <c r="Y48">
        <f t="shared" si="22"/>
        <v>92.00724189263299</v>
      </c>
    </row>
    <row r="49" spans="6:25" x14ac:dyDescent="0.4">
      <c r="F49">
        <f t="shared" si="4"/>
        <v>230</v>
      </c>
      <c r="G49" t="e">
        <f>1.2*SQRT(2*F49/(airplane!$B$16*airplane!$B$18))-airplane!$B$19</f>
        <v>#DIV/0!</v>
      </c>
      <c r="H49">
        <f t="shared" si="0"/>
        <v>92.193230053663186</v>
      </c>
      <c r="K49">
        <f t="shared" si="1"/>
        <v>76.866</v>
      </c>
      <c r="L49">
        <f t="shared" si="2"/>
        <v>410.07548727869391</v>
      </c>
      <c r="O49" s="9">
        <f t="shared" si="14"/>
        <v>4.804125</v>
      </c>
      <c r="P49" s="9">
        <f t="shared" si="15"/>
        <v>1.2</v>
      </c>
      <c r="Q49" s="9">
        <f t="shared" si="16"/>
        <v>8.57</v>
      </c>
      <c r="R49" s="9">
        <f t="shared" si="17"/>
        <v>2.5000000000000001E-2</v>
      </c>
      <c r="S49" s="9">
        <f t="shared" si="18"/>
        <v>0.8</v>
      </c>
      <c r="T49" s="9">
        <f t="shared" si="19"/>
        <v>0.75</v>
      </c>
      <c r="U49" s="9">
        <f t="shared" si="20"/>
        <v>24.599999999999998</v>
      </c>
      <c r="W49" s="9">
        <f t="shared" si="21"/>
        <v>410.07548727869391</v>
      </c>
      <c r="Y49">
        <f t="shared" si="22"/>
        <v>92.193230053663186</v>
      </c>
    </row>
    <row r="50" spans="6:25" x14ac:dyDescent="0.4">
      <c r="F50">
        <f t="shared" si="4"/>
        <v>235</v>
      </c>
      <c r="G50" t="e">
        <f>1.2*SQRT(2*F50/(airplane!$B$16*airplane!$B$18))-airplane!$B$19</f>
        <v>#DIV/0!</v>
      </c>
      <c r="H50">
        <f t="shared" si="0"/>
        <v>92.267837697645575</v>
      </c>
      <c r="K50">
        <f t="shared" si="1"/>
        <v>78.537000000000006</v>
      </c>
      <c r="L50">
        <f t="shared" si="2"/>
        <v>410.40734207912755</v>
      </c>
      <c r="O50" s="9">
        <f t="shared" si="14"/>
        <v>4.9085625000000004</v>
      </c>
      <c r="P50" s="9">
        <f t="shared" si="15"/>
        <v>1.2</v>
      </c>
      <c r="Q50" s="9">
        <f t="shared" si="16"/>
        <v>8.57</v>
      </c>
      <c r="R50" s="9">
        <f t="shared" si="17"/>
        <v>2.5000000000000001E-2</v>
      </c>
      <c r="S50" s="9">
        <f t="shared" si="18"/>
        <v>0.8</v>
      </c>
      <c r="T50" s="9">
        <f t="shared" si="19"/>
        <v>0.75</v>
      </c>
      <c r="U50" s="9">
        <f t="shared" si="20"/>
        <v>24.599999999999998</v>
      </c>
      <c r="W50" s="9">
        <f t="shared" si="21"/>
        <v>410.40734207912755</v>
      </c>
      <c r="Y50">
        <f t="shared" si="22"/>
        <v>92.267837697645575</v>
      </c>
    </row>
    <row r="51" spans="6:25" x14ac:dyDescent="0.4">
      <c r="F51">
        <f t="shared" si="4"/>
        <v>240</v>
      </c>
      <c r="G51" t="e">
        <f>1.2*SQRT(2*F51/(airplane!$B$16*airplane!$B$18))-airplane!$B$19</f>
        <v>#DIV/0!</v>
      </c>
      <c r="H51">
        <f t="shared" si="0"/>
        <v>92.241027048537717</v>
      </c>
      <c r="K51">
        <f t="shared" si="1"/>
        <v>80.207999999999998</v>
      </c>
      <c r="L51">
        <f t="shared" si="2"/>
        <v>410.28808831189582</v>
      </c>
      <c r="O51" s="9">
        <f t="shared" si="14"/>
        <v>5.0129999999999999</v>
      </c>
      <c r="P51" s="9">
        <f t="shared" si="15"/>
        <v>1.2</v>
      </c>
      <c r="Q51" s="9">
        <f t="shared" si="16"/>
        <v>8.57</v>
      </c>
      <c r="R51" s="9">
        <f t="shared" si="17"/>
        <v>2.5000000000000001E-2</v>
      </c>
      <c r="S51" s="9">
        <f t="shared" si="18"/>
        <v>0.8</v>
      </c>
      <c r="T51" s="9">
        <f t="shared" si="19"/>
        <v>0.75</v>
      </c>
      <c r="U51" s="9">
        <f t="shared" si="20"/>
        <v>24.599999999999998</v>
      </c>
      <c r="W51" s="9">
        <f t="shared" si="21"/>
        <v>410.28808831189582</v>
      </c>
      <c r="Y51">
        <f t="shared" si="22"/>
        <v>92.241027048537717</v>
      </c>
    </row>
    <row r="52" spans="6:25" x14ac:dyDescent="0.4">
      <c r="F52">
        <f t="shared" si="4"/>
        <v>245</v>
      </c>
      <c r="G52" t="e">
        <f>1.2*SQRT(2*F52/(airplane!$B$16*airplane!$B$18))-airplane!$B$19</f>
        <v>#DIV/0!</v>
      </c>
      <c r="H52">
        <f t="shared" si="0"/>
        <v>92.111591436490016</v>
      </c>
      <c r="K52">
        <f t="shared" si="1"/>
        <v>81.879000000000005</v>
      </c>
      <c r="L52">
        <f t="shared" si="2"/>
        <v>409.71235870950761</v>
      </c>
      <c r="O52" s="9">
        <f t="shared" si="14"/>
        <v>5.1174375000000003</v>
      </c>
      <c r="P52" s="9">
        <f t="shared" si="15"/>
        <v>1.2</v>
      </c>
      <c r="Q52" s="9">
        <f t="shared" si="16"/>
        <v>8.57</v>
      </c>
      <c r="R52" s="9">
        <f t="shared" si="17"/>
        <v>2.5000000000000001E-2</v>
      </c>
      <c r="S52" s="9">
        <f t="shared" si="18"/>
        <v>0.8</v>
      </c>
      <c r="T52" s="9">
        <f t="shared" si="19"/>
        <v>0.75</v>
      </c>
      <c r="U52" s="9">
        <f t="shared" si="20"/>
        <v>24.599999999999998</v>
      </c>
      <c r="W52" s="9">
        <f t="shared" si="21"/>
        <v>409.71235870950761</v>
      </c>
      <c r="Y52">
        <f t="shared" si="22"/>
        <v>92.111591436490016</v>
      </c>
    </row>
    <row r="53" spans="6:25" x14ac:dyDescent="0.4">
      <c r="F53">
        <f t="shared" si="4"/>
        <v>250</v>
      </c>
      <c r="G53" t="e">
        <f>1.2*SQRT(2*F53/(airplane!$B$16*airplane!$B$18))-airplane!$B$19</f>
        <v>#DIV/0!</v>
      </c>
      <c r="H53">
        <f t="shared" si="0"/>
        <v>91.864134007099651</v>
      </c>
      <c r="K53">
        <f t="shared" si="1"/>
        <v>83.55</v>
      </c>
      <c r="L53">
        <f t="shared" si="2"/>
        <v>408.61166806357926</v>
      </c>
      <c r="O53" s="9">
        <f t="shared" si="14"/>
        <v>5.2218749999999998</v>
      </c>
      <c r="P53" s="9">
        <f t="shared" si="15"/>
        <v>1.2</v>
      </c>
      <c r="Q53" s="9">
        <f t="shared" si="16"/>
        <v>8.57</v>
      </c>
      <c r="R53" s="9">
        <f t="shared" si="17"/>
        <v>2.5000000000000001E-2</v>
      </c>
      <c r="S53" s="9">
        <f t="shared" si="18"/>
        <v>0.8</v>
      </c>
      <c r="T53" s="9">
        <f t="shared" si="19"/>
        <v>0.75</v>
      </c>
      <c r="U53" s="9">
        <f t="shared" si="20"/>
        <v>24.599999999999998</v>
      </c>
      <c r="W53" s="9">
        <f t="shared" si="21"/>
        <v>408.61166806357926</v>
      </c>
      <c r="Y53">
        <f t="shared" si="22"/>
        <v>91.864134007099651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424543</xdr:colOff>
                <xdr:row>5</xdr:row>
                <xdr:rowOff>0</xdr:rowOff>
              </from>
              <to>
                <xdr:col>4</xdr:col>
                <xdr:colOff>1061357</xdr:colOff>
                <xdr:row>10</xdr:row>
                <xdr:rowOff>81643</xdr:rowOff>
              </to>
            </anchor>
          </objectPr>
        </oleObject>
      </mc:Choice>
      <mc:Fallback>
        <oleObject progId="Equation.3" shapeId="2050" r:id="rId3"/>
      </mc:Fallback>
    </mc:AlternateContent>
    <mc:AlternateContent xmlns:mc="http://schemas.openxmlformats.org/markup-compatibility/2006">
      <mc:Choice Requires="x14">
        <oleObject progId="Equation.3" shapeId="2052" r:id="rId5">
          <objectPr defaultSize="0" autoPict="0" r:id="rId6">
            <anchor moveWithCells="1" sizeWithCells="1">
              <from>
                <xdr:col>0</xdr:col>
                <xdr:colOff>212271</xdr:colOff>
                <xdr:row>11</xdr:row>
                <xdr:rowOff>5443</xdr:rowOff>
              </from>
              <to>
                <xdr:col>5</xdr:col>
                <xdr:colOff>228600</xdr:colOff>
                <xdr:row>14</xdr:row>
                <xdr:rowOff>152400</xdr:rowOff>
              </to>
            </anchor>
          </objectPr>
        </oleObject>
      </mc:Choice>
      <mc:Fallback>
        <oleObject progId="Equation.3" shapeId="2052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J11" sqref="J11"/>
    </sheetView>
  </sheetViews>
  <sheetFormatPr defaultRowHeight="14.6" x14ac:dyDescent="0.4"/>
  <cols>
    <col min="1" max="1" width="12.53515625" customWidth="1"/>
    <col min="10" max="10" width="14.53515625" customWidth="1"/>
  </cols>
  <sheetData>
    <row r="1" spans="1:17" x14ac:dyDescent="0.4">
      <c r="A1" t="s">
        <v>29</v>
      </c>
      <c r="J1" t="s">
        <v>23</v>
      </c>
      <c r="K1" t="s">
        <v>31</v>
      </c>
      <c r="L1" t="s">
        <v>25</v>
      </c>
      <c r="N1" t="s">
        <v>23</v>
      </c>
      <c r="O1" t="s">
        <v>25</v>
      </c>
      <c r="P1" t="s">
        <v>35</v>
      </c>
    </row>
    <row r="2" spans="1:17" x14ac:dyDescent="0.4">
      <c r="J2" t="s">
        <v>16</v>
      </c>
      <c r="L2" t="s">
        <v>26</v>
      </c>
      <c r="N2" t="s">
        <v>66</v>
      </c>
      <c r="O2" t="s">
        <v>65</v>
      </c>
      <c r="P2">
        <v>3.280839895013</v>
      </c>
      <c r="Q2" t="s">
        <v>34</v>
      </c>
    </row>
    <row r="3" spans="1:17" x14ac:dyDescent="0.4">
      <c r="N3">
        <f>J3*0.3342</f>
        <v>0</v>
      </c>
      <c r="O3">
        <f>L3*4.448</f>
        <v>0</v>
      </c>
      <c r="P3">
        <v>1.9438444924410001</v>
      </c>
      <c r="Q3" t="s">
        <v>36</v>
      </c>
    </row>
    <row r="4" spans="1:17" x14ac:dyDescent="0.4">
      <c r="N4">
        <f t="shared" ref="N4:N53" si="0">J4*0.3342</f>
        <v>0</v>
      </c>
      <c r="O4">
        <f t="shared" ref="O4:O53" si="1">L4*4.448</f>
        <v>0</v>
      </c>
      <c r="P4">
        <v>2.2369362920540001</v>
      </c>
      <c r="Q4" t="s">
        <v>37</v>
      </c>
    </row>
    <row r="5" spans="1:17" x14ac:dyDescent="0.4">
      <c r="N5">
        <f t="shared" si="0"/>
        <v>0</v>
      </c>
      <c r="O5">
        <f t="shared" si="1"/>
        <v>0</v>
      </c>
    </row>
    <row r="6" spans="1:17" x14ac:dyDescent="0.4">
      <c r="N6">
        <f t="shared" si="0"/>
        <v>0</v>
      </c>
      <c r="O6">
        <f t="shared" si="1"/>
        <v>0</v>
      </c>
    </row>
    <row r="7" spans="1:17" x14ac:dyDescent="0.4">
      <c r="N7">
        <f t="shared" si="0"/>
        <v>0</v>
      </c>
      <c r="O7">
        <f t="shared" si="1"/>
        <v>0</v>
      </c>
    </row>
    <row r="8" spans="1:17" x14ac:dyDescent="0.4">
      <c r="N8">
        <f t="shared" si="0"/>
        <v>0</v>
      </c>
      <c r="O8">
        <f t="shared" si="1"/>
        <v>0</v>
      </c>
    </row>
    <row r="9" spans="1:17" x14ac:dyDescent="0.4">
      <c r="N9">
        <f t="shared" si="0"/>
        <v>0</v>
      </c>
      <c r="O9">
        <f t="shared" si="1"/>
        <v>0</v>
      </c>
    </row>
    <row r="10" spans="1:17" x14ac:dyDescent="0.4">
      <c r="N10">
        <f t="shared" si="0"/>
        <v>0</v>
      </c>
      <c r="O10">
        <f t="shared" si="1"/>
        <v>0</v>
      </c>
    </row>
    <row r="11" spans="1:17" x14ac:dyDescent="0.4">
      <c r="J11">
        <v>40</v>
      </c>
      <c r="K11">
        <f>airplane!$B$24*airplane!$B$7/'maximum speed'!J11+airplane!$B$11*'maximum speed'!J11/airplane!$B$24</f>
        <v>0.34507533096027654</v>
      </c>
      <c r="L11">
        <f>airplane!$B$23*K11/(airplane!$B$9*airplane!$B$10)</f>
        <v>21.567208185017286</v>
      </c>
      <c r="N11">
        <f t="shared" si="0"/>
        <v>13.368</v>
      </c>
      <c r="O11">
        <f t="shared" si="1"/>
        <v>95.930942006956897</v>
      </c>
    </row>
    <row r="12" spans="1:17" x14ac:dyDescent="0.4">
      <c r="J12">
        <f t="shared" ref="J12:J53" si="2">J11+5</f>
        <v>45</v>
      </c>
      <c r="K12">
        <f>airplane!$B$24*airplane!$B$7/'maximum speed'!J12+airplane!$B$11*'maximum speed'!J12/airplane!$B$24</f>
        <v>0.30753570879729186</v>
      </c>
      <c r="L12">
        <f>airplane!$B$23*K12/(airplane!$B$9*airplane!$B$10)</f>
        <v>19.220981799830742</v>
      </c>
      <c r="N12">
        <f t="shared" si="0"/>
        <v>15.039</v>
      </c>
      <c r="O12">
        <f t="shared" si="1"/>
        <v>85.494927045647145</v>
      </c>
    </row>
    <row r="13" spans="1:17" x14ac:dyDescent="0.4">
      <c r="J13">
        <f t="shared" si="2"/>
        <v>50</v>
      </c>
      <c r="K13">
        <f>airplane!$B$24*airplane!$B$7/'maximum speed'!J13+airplane!$B$11*'maximum speed'!J13/airplane!$B$24</f>
        <v>0.27758893731976786</v>
      </c>
      <c r="L13">
        <f>airplane!$B$23*K13/(airplane!$B$9*airplane!$B$10)</f>
        <v>17.349308582485492</v>
      </c>
      <c r="N13">
        <f t="shared" si="0"/>
        <v>16.71</v>
      </c>
      <c r="O13">
        <f t="shared" si="1"/>
        <v>77.169724574895469</v>
      </c>
    </row>
    <row r="14" spans="1:17" x14ac:dyDescent="0.4">
      <c r="J14">
        <f t="shared" si="2"/>
        <v>55</v>
      </c>
      <c r="K14">
        <f>airplane!$B$24*airplane!$B$7/'maximum speed'!J14+airplane!$B$11*'maximum speed'!J14/airplane!$B$24</f>
        <v>0.25316423906803343</v>
      </c>
      <c r="L14">
        <f>airplane!$B$23*K14/(airplane!$B$9*airplane!$B$10)</f>
        <v>15.822764941752091</v>
      </c>
      <c r="N14">
        <f t="shared" si="0"/>
        <v>18.381</v>
      </c>
      <c r="O14">
        <f t="shared" si="1"/>
        <v>70.379658460913305</v>
      </c>
    </row>
    <row r="15" spans="1:17" x14ac:dyDescent="0.4">
      <c r="J15">
        <f t="shared" si="2"/>
        <v>60</v>
      </c>
      <c r="K15">
        <f>airplane!$B$24*airplane!$B$7/'maximum speed'!J15+airplane!$B$11*'maximum speed'!J15/airplane!$B$24</f>
        <v>0.23288109573564111</v>
      </c>
      <c r="L15">
        <f>airplane!$B$23*K15/(airplane!$B$9*airplane!$B$10)</f>
        <v>14.555068483477569</v>
      </c>
      <c r="N15">
        <f t="shared" si="0"/>
        <v>20.052</v>
      </c>
      <c r="O15">
        <f t="shared" si="1"/>
        <v>64.740944614508237</v>
      </c>
    </row>
    <row r="16" spans="1:17" x14ac:dyDescent="0.4">
      <c r="J16">
        <f t="shared" si="2"/>
        <v>65</v>
      </c>
      <c r="K16">
        <f>airplane!$B$24*airplane!$B$7/'maximum speed'!J16+airplane!$B$11*'maximum speed'!J16/airplane!$B$24</f>
        <v>0.21578376387966586</v>
      </c>
      <c r="L16">
        <f>airplane!$B$23*K16/(airplane!$B$9*airplane!$B$10)</f>
        <v>13.486485242479116</v>
      </c>
      <c r="N16">
        <f t="shared" si="0"/>
        <v>21.722999999999999</v>
      </c>
      <c r="O16">
        <f t="shared" si="1"/>
        <v>59.987886358547115</v>
      </c>
    </row>
    <row r="17" spans="1:15" x14ac:dyDescent="0.4">
      <c r="J17">
        <f t="shared" si="2"/>
        <v>70</v>
      </c>
      <c r="K17">
        <f>airplane!$B$24*airplane!$B$7/'maximum speed'!J17+airplane!$B$11*'maximum speed'!J17/airplane!$B$24</f>
        <v>0.201189569612304</v>
      </c>
      <c r="L17">
        <f>airplane!$B$23*K17/(airplane!$B$9*airplane!$B$10)</f>
        <v>12.574348100769001</v>
      </c>
      <c r="N17">
        <f t="shared" si="0"/>
        <v>23.393999999999998</v>
      </c>
      <c r="O17">
        <f t="shared" si="1"/>
        <v>55.930700352220519</v>
      </c>
    </row>
    <row r="18" spans="1:15" x14ac:dyDescent="0.4">
      <c r="J18">
        <f t="shared" si="2"/>
        <v>75</v>
      </c>
      <c r="K18">
        <f>airplane!$B$24*airplane!$B$7/'maximum speed'!J18+airplane!$B$11*'maximum speed'!J18/airplane!$B$24</f>
        <v>0.18859788541583289</v>
      </c>
      <c r="L18">
        <f>airplane!$B$23*K18/(airplane!$B$9*airplane!$B$10)</f>
        <v>11.787367838489557</v>
      </c>
      <c r="N18">
        <f t="shared" si="0"/>
        <v>25.065000000000001</v>
      </c>
      <c r="O18">
        <f t="shared" si="1"/>
        <v>52.430212145601551</v>
      </c>
    </row>
    <row r="19" spans="1:15" x14ac:dyDescent="0.4">
      <c r="J19">
        <f t="shared" si="2"/>
        <v>80</v>
      </c>
      <c r="K19">
        <f>airplane!$B$24*airplane!$B$7/'maximum speed'!J19+airplane!$B$11*'maximum speed'!J19/airplane!$B$24</f>
        <v>0.17763324065196046</v>
      </c>
      <c r="L19">
        <f>airplane!$B$23*K19/(airplane!$B$9*airplane!$B$10)</f>
        <v>11.10207754074753</v>
      </c>
      <c r="N19">
        <f t="shared" si="0"/>
        <v>26.736000000000001</v>
      </c>
      <c r="O19">
        <f t="shared" si="1"/>
        <v>49.38204090124502</v>
      </c>
    </row>
    <row r="20" spans="1:15" x14ac:dyDescent="0.4">
      <c r="J20">
        <f t="shared" si="2"/>
        <v>85</v>
      </c>
      <c r="K20">
        <f>airplane!$B$24*airplane!$B$7/'maximum speed'!J20+airplane!$B$11*'maximum speed'!J20/airplane!$B$24</f>
        <v>0.168008510714934</v>
      </c>
      <c r="L20">
        <f>airplane!$B$23*K20/(airplane!$B$9*airplane!$B$10)</f>
        <v>10.500531919683375</v>
      </c>
      <c r="N20">
        <f t="shared" si="0"/>
        <v>28.407</v>
      </c>
      <c r="O20">
        <f t="shared" si="1"/>
        <v>46.706365978751656</v>
      </c>
    </row>
    <row r="21" spans="1:15" x14ac:dyDescent="0.4">
      <c r="J21">
        <f t="shared" si="2"/>
        <v>90</v>
      </c>
      <c r="K21">
        <f>airplane!$B$24*airplane!$B$7/'maximum speed'!J21+airplane!$B$11*'maximum speed'!J21/airplane!$B$24</f>
        <v>0.15950037646694587</v>
      </c>
      <c r="L21">
        <f>airplane!$B$23*K21/(airplane!$B$9*airplane!$B$10)</f>
        <v>9.9687735291841157</v>
      </c>
      <c r="N21">
        <f t="shared" si="0"/>
        <v>30.077999999999999</v>
      </c>
      <c r="O21">
        <f t="shared" si="1"/>
        <v>44.341104657810952</v>
      </c>
    </row>
    <row r="22" spans="1:15" x14ac:dyDescent="0.4">
      <c r="J22">
        <f t="shared" si="2"/>
        <v>95</v>
      </c>
      <c r="K22">
        <f>airplane!$B$24*airplane!$B$7/'maximum speed'!J22+airplane!$B$11*'maximum speed'!J22/airplane!$B$24</f>
        <v>0.15193253332551637</v>
      </c>
      <c r="L22">
        <f>airplane!$B$23*K22/(airplane!$B$9*airplane!$B$10)</f>
        <v>9.4957833328447734</v>
      </c>
      <c r="N22">
        <f t="shared" si="0"/>
        <v>31.748999999999999</v>
      </c>
      <c r="O22">
        <f t="shared" si="1"/>
        <v>42.237244264493555</v>
      </c>
    </row>
    <row r="23" spans="1:15" x14ac:dyDescent="0.4">
      <c r="J23">
        <f t="shared" si="2"/>
        <v>100</v>
      </c>
      <c r="K23">
        <f>airplane!$B$24*airplane!$B$7/'maximum speed'!J23+airplane!$B$11*'maximum speed'!J23/airplane!$B$24</f>
        <v>0.14516393762466165</v>
      </c>
      <c r="L23">
        <f>airplane!$B$23*K23/(airplane!$B$9*airplane!$B$10)</f>
        <v>9.0727461015413535</v>
      </c>
      <c r="N23">
        <f t="shared" si="0"/>
        <v>33.42</v>
      </c>
      <c r="O23">
        <f t="shared" si="1"/>
        <v>40.355574659655943</v>
      </c>
    </row>
    <row r="24" spans="1:15" x14ac:dyDescent="0.4">
      <c r="J24">
        <f t="shared" si="2"/>
        <v>105</v>
      </c>
      <c r="K24">
        <f>airplane!$B$24*airplane!$B$7/'maximum speed'!J24+airplane!$B$11*'maximum speed'!J24/airplane!$B$24</f>
        <v>0.13908041115858533</v>
      </c>
      <c r="L24">
        <f>airplane!$B$23*K24/(airplane!$B$9*airplane!$B$10)</f>
        <v>8.6925256974115843</v>
      </c>
      <c r="N24">
        <f t="shared" si="0"/>
        <v>35.091000000000001</v>
      </c>
      <c r="O24">
        <f t="shared" si="1"/>
        <v>38.664354302086728</v>
      </c>
    </row>
    <row r="25" spans="1:15" x14ac:dyDescent="0.4">
      <c r="J25">
        <f t="shared" si="2"/>
        <v>110</v>
      </c>
      <c r="K25">
        <f>airplane!$B$24*airplane!$B$7/'maximum speed'!J25+airplane!$B$11*'maximum speed'!J25/airplane!$B$24</f>
        <v>0.13358853539527218</v>
      </c>
      <c r="L25">
        <f>airplane!$B$23*K25/(airplane!$B$9*airplane!$B$10)</f>
        <v>8.3492834622045127</v>
      </c>
      <c r="N25">
        <f t="shared" si="0"/>
        <v>36.762</v>
      </c>
      <c r="O25">
        <f t="shared" si="1"/>
        <v>37.137612839885676</v>
      </c>
    </row>
    <row r="26" spans="1:15" x14ac:dyDescent="0.4">
      <c r="J26">
        <f t="shared" si="2"/>
        <v>115</v>
      </c>
      <c r="K26">
        <f>airplane!$B$24*airplane!$B$7/'maximum speed'!J26+airplane!$B$11*'maximum speed'!J26/airplane!$B$24</f>
        <v>0.12861113850392702</v>
      </c>
      <c r="L26">
        <f>airplane!$B$23*K26/(airplane!$B$9*airplane!$B$10)</f>
        <v>8.0381961564954398</v>
      </c>
      <c r="N26">
        <f t="shared" si="0"/>
        <v>38.433</v>
      </c>
      <c r="O26">
        <f t="shared" si="1"/>
        <v>35.75389650409172</v>
      </c>
    </row>
    <row r="27" spans="1:15" x14ac:dyDescent="0.4">
      <c r="J27">
        <f t="shared" si="2"/>
        <v>120</v>
      </c>
      <c r="K27">
        <f>airplane!$B$24*airplane!$B$7/'maximum speed'!J27+airplane!$B$11*'maximum speed'!J27/airplane!$B$24</f>
        <v>0.12408391062555382</v>
      </c>
      <c r="L27">
        <f>airplane!$B$23*K27/(airplane!$B$9*airplane!$B$10)</f>
        <v>7.7552444140971142</v>
      </c>
      <c r="N27">
        <f t="shared" si="0"/>
        <v>40.103999999999999</v>
      </c>
      <c r="O27">
        <f t="shared" si="1"/>
        <v>34.495327153903965</v>
      </c>
    </row>
    <row r="28" spans="1:15" x14ac:dyDescent="0.4">
      <c r="J28">
        <f t="shared" si="2"/>
        <v>125</v>
      </c>
      <c r="K28">
        <f>airplane!$B$24*airplane!$B$7/'maximum speed'!J28+airplane!$B$11*'maximum speed'!J28/airplane!$B$24</f>
        <v>0.11995283147859595</v>
      </c>
      <c r="L28">
        <f>airplane!$B$23*K28/(airplane!$B$9*airplane!$B$10)</f>
        <v>7.4970519674122471</v>
      </c>
      <c r="N28">
        <f t="shared" si="0"/>
        <v>41.774999999999999</v>
      </c>
      <c r="O28">
        <f t="shared" si="1"/>
        <v>33.346887151049678</v>
      </c>
    </row>
    <row r="29" spans="1:15" x14ac:dyDescent="0.4">
      <c r="J29">
        <f t="shared" si="2"/>
        <v>130</v>
      </c>
      <c r="K29">
        <f>airplane!$B$24*airplane!$B$7/'maximum speed'!J29+airplane!$B$11*'maximum speed'!J29/airplane!$B$24</f>
        <v>0.11617219159404396</v>
      </c>
      <c r="L29">
        <f>airplane!$B$23*K29/(airplane!$B$9*airplane!$B$10)</f>
        <v>7.2607619746277479</v>
      </c>
      <c r="N29">
        <f t="shared" si="0"/>
        <v>43.445999999999998</v>
      </c>
      <c r="O29">
        <f t="shared" si="1"/>
        <v>32.295869263144226</v>
      </c>
    </row>
    <row r="30" spans="1:15" x14ac:dyDescent="0.4">
      <c r="J30">
        <f t="shared" si="2"/>
        <v>135</v>
      </c>
      <c r="K30">
        <f>airplane!$B$24*airplane!$B$7/'maximum speed'!J30+airplane!$B$11*'maximum speed'!J30/airplane!$B$24</f>
        <v>0.11270305327607497</v>
      </c>
      <c r="L30">
        <f>airplane!$B$23*K30/(airplane!$B$9*airplane!$B$10)</f>
        <v>7.0439408297546864</v>
      </c>
      <c r="N30">
        <f t="shared" si="0"/>
        <v>45.116999999999997</v>
      </c>
      <c r="O30">
        <f t="shared" si="1"/>
        <v>31.331448810748849</v>
      </c>
    </row>
    <row r="31" spans="1:15" x14ac:dyDescent="0.4">
      <c r="A31" t="s">
        <v>27</v>
      </c>
      <c r="J31">
        <f>J30+5</f>
        <v>140</v>
      </c>
      <c r="K31">
        <f>airplane!$B$24*airplane!$B$7/'maximum speed'!J31+airplane!$B$11*'maximum speed'!J31/airplane!$B$24</f>
        <v>0.1095120413568408</v>
      </c>
      <c r="L31">
        <f>airplane!$B$23*K31/(airplane!$B$9*airplane!$B$10)</f>
        <v>6.8445025848025498</v>
      </c>
      <c r="N31">
        <f t="shared" si="0"/>
        <v>46.787999999999997</v>
      </c>
      <c r="O31">
        <f t="shared" si="1"/>
        <v>30.444347497201743</v>
      </c>
    </row>
    <row r="32" spans="1:15" x14ac:dyDescent="0.4">
      <c r="A32" t="s">
        <v>28</v>
      </c>
      <c r="J32">
        <f t="shared" si="2"/>
        <v>145</v>
      </c>
      <c r="K32">
        <f>airplane!$B$24*airplane!$B$7/'maximum speed'!J32+airplane!$B$11*'maximum speed'!J32/airplane!$B$24</f>
        <v>0.10657038413992062</v>
      </c>
      <c r="L32">
        <f>airplane!$B$23*K32/(airplane!$B$9*airplane!$B$10)</f>
        <v>6.6606490087450387</v>
      </c>
      <c r="N32">
        <f t="shared" si="0"/>
        <v>48.458999999999996</v>
      </c>
      <c r="O32">
        <f t="shared" si="1"/>
        <v>29.626566790897936</v>
      </c>
    </row>
    <row r="33" spans="10:15" x14ac:dyDescent="0.4">
      <c r="J33">
        <f t="shared" si="2"/>
        <v>150</v>
      </c>
      <c r="K33">
        <f>airplane!$B$24*airplane!$B$7/'maximum speed'!J33+airplane!$B$11*'maximum speed'!J33/airplane!$B$24</f>
        <v>0.10385314615508301</v>
      </c>
      <c r="L33">
        <f>airplane!$B$23*K33/(airplane!$B$9*airplane!$B$10)</f>
        <v>6.4908216346926881</v>
      </c>
      <c r="N33">
        <f t="shared" si="0"/>
        <v>50.13</v>
      </c>
      <c r="O33">
        <f t="shared" si="1"/>
        <v>28.871174631113078</v>
      </c>
    </row>
    <row r="34" spans="10:15" x14ac:dyDescent="0.4">
      <c r="J34">
        <f t="shared" si="2"/>
        <v>155</v>
      </c>
      <c r="K34">
        <f>airplane!$B$24*airplane!$B$7/'maximum speed'!J34+airplane!$B$11*'maximum speed'!J34/airplane!$B$24</f>
        <v>0.10133860941212644</v>
      </c>
      <c r="L34">
        <f>airplane!$B$23*K34/(airplane!$B$9*airplane!$B$10)</f>
        <v>6.3336630882579028</v>
      </c>
      <c r="N34">
        <f t="shared" si="0"/>
        <v>51.801000000000002</v>
      </c>
      <c r="O34">
        <f t="shared" si="1"/>
        <v>28.172133416571153</v>
      </c>
    </row>
    <row r="35" spans="10:15" x14ac:dyDescent="0.4">
      <c r="J35">
        <f t="shared" si="2"/>
        <v>160</v>
      </c>
      <c r="K35">
        <f>airplane!$B$24*airplane!$B$7/'maximum speed'!J35+airplane!$B$11*'maximum speed'!J35/airplane!$B$24</f>
        <v>9.9007770669624559E-2</v>
      </c>
      <c r="L35">
        <f>airplane!$B$23*K35/(airplane!$B$9*airplane!$B$10)</f>
        <v>6.1879856668515352</v>
      </c>
      <c r="N35">
        <f t="shared" si="0"/>
        <v>53.472000000000001</v>
      </c>
      <c r="O35">
        <f t="shared" si="1"/>
        <v>27.524160246155631</v>
      </c>
    </row>
    <row r="36" spans="10:15" x14ac:dyDescent="0.4">
      <c r="J36">
        <f t="shared" si="2"/>
        <v>165</v>
      </c>
      <c r="K36">
        <f>airplane!$B$24*airplane!$B$7/'maximum speed'!J36+airplane!$B$11*'maximum speed'!J36/airplane!$B$24</f>
        <v>9.6843930109354229E-2</v>
      </c>
      <c r="L36">
        <f>airplane!$B$23*K36/(airplane!$B$9*airplane!$B$10)</f>
        <v>6.0527456318346395</v>
      </c>
      <c r="N36">
        <f t="shared" si="0"/>
        <v>55.143000000000001</v>
      </c>
      <c r="O36">
        <f t="shared" si="1"/>
        <v>26.922612570400478</v>
      </c>
    </row>
    <row r="37" spans="10:15" x14ac:dyDescent="0.4">
      <c r="J37">
        <f t="shared" si="2"/>
        <v>170</v>
      </c>
      <c r="K37">
        <f>airplane!$B$24*airplane!$B$7/'maximum speed'!J37+airplane!$B$11*'maximum speed'!J37/airplane!$B$24</f>
        <v>9.4832352597589112E-2</v>
      </c>
      <c r="L37">
        <f>airplane!$B$23*K37/(airplane!$B$9*airplane!$B$10)</f>
        <v>5.9270220373493192</v>
      </c>
      <c r="N37">
        <f t="shared" si="0"/>
        <v>56.814</v>
      </c>
      <c r="O37">
        <f t="shared" si="1"/>
        <v>26.363394022129775</v>
      </c>
    </row>
    <row r="38" spans="10:15" x14ac:dyDescent="0.4">
      <c r="J38">
        <f t="shared" si="2"/>
        <v>175</v>
      </c>
      <c r="K38">
        <f>airplane!$B$24*airplane!$B$7/'maximum speed'!J38+airplane!$B$11*'maximum speed'!J38/airplane!$B$24</f>
        <v>9.2959987015885925E-2</v>
      </c>
      <c r="L38">
        <f>airplane!$B$23*K38/(airplane!$B$9*airplane!$B$10)</f>
        <v>5.8099991884928706</v>
      </c>
      <c r="N38">
        <f t="shared" si="0"/>
        <v>58.484999999999999</v>
      </c>
      <c r="O38">
        <f t="shared" si="1"/>
        <v>25.84287639041629</v>
      </c>
    </row>
    <row r="39" spans="10:15" x14ac:dyDescent="0.4">
      <c r="J39">
        <f t="shared" si="2"/>
        <v>180</v>
      </c>
      <c r="K39">
        <f>airplane!$B$24*airplane!$B$7/'maximum speed'!J39+airplane!$B$11*'maximum speed'!J39/airplane!$B$24</f>
        <v>9.1215232370072827E-2</v>
      </c>
      <c r="L39">
        <f>airplane!$B$23*K39/(airplane!$B$9*airplane!$B$10)</f>
        <v>5.7009520231295516</v>
      </c>
      <c r="N39">
        <f t="shared" si="0"/>
        <v>60.155999999999999</v>
      </c>
      <c r="O39">
        <f t="shared" si="1"/>
        <v>25.357834598880249</v>
      </c>
    </row>
    <row r="40" spans="10:15" x14ac:dyDescent="0.4">
      <c r="J40">
        <f t="shared" si="2"/>
        <v>185</v>
      </c>
      <c r="K40">
        <f>airplane!$B$24*airplane!$B$7/'maximum speed'!J40+airplane!$B$11*'maximum speed'!J40/airplane!$B$24</f>
        <v>8.9587741827510087E-2</v>
      </c>
      <c r="L40">
        <f>airplane!$B$23*K40/(airplane!$B$9*airplane!$B$10)</f>
        <v>5.5992338642193804</v>
      </c>
      <c r="N40">
        <f t="shared" si="0"/>
        <v>61.826999999999998</v>
      </c>
      <c r="O40">
        <f t="shared" si="1"/>
        <v>24.905392228047806</v>
      </c>
    </row>
    <row r="41" spans="10:15" x14ac:dyDescent="0.4">
      <c r="J41">
        <f t="shared" si="2"/>
        <v>190</v>
      </c>
      <c r="K41">
        <f>airplane!$B$24*airplane!$B$7/'maximum speed'!J41+airplane!$B$11*'maximum speed'!J41/airplane!$B$24</f>
        <v>8.8068257695835844E-2</v>
      </c>
      <c r="L41">
        <f>airplane!$B$23*K41/(airplane!$B$9*airplane!$B$10)</f>
        <v>5.5042661059897409</v>
      </c>
      <c r="N41">
        <f t="shared" si="0"/>
        <v>63.497999999999998</v>
      </c>
      <c r="O41">
        <f t="shared" si="1"/>
        <v>24.482975639442369</v>
      </c>
    </row>
    <row r="42" spans="10:15" x14ac:dyDescent="0.4">
      <c r="J42">
        <f t="shared" si="2"/>
        <v>195</v>
      </c>
      <c r="K42">
        <f>airplane!$B$24*airplane!$B$7/'maximum speed'!J42+airplane!$B$11*'maximum speed'!J42/airplane!$B$24</f>
        <v>8.6648471789597115E-2</v>
      </c>
      <c r="L42">
        <f>airplane!$B$23*K42/(airplane!$B$9*airplane!$B$10)</f>
        <v>5.4155294868498203</v>
      </c>
      <c r="N42">
        <f t="shared" si="0"/>
        <v>65.168999999999997</v>
      </c>
      <c r="O42">
        <f t="shared" si="1"/>
        <v>24.088275157508004</v>
      </c>
    </row>
    <row r="43" spans="10:15" x14ac:dyDescent="0.4">
      <c r="J43">
        <f t="shared" si="2"/>
        <v>200</v>
      </c>
      <c r="K43">
        <f>airplane!$B$24*airplane!$B$7/'maximum speed'!J43+airplane!$B$11*'maximum speed'!J43/airplane!$B$24</f>
        <v>8.5320906741886249E-2</v>
      </c>
      <c r="L43">
        <f>airplane!$B$23*K43/(airplane!$B$9*airplane!$B$10)</f>
        <v>5.3325566713678905</v>
      </c>
      <c r="N43">
        <f t="shared" si="0"/>
        <v>66.84</v>
      </c>
      <c r="O43">
        <f t="shared" si="1"/>
        <v>23.719212074244378</v>
      </c>
    </row>
    <row r="44" spans="10:15" x14ac:dyDescent="0.4">
      <c r="J44">
        <f t="shared" si="2"/>
        <v>205</v>
      </c>
      <c r="K44">
        <f>airplane!$B$24*airplane!$B$7/'maximum speed'!J44+airplane!$B$11*'maximum speed'!J44/airplane!$B$24</f>
        <v>8.4078814685006081E-2</v>
      </c>
      <c r="L44">
        <f>airplane!$B$23*K44/(airplane!$B$9*airplane!$B$10)</f>
        <v>5.2549259178128809</v>
      </c>
      <c r="N44">
        <f t="shared" si="0"/>
        <v>68.510999999999996</v>
      </c>
      <c r="O44">
        <f t="shared" si="1"/>
        <v>23.373910482431697</v>
      </c>
    </row>
    <row r="45" spans="10:15" x14ac:dyDescent="0.4">
      <c r="J45">
        <f t="shared" si="2"/>
        <v>210</v>
      </c>
      <c r="K45">
        <f>airplane!$B$24*airplane!$B$7/'maximum speed'!J45+airplane!$B$11*'maximum speed'!J45/airplane!$B$24</f>
        <v>8.2916090405325868E-2</v>
      </c>
      <c r="L45">
        <f>airplane!$B$23*K45/(airplane!$B$9*airplane!$B$10)</f>
        <v>5.1822556503328672</v>
      </c>
      <c r="N45">
        <f t="shared" si="0"/>
        <v>70.182000000000002</v>
      </c>
      <c r="O45">
        <f t="shared" si="1"/>
        <v>23.050673132680597</v>
      </c>
    </row>
    <row r="46" spans="10:15" x14ac:dyDescent="0.4">
      <c r="J46">
        <f t="shared" si="2"/>
        <v>215</v>
      </c>
      <c r="K46">
        <f>airplane!$B$24*airplane!$B$7/'maximum speed'!J46+airplane!$B$11*'maximum speed'!J46/airplane!$B$24</f>
        <v>8.1827196616064191E-2</v>
      </c>
      <c r="L46">
        <f>airplane!$B$23*K46/(airplane!$B$9*airplane!$B$10)</f>
        <v>5.1141997885040125</v>
      </c>
      <c r="N46">
        <f t="shared" si="0"/>
        <v>71.852999999999994</v>
      </c>
      <c r="O46">
        <f t="shared" si="1"/>
        <v>22.74796065926585</v>
      </c>
    </row>
    <row r="47" spans="10:15" x14ac:dyDescent="0.4">
      <c r="J47">
        <f t="shared" si="2"/>
        <v>220</v>
      </c>
      <c r="K47">
        <f>airplane!$B$24*airplane!$B$7/'maximum speed'!J47+airplane!$B$11*'maximum speed'!J47/airplane!$B$24</f>
        <v>8.0807099420147063E-2</v>
      </c>
      <c r="L47">
        <f>airplane!$B$23*K47/(airplane!$B$9*airplane!$B$10)</f>
        <v>5.0504437137591918</v>
      </c>
      <c r="N47">
        <f t="shared" si="0"/>
        <v>73.524000000000001</v>
      </c>
      <c r="O47">
        <f t="shared" si="1"/>
        <v>22.464373638800886</v>
      </c>
    </row>
    <row r="48" spans="10:15" x14ac:dyDescent="0.4">
      <c r="J48">
        <f t="shared" si="2"/>
        <v>225</v>
      </c>
      <c r="K48">
        <f>airplane!$B$24*airplane!$B$7/'maximum speed'!J48+airplane!$B$11*'maximum speed'!J48/airplane!$B$24</f>
        <v>7.9851212378018191E-2</v>
      </c>
      <c r="L48">
        <f>airplane!$B$23*K48/(airplane!$B$9*airplane!$B$10)</f>
        <v>4.9907007736261368</v>
      </c>
      <c r="N48">
        <f t="shared" si="0"/>
        <v>75.194999999999993</v>
      </c>
      <c r="O48">
        <f t="shared" si="1"/>
        <v>22.198637041089057</v>
      </c>
    </row>
    <row r="49" spans="10:15" x14ac:dyDescent="0.4">
      <c r="J49">
        <f t="shared" si="2"/>
        <v>230</v>
      </c>
      <c r="K49">
        <f>airplane!$B$24*airplane!$B$7/'maximum speed'!J49+airplane!$B$11*'maximum speed'!J49/airplane!$B$24</f>
        <v>7.895534787095225E-2</v>
      </c>
      <c r="L49">
        <f>airplane!$B$23*K49/(airplane!$B$9*airplane!$B$10)</f>
        <v>4.9347092419345158</v>
      </c>
      <c r="N49">
        <f t="shared" si="0"/>
        <v>76.866</v>
      </c>
      <c r="O49">
        <f t="shared" si="1"/>
        <v>21.949586708124727</v>
      </c>
    </row>
    <row r="50" spans="10:15" x14ac:dyDescent="0.4">
      <c r="J50">
        <f t="shared" si="2"/>
        <v>235</v>
      </c>
      <c r="K50">
        <f>airplane!$B$24*airplane!$B$7/'maximum speed'!J50+airplane!$B$11*'maximum speed'!J50/airplane!$B$24</f>
        <v>7.811567467330692E-2</v>
      </c>
      <c r="L50">
        <f>airplane!$B$23*K50/(airplane!$B$9*airplane!$B$10)</f>
        <v>4.8822296670816829</v>
      </c>
      <c r="N50">
        <f t="shared" si="0"/>
        <v>78.537000000000006</v>
      </c>
      <c r="O50">
        <f t="shared" si="1"/>
        <v>21.716157559179326</v>
      </c>
    </row>
    <row r="51" spans="10:15" x14ac:dyDescent="0.4">
      <c r="J51">
        <f t="shared" si="2"/>
        <v>240</v>
      </c>
      <c r="K51">
        <f>airplane!$B$24*airplane!$B$7/'maximum speed'!J51+airplane!$B$11*'maximum speed'!J51/airplane!$B$24</f>
        <v>7.7328680828243429E-2</v>
      </c>
      <c r="L51">
        <f>airplane!$B$23*K51/(airplane!$B$9*airplane!$B$10)</f>
        <v>4.8330425517652147</v>
      </c>
      <c r="N51">
        <f t="shared" si="0"/>
        <v>80.207999999999998</v>
      </c>
      <c r="O51">
        <f t="shared" si="1"/>
        <v>21.497373270251678</v>
      </c>
    </row>
    <row r="52" spans="10:15" x14ac:dyDescent="0.4">
      <c r="J52">
        <f t="shared" si="2"/>
        <v>245</v>
      </c>
      <c r="K52">
        <f>airplane!$B$24*airplane!$B$7/'maximum speed'!J52+airplane!$B$11*'maximum speed'!J52/airplane!$B$24</f>
        <v>7.6591141069277141E-2</v>
      </c>
      <c r="L52">
        <f>airplane!$B$23*K52/(airplane!$B$9*airplane!$B$10)</f>
        <v>4.7869463168298214</v>
      </c>
      <c r="N52">
        <f t="shared" si="0"/>
        <v>81.879000000000005</v>
      </c>
      <c r="O52">
        <f t="shared" si="1"/>
        <v>21.292337217259046</v>
      </c>
    </row>
    <row r="53" spans="10:15" x14ac:dyDescent="0.4">
      <c r="J53">
        <f t="shared" si="2"/>
        <v>250</v>
      </c>
      <c r="K53">
        <f>airplane!$B$24*airplane!$B$7/'maximum speed'!J53+airplane!$B$11*'maximum speed'!J53/airplane!$B$24</f>
        <v>7.5900088151242259E-2</v>
      </c>
      <c r="L53">
        <f>airplane!$B$23*K53/(airplane!$B$9*airplane!$B$10)</f>
        <v>4.743755509452642</v>
      </c>
      <c r="N53">
        <f t="shared" si="0"/>
        <v>83.55</v>
      </c>
      <c r="O53">
        <f t="shared" si="1"/>
        <v>21.100224506045354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4" r:id="rId4">
          <objectPr defaultSize="0" autoPict="0" r:id="rId5">
            <anchor moveWithCells="1" sizeWithCells="1">
              <from>
                <xdr:col>0</xdr:col>
                <xdr:colOff>32657</xdr:colOff>
                <xdr:row>1</xdr:row>
                <xdr:rowOff>146957</xdr:rowOff>
              </from>
              <to>
                <xdr:col>9</xdr:col>
                <xdr:colOff>261257</xdr:colOff>
                <xdr:row>25</xdr:row>
                <xdr:rowOff>119743</xdr:rowOff>
              </to>
            </anchor>
          </objectPr>
        </oleObject>
      </mc:Choice>
      <mc:Fallback>
        <oleObject progId="Word.Document.12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3"/>
  <sheetViews>
    <sheetView workbookViewId="0">
      <selection activeCell="L3" sqref="L3"/>
    </sheetView>
  </sheetViews>
  <sheetFormatPr defaultRowHeight="14.6" x14ac:dyDescent="0.4"/>
  <cols>
    <col min="1" max="1" width="22.07421875" customWidth="1"/>
    <col min="2" max="2" width="17.07421875" customWidth="1"/>
    <col min="10" max="10" width="14.53515625" customWidth="1"/>
    <col min="11" max="11" width="15.53515625" bestFit="1" customWidth="1"/>
    <col min="12" max="12" width="14.07421875" bestFit="1" customWidth="1"/>
  </cols>
  <sheetData>
    <row r="1" spans="1:15" x14ac:dyDescent="0.4">
      <c r="J1" t="s">
        <v>23</v>
      </c>
      <c r="K1" t="s">
        <v>73</v>
      </c>
      <c r="L1" t="s">
        <v>48</v>
      </c>
      <c r="N1" t="s">
        <v>23</v>
      </c>
      <c r="O1" t="s">
        <v>25</v>
      </c>
    </row>
    <row r="2" spans="1:15" x14ac:dyDescent="0.4">
      <c r="J2" t="s">
        <v>16</v>
      </c>
      <c r="L2" t="s">
        <v>52</v>
      </c>
      <c r="N2" t="s">
        <v>66</v>
      </c>
      <c r="O2" t="s">
        <v>65</v>
      </c>
    </row>
    <row r="3" spans="1:15" x14ac:dyDescent="0.4">
      <c r="J3">
        <v>0</v>
      </c>
      <c r="K3">
        <f>1.2*SQRT(2*J3/(airplane!$B$32*airplane!$B$29))</f>
        <v>0</v>
      </c>
      <c r="L3">
        <f>1/2*K3^3/(airplane!$B$30*airplane!$B$9*airplane!$B$10*airplane!$B$4)</f>
        <v>0</v>
      </c>
      <c r="N3">
        <f>J3*0.3342</f>
        <v>0</v>
      </c>
      <c r="O3">
        <f>L3*4.448</f>
        <v>0</v>
      </c>
    </row>
    <row r="4" spans="1:15" x14ac:dyDescent="0.4">
      <c r="J4">
        <f>J3+5</f>
        <v>5</v>
      </c>
      <c r="K4">
        <f>1.2*SQRT(2*J4/(airplane!$B$32*airplane!$B$29))</f>
        <v>3.4263747512916498</v>
      </c>
      <c r="L4">
        <f>1/2*K4^3/(airplane!$B$30*airplane!$B$9*airplane!$B$10*airplane!$B$4)</f>
        <v>0.42757004806924914</v>
      </c>
      <c r="N4">
        <f t="shared" ref="N4:N38" si="0">J4*0.3342</f>
        <v>1.671</v>
      </c>
      <c r="O4">
        <f t="shared" ref="O4:O38" si="1">L4*4.448</f>
        <v>1.9018315738120204</v>
      </c>
    </row>
    <row r="5" spans="1:15" x14ac:dyDescent="0.4">
      <c r="J5">
        <f t="shared" ref="J5:J53" si="2">J4+5</f>
        <v>10</v>
      </c>
      <c r="K5">
        <f>1.2*SQRT(2*J5/(airplane!$B$32*airplane!$B$29))</f>
        <v>4.8456256430493916</v>
      </c>
      <c r="L5">
        <f>1/2*K5^3/(airplane!$B$30*airplane!$B$9*airplane!$B$10*airplane!$B$4)</f>
        <v>1.2093507216880968</v>
      </c>
      <c r="N5">
        <f t="shared" si="0"/>
        <v>3.3420000000000001</v>
      </c>
      <c r="O5">
        <f t="shared" si="1"/>
        <v>5.379192010068655</v>
      </c>
    </row>
    <row r="6" spans="1:15" x14ac:dyDescent="0.4">
      <c r="A6">
        <v>26</v>
      </c>
      <c r="B6" t="s">
        <v>69</v>
      </c>
      <c r="J6">
        <f t="shared" si="2"/>
        <v>15</v>
      </c>
      <c r="K6">
        <f>1.2*SQRT(2*J6/(airplane!$B$32*airplane!$B$29))</f>
        <v>5.9346551550083131</v>
      </c>
      <c r="L6">
        <f>1/2*K6^3/(airplane!$B$30*airplane!$B$9*airplane!$B$10*airplane!$B$4)</f>
        <v>2.2217191411518202</v>
      </c>
      <c r="N6">
        <f t="shared" si="0"/>
        <v>5.0129999999999999</v>
      </c>
      <c r="O6">
        <f t="shared" si="1"/>
        <v>9.8822067398432978</v>
      </c>
    </row>
    <row r="7" spans="1:15" x14ac:dyDescent="0.4">
      <c r="A7">
        <v>27</v>
      </c>
      <c r="B7" t="s">
        <v>53</v>
      </c>
      <c r="C7">
        <v>100</v>
      </c>
      <c r="J7">
        <f t="shared" si="2"/>
        <v>20</v>
      </c>
      <c r="K7">
        <f>1.2*SQRT(2*J7/(airplane!$B$32*airplane!$B$29))</f>
        <v>6.8527495025832996</v>
      </c>
      <c r="L7">
        <f>1/2*K7^3/(airplane!$B$30*airplane!$B$9*airplane!$B$10*airplane!$B$4)</f>
        <v>3.4205603845539931</v>
      </c>
      <c r="N7">
        <f t="shared" si="0"/>
        <v>6.6840000000000002</v>
      </c>
      <c r="O7">
        <f t="shared" si="1"/>
        <v>15.214652590496163</v>
      </c>
    </row>
    <row r="8" spans="1:15" x14ac:dyDescent="0.4">
      <c r="A8">
        <v>28</v>
      </c>
      <c r="B8" t="s">
        <v>45</v>
      </c>
      <c r="C8">
        <v>1.2</v>
      </c>
      <c r="D8" t="s">
        <v>50</v>
      </c>
      <c r="J8">
        <f t="shared" si="2"/>
        <v>25</v>
      </c>
      <c r="K8">
        <f>1.2*SQRT(2*J8/(airplane!$B$32*airplane!$B$29))</f>
        <v>7.6616068602770646</v>
      </c>
      <c r="L8">
        <f>1/2*K8^3/(airplane!$B$30*airplane!$B$9*airplane!$B$10*airplane!$B$4)</f>
        <v>4.7803784631284696</v>
      </c>
      <c r="N8">
        <f t="shared" si="0"/>
        <v>8.3550000000000004</v>
      </c>
      <c r="O8">
        <f t="shared" si="1"/>
        <v>21.263123403995433</v>
      </c>
    </row>
    <row r="9" spans="1:15" x14ac:dyDescent="0.4">
      <c r="A9">
        <v>29</v>
      </c>
      <c r="B9" t="s">
        <v>46</v>
      </c>
      <c r="C9">
        <v>10</v>
      </c>
      <c r="D9" t="s">
        <v>17</v>
      </c>
      <c r="J9">
        <f t="shared" si="2"/>
        <v>30</v>
      </c>
      <c r="K9">
        <f>1.2*SQRT(2*J9/(airplane!$B$32*airplane!$B$29))</f>
        <v>8.3928698082201603</v>
      </c>
      <c r="L9">
        <f>1/2*K9^3/(airplane!$B$30*airplane!$B$9*airplane!$B$10*airplane!$B$4)</f>
        <v>6.2839706824016197</v>
      </c>
      <c r="N9">
        <f t="shared" si="0"/>
        <v>10.026</v>
      </c>
      <c r="O9">
        <f t="shared" si="1"/>
        <v>27.951101595322406</v>
      </c>
    </row>
    <row r="10" spans="1:15" x14ac:dyDescent="0.4">
      <c r="A10">
        <v>30</v>
      </c>
      <c r="B10" t="s">
        <v>47</v>
      </c>
      <c r="C10">
        <v>0</v>
      </c>
      <c r="J10">
        <f t="shared" si="2"/>
        <v>35</v>
      </c>
      <c r="K10">
        <f>1.2*SQRT(2*J10/(airplane!$B$32*airplane!$B$29))</f>
        <v>9.0653354904284935</v>
      </c>
      <c r="L10">
        <f>1/2*K10^3/(airplane!$B$30*airplane!$B$9*airplane!$B$10*airplane!$B$4)</f>
        <v>7.9187081067581637</v>
      </c>
      <c r="N10">
        <f t="shared" si="0"/>
        <v>11.696999999999999</v>
      </c>
      <c r="O10">
        <f t="shared" si="1"/>
        <v>35.222413658860319</v>
      </c>
    </row>
    <row r="11" spans="1:15" x14ac:dyDescent="0.4">
      <c r="A11">
        <v>31</v>
      </c>
      <c r="B11" t="s">
        <v>51</v>
      </c>
      <c r="C11">
        <v>1.2148561096737009</v>
      </c>
      <c r="D11" t="s">
        <v>20</v>
      </c>
      <c r="J11">
        <f t="shared" si="2"/>
        <v>40</v>
      </c>
      <c r="K11">
        <f>1.2*SQRT(2*J11/(airplane!$B$32*airplane!$B$29))</f>
        <v>9.6912512860987832</v>
      </c>
      <c r="L11">
        <f>1/2*K11^3/(airplane!$B$30*airplane!$B$9*airplane!$B$10*airplane!$B$4)</f>
        <v>9.6748057735047741</v>
      </c>
      <c r="N11">
        <f t="shared" si="0"/>
        <v>13.368</v>
      </c>
      <c r="O11">
        <f t="shared" si="1"/>
        <v>43.03353608054924</v>
      </c>
    </row>
    <row r="12" spans="1:15" x14ac:dyDescent="0.4">
      <c r="A12">
        <v>32</v>
      </c>
      <c r="B12" t="s">
        <v>72</v>
      </c>
      <c r="C12">
        <v>1.2250000000000001</v>
      </c>
      <c r="D12" t="s">
        <v>20</v>
      </c>
      <c r="J12">
        <f t="shared" si="2"/>
        <v>45</v>
      </c>
      <c r="K12">
        <f>1.2*SQRT(2*J12/(airplane!$B$32*airplane!$B$29))</f>
        <v>10.279124253874951</v>
      </c>
      <c r="L12">
        <f>1/2*K12^3/(airplane!$B$30*airplane!$B$9*airplane!$B$10*airplane!$B$4)</f>
        <v>11.544391297869733</v>
      </c>
      <c r="N12">
        <f t="shared" si="0"/>
        <v>15.039</v>
      </c>
      <c r="O12">
        <f t="shared" si="1"/>
        <v>51.349452492924577</v>
      </c>
    </row>
    <row r="13" spans="1:15" x14ac:dyDescent="0.4">
      <c r="A13">
        <v>33</v>
      </c>
      <c r="B13" t="s">
        <v>49</v>
      </c>
      <c r="C13">
        <v>1.2250000000000001</v>
      </c>
      <c r="J13">
        <f t="shared" si="2"/>
        <v>50</v>
      </c>
      <c r="K13">
        <f>1.2*SQRT(2*J13/(airplane!$B$32*airplane!$B$29))</f>
        <v>10.835148331374571</v>
      </c>
      <c r="L13">
        <f>1/2*K13^3/(airplane!$B$30*airplane!$B$9*airplane!$B$10*airplane!$B$4)</f>
        <v>13.520952111665066</v>
      </c>
      <c r="N13">
        <f t="shared" si="0"/>
        <v>16.71</v>
      </c>
      <c r="O13">
        <f t="shared" si="1"/>
        <v>60.141194992686216</v>
      </c>
    </row>
    <row r="14" spans="1:15" x14ac:dyDescent="0.4">
      <c r="J14">
        <f t="shared" si="2"/>
        <v>55</v>
      </c>
      <c r="K14">
        <f>1.2*SQRT(2*J14/(airplane!$B$32*airplane!$B$29))</f>
        <v>11.363999441181702</v>
      </c>
      <c r="L14">
        <f>1/2*K14^3/(airplane!$B$30*airplane!$B$9*airplane!$B$10*airplane!$B$4)</f>
        <v>15.598983631439136</v>
      </c>
      <c r="N14">
        <f t="shared" si="0"/>
        <v>18.381</v>
      </c>
      <c r="O14">
        <f t="shared" si="1"/>
        <v>69.384279192641287</v>
      </c>
    </row>
    <row r="15" spans="1:15" x14ac:dyDescent="0.4">
      <c r="J15">
        <f t="shared" si="2"/>
        <v>60</v>
      </c>
      <c r="K15">
        <f>1.2*SQRT(2*J15/(airplane!$B$32*airplane!$B$29))</f>
        <v>11.869310310016626</v>
      </c>
      <c r="L15">
        <f>1/2*K15^3/(airplane!$B$30*airplane!$B$9*airplane!$B$10*airplane!$B$4)</f>
        <v>17.773753129214562</v>
      </c>
      <c r="N15">
        <f t="shared" si="0"/>
        <v>20.052</v>
      </c>
      <c r="O15">
        <f t="shared" si="1"/>
        <v>79.057653918746382</v>
      </c>
    </row>
    <row r="16" spans="1:15" x14ac:dyDescent="0.4">
      <c r="J16">
        <f t="shared" si="2"/>
        <v>65</v>
      </c>
      <c r="K16">
        <f>1.2*SQRT(2*J16/(airplane!$B$32*airplane!$B$29))</f>
        <v>12.353969854737217</v>
      </c>
      <c r="L16">
        <f>1/2*K16^3/(airplane!$B$30*airplane!$B$9*airplane!$B$10*airplane!$B$4)</f>
        <v>20.041134518161648</v>
      </c>
      <c r="N16">
        <f t="shared" si="0"/>
        <v>21.722999999999999</v>
      </c>
      <c r="O16">
        <f t="shared" si="1"/>
        <v>89.142966336783019</v>
      </c>
    </row>
    <row r="17" spans="1:15" x14ac:dyDescent="0.4">
      <c r="A17" t="s">
        <v>41</v>
      </c>
      <c r="J17">
        <f t="shared" si="2"/>
        <v>70</v>
      </c>
      <c r="K17">
        <f>1.2*SQRT(2*J17/(airplane!$B$32*airplane!$B$29))</f>
        <v>12.820320398026128</v>
      </c>
      <c r="L17">
        <f>1/2*K17^3/(airplane!$B$30*airplane!$B$9*airplane!$B$10*airplane!$B$4)</f>
        <v>22.397488802102334</v>
      </c>
      <c r="N17">
        <f t="shared" si="0"/>
        <v>23.393999999999998</v>
      </c>
      <c r="O17">
        <f t="shared" si="1"/>
        <v>99.624030191751189</v>
      </c>
    </row>
    <row r="18" spans="1:15" x14ac:dyDescent="0.4">
      <c r="J18">
        <f t="shared" si="2"/>
        <v>75</v>
      </c>
      <c r="K18">
        <f>1.2*SQRT(2*J18/(airplane!$B$32*airplane!$B$29))</f>
        <v>13.27029234961814</v>
      </c>
      <c r="L18">
        <f>1/2*K18^3/(airplane!$B$30*airplane!$B$9*airplane!$B$10*airplane!$B$4)</f>
        <v>24.839575132639606</v>
      </c>
      <c r="N18">
        <f t="shared" si="0"/>
        <v>25.065000000000001</v>
      </c>
      <c r="O18">
        <f t="shared" si="1"/>
        <v>110.48643018998098</v>
      </c>
    </row>
    <row r="19" spans="1:15" x14ac:dyDescent="0.4">
      <c r="A19" t="s">
        <v>42</v>
      </c>
      <c r="J19">
        <f t="shared" si="2"/>
        <v>80</v>
      </c>
      <c r="K19">
        <f>1.2*SQRT(2*J19/(airplane!$B$32*airplane!$B$29))</f>
        <v>13.705499005166599</v>
      </c>
      <c r="L19">
        <f>1/2*K19^3/(airplane!$B$30*airplane!$B$9*airplane!$B$10*airplane!$B$4)</f>
        <v>27.364483076431945</v>
      </c>
      <c r="N19">
        <f t="shared" si="0"/>
        <v>26.736000000000001</v>
      </c>
      <c r="O19">
        <f t="shared" si="1"/>
        <v>121.71722072396931</v>
      </c>
    </row>
    <row r="20" spans="1:15" x14ac:dyDescent="0.4">
      <c r="A20" t="s">
        <v>43</v>
      </c>
      <c r="J20">
        <f t="shared" si="2"/>
        <v>85</v>
      </c>
      <c r="K20">
        <f>1.2*SQRT(2*J20/(airplane!$B$32*airplane!$B$29))</f>
        <v>14.127305012524914</v>
      </c>
      <c r="L20">
        <f>1/2*K20^3/(airplane!$B$30*airplane!$B$9*airplane!$B$10*airplane!$B$4)</f>
        <v>29.969579999178897</v>
      </c>
      <c r="N20">
        <f t="shared" si="0"/>
        <v>28.407</v>
      </c>
      <c r="O20">
        <f t="shared" si="1"/>
        <v>133.30469183634776</v>
      </c>
    </row>
    <row r="21" spans="1:15" x14ac:dyDescent="0.4">
      <c r="J21">
        <f t="shared" si="2"/>
        <v>90</v>
      </c>
      <c r="K21">
        <f>1.2*SQRT(2*J21/(airplane!$B$32*airplane!$B$29))</f>
        <v>14.536876929148175</v>
      </c>
      <c r="L21">
        <f>1/2*K21^3/(airplane!$B$30*airplane!$B$9*airplane!$B$10*airplane!$B$4)</f>
        <v>32.652469485578614</v>
      </c>
      <c r="N21">
        <f t="shared" si="0"/>
        <v>30.077999999999999</v>
      </c>
      <c r="O21">
        <f t="shared" si="1"/>
        <v>145.2381842718537</v>
      </c>
    </row>
    <row r="22" spans="1:15" x14ac:dyDescent="0.4">
      <c r="J22">
        <f t="shared" si="2"/>
        <v>95</v>
      </c>
      <c r="K22">
        <f>1.2*SQRT(2*J22/(airplane!$B$32*airplane!$B$29))</f>
        <v>14.93522128357961</v>
      </c>
      <c r="L22">
        <f>1/2*K22^3/(airplane!$B$30*airplane!$B$9*airplane!$B$10*airplane!$B$4)</f>
        <v>35.410957985555015</v>
      </c>
      <c r="N22">
        <f t="shared" si="0"/>
        <v>31.748999999999999</v>
      </c>
      <c r="O22">
        <f t="shared" si="1"/>
        <v>157.50794111974872</v>
      </c>
    </row>
    <row r="23" spans="1:15" x14ac:dyDescent="0.4">
      <c r="J23">
        <f t="shared" si="2"/>
        <v>100</v>
      </c>
      <c r="K23">
        <f>1.2*SQRT(2*J23/(airplane!$B$32*airplane!$B$29))</f>
        <v>15.323213720554129</v>
      </c>
      <c r="L23">
        <f>1/2*K23^3/(airplane!$B$30*airplane!$B$9*airplane!$B$10*airplane!$B$4)</f>
        <v>38.243027705027757</v>
      </c>
      <c r="N23">
        <f t="shared" si="0"/>
        <v>33.42</v>
      </c>
      <c r="O23">
        <f t="shared" si="1"/>
        <v>170.10498723196346</v>
      </c>
    </row>
    <row r="24" spans="1:15" x14ac:dyDescent="0.4">
      <c r="J24">
        <f t="shared" si="2"/>
        <v>105</v>
      </c>
      <c r="K24">
        <f>1.2*SQRT(2*J24/(airplane!$B$32*airplane!$B$29))</f>
        <v>15.701621657079476</v>
      </c>
      <c r="L24">
        <f>1/2*K24^3/(airplane!$B$30*airplane!$B$9*airplane!$B$10*airplane!$B$4)</f>
        <v>41.146814313638075</v>
      </c>
      <c r="N24">
        <f t="shared" si="0"/>
        <v>35.091000000000001</v>
      </c>
      <c r="O24">
        <f t="shared" si="1"/>
        <v>183.02103006706218</v>
      </c>
    </row>
    <row r="25" spans="1:15" x14ac:dyDescent="0.4">
      <c r="J25">
        <f t="shared" si="2"/>
        <v>110</v>
      </c>
      <c r="K25">
        <f>1.2*SQRT(2*J25/(airplane!$B$32*airplane!$B$29))</f>
        <v>16.071122132519438</v>
      </c>
      <c r="L25">
        <f>1/2*K25^3/(airplane!$B$30*airplane!$B$9*airplane!$B$10*airplane!$B$4)</f>
        <v>44.120588421634288</v>
      </c>
      <c r="N25">
        <f t="shared" si="0"/>
        <v>36.762</v>
      </c>
      <c r="O25">
        <f t="shared" si="1"/>
        <v>196.24837729942934</v>
      </c>
    </row>
    <row r="26" spans="1:15" x14ac:dyDescent="0.4">
      <c r="J26">
        <f t="shared" si="2"/>
        <v>115</v>
      </c>
      <c r="K26">
        <f>1.2*SQRT(2*J26/(airplane!$B$32*airplane!$B$29))</f>
        <v>16.432316042927273</v>
      </c>
      <c r="L26">
        <f>1/2*K26^3/(airplane!$B$30*airplane!$B$9*airplane!$B$10*airplane!$B$4)</f>
        <v>47.162740043961314</v>
      </c>
      <c r="N26">
        <f t="shared" si="0"/>
        <v>38.433</v>
      </c>
      <c r="O26">
        <f t="shared" si="1"/>
        <v>209.77986771553995</v>
      </c>
    </row>
    <row r="27" spans="1:15" x14ac:dyDescent="0.4">
      <c r="J27">
        <f t="shared" si="2"/>
        <v>120</v>
      </c>
      <c r="K27">
        <f>1.2*SQRT(2*J27/(airplane!$B$32*airplane!$B$29))</f>
        <v>16.785739616440321</v>
      </c>
      <c r="L27">
        <f>1/2*K27^3/(airplane!$B$30*airplane!$B$9*airplane!$B$10*airplane!$B$4)</f>
        <v>50.271765459212958</v>
      </c>
      <c r="N27">
        <f t="shared" si="0"/>
        <v>40.103999999999999</v>
      </c>
      <c r="O27">
        <f t="shared" si="1"/>
        <v>223.60881276257925</v>
      </c>
    </row>
    <row r="28" spans="1:15" x14ac:dyDescent="0.4">
      <c r="J28">
        <f t="shared" si="2"/>
        <v>125</v>
      </c>
      <c r="K28">
        <f>1.2*SQRT(2*J28/(airplane!$B$32*airplane!$B$29))</f>
        <v>17.131873756458248</v>
      </c>
      <c r="L28">
        <f>1/2*K28^3/(airplane!$B$30*airplane!$B$9*airplane!$B$10*airplane!$B$4)</f>
        <v>53.446256008656135</v>
      </c>
      <c r="N28">
        <f t="shared" si="0"/>
        <v>41.774999999999999</v>
      </c>
      <c r="O28">
        <f t="shared" si="1"/>
        <v>237.7289467265025</v>
      </c>
    </row>
    <row r="29" spans="1:15" x14ac:dyDescent="0.4">
      <c r="J29">
        <f t="shared" si="2"/>
        <v>130</v>
      </c>
      <c r="K29">
        <f>1.2*SQRT(2*J29/(airplane!$B$32*airplane!$B$29))</f>
        <v>17.471151717717749</v>
      </c>
      <c r="L29">
        <f>1/2*K29^3/(airplane!$B$30*airplane!$B$9*airplane!$B$10*airplane!$B$4)</f>
        <v>56.684888481855587</v>
      </c>
      <c r="N29">
        <f t="shared" si="0"/>
        <v>43.445999999999998</v>
      </c>
      <c r="O29">
        <f t="shared" si="1"/>
        <v>252.13438396729367</v>
      </c>
    </row>
    <row r="30" spans="1:15" x14ac:dyDescent="0.4">
      <c r="J30">
        <f t="shared" si="2"/>
        <v>135</v>
      </c>
      <c r="K30">
        <f>1.2*SQRT(2*J30/(airplane!$B$32*airplane!$B$29))</f>
        <v>17.803965465024941</v>
      </c>
      <c r="L30">
        <f>1/2*K30^3/(airplane!$B$30*airplane!$B$9*airplane!$B$10*airplane!$B$4)</f>
        <v>59.986416811099154</v>
      </c>
      <c r="N30">
        <f t="shared" si="0"/>
        <v>45.116999999999997</v>
      </c>
      <c r="O30">
        <f t="shared" si="1"/>
        <v>266.81958197576904</v>
      </c>
    </row>
    <row r="31" spans="1:15" x14ac:dyDescent="0.4">
      <c r="J31">
        <f>J30+5</f>
        <v>140</v>
      </c>
      <c r="K31">
        <f>1.2*SQRT(2*J31/(airplane!$B$32*airplane!$B$29))</f>
        <v>18.130670980856987</v>
      </c>
      <c r="L31">
        <f>1/2*K31^3/(airplane!$B$30*airplane!$B$9*airplane!$B$10*airplane!$B$4)</f>
        <v>63.34966485406531</v>
      </c>
      <c r="N31">
        <f t="shared" si="0"/>
        <v>46.787999999999997</v>
      </c>
      <c r="O31">
        <f t="shared" si="1"/>
        <v>281.77930927088255</v>
      </c>
    </row>
    <row r="32" spans="1:15" x14ac:dyDescent="0.4">
      <c r="J32">
        <f t="shared" si="2"/>
        <v>145</v>
      </c>
      <c r="K32">
        <f>1.2*SQRT(2*J32/(airplane!$B$32*airplane!$B$29))</f>
        <v>18.451592726710032</v>
      </c>
      <c r="L32">
        <f>1/2*K32^3/(airplane!$B$30*airplane!$B$9*airplane!$B$10*airplane!$B$4)</f>
        <v>66.773520087972543</v>
      </c>
      <c r="N32">
        <f t="shared" si="0"/>
        <v>48.458999999999996</v>
      </c>
      <c r="O32">
        <f t="shared" si="1"/>
        <v>297.00861735130189</v>
      </c>
    </row>
    <row r="33" spans="1:15" x14ac:dyDescent="0.4">
      <c r="J33">
        <f t="shared" si="2"/>
        <v>150</v>
      </c>
      <c r="K33">
        <f>1.2*SQRT(2*J33/(airplane!$B$32*airplane!$B$29))</f>
        <v>18.767027417485899</v>
      </c>
      <c r="L33">
        <f>1/2*K33^3/(airplane!$B$30*airplane!$B$9*airplane!$B$10*airplane!$B$4)</f>
        <v>70.25692807232879</v>
      </c>
      <c r="N33">
        <f t="shared" si="0"/>
        <v>50.13</v>
      </c>
      <c r="O33">
        <f t="shared" si="1"/>
        <v>312.50281606571849</v>
      </c>
    </row>
    <row r="34" spans="1:15" x14ac:dyDescent="0.4">
      <c r="J34">
        <f t="shared" si="2"/>
        <v>155</v>
      </c>
      <c r="K34">
        <f>1.2*SQRT(2*J34/(airplane!$B$32*airplane!$B$29))</f>
        <v>19.077247233942227</v>
      </c>
      <c r="L34">
        <f>1/2*K34^3/(airplane!$B$30*airplane!$B$9*airplane!$B$10*airplane!$B$4)</f>
        <v>73.798887563858031</v>
      </c>
      <c r="N34">
        <f t="shared" si="0"/>
        <v>51.801000000000002</v>
      </c>
      <c r="O34">
        <f t="shared" si="1"/>
        <v>328.25745188404056</v>
      </c>
    </row>
    <row r="35" spans="1:15" x14ac:dyDescent="0.4">
      <c r="B35" t="s">
        <v>77</v>
      </c>
      <c r="J35">
        <f t="shared" si="2"/>
        <v>160</v>
      </c>
      <c r="K35">
        <f>1.2*SQRT(2*J35/(airplane!$B$32*airplane!$B$29))</f>
        <v>19.382502572197566</v>
      </c>
      <c r="L35">
        <f>1/2*K35^3/(airplane!$B$30*airplane!$B$9*airplane!$B$10*airplane!$B$4)</f>
        <v>77.398446188038193</v>
      </c>
      <c r="N35">
        <f t="shared" si="0"/>
        <v>53.472000000000001</v>
      </c>
      <c r="O35">
        <f t="shared" si="1"/>
        <v>344.26828864439392</v>
      </c>
    </row>
    <row r="36" spans="1:15" x14ac:dyDescent="0.4">
      <c r="J36">
        <f t="shared" si="2"/>
        <v>165</v>
      </c>
      <c r="K36">
        <f>1.2*SQRT(2*J36/(airplane!$B$32*airplane!$B$29))</f>
        <v>19.683024409311038</v>
      </c>
      <c r="L36">
        <f>1/2*K36^3/(airplane!$B$30*airplane!$B$9*airplane!$B$10*airplane!$B$4)</f>
        <v>81.054696588263567</v>
      </c>
      <c r="N36">
        <f t="shared" si="0"/>
        <v>55.143000000000001</v>
      </c>
      <c r="O36">
        <f t="shared" si="1"/>
        <v>360.53129042459636</v>
      </c>
    </row>
    <row r="37" spans="1:15" x14ac:dyDescent="0.4">
      <c r="J37">
        <f t="shared" si="2"/>
        <v>170</v>
      </c>
      <c r="K37">
        <f>1.2*SQRT(2*J37/(airplane!$B$32*airplane!$B$29))</f>
        <v>19.979026348494141</v>
      </c>
      <c r="L37">
        <f>1/2*K37^3/(airplane!$B$30*airplane!$B$9*airplane!$B$10*airplane!$B$4)</f>
        <v>84.766772986928487</v>
      </c>
      <c r="N37">
        <f t="shared" si="0"/>
        <v>56.814</v>
      </c>
      <c r="O37">
        <f t="shared" si="1"/>
        <v>377.04260624585794</v>
      </c>
    </row>
    <row r="38" spans="1:15" x14ac:dyDescent="0.4">
      <c r="J38">
        <f t="shared" si="2"/>
        <v>175</v>
      </c>
      <c r="K38">
        <f>1.2*SQRT(2*J38/(airplane!$B$32*airplane!$B$29))</f>
        <v>20.270706395439507</v>
      </c>
      <c r="L38">
        <f>1/2*K38^3/(airplane!$B$30*airplane!$B$9*airplane!$B$10*airplane!$B$4)</f>
        <v>88.5338481034496</v>
      </c>
      <c r="N38">
        <f t="shared" si="0"/>
        <v>58.484999999999999</v>
      </c>
      <c r="O38">
        <f t="shared" si="1"/>
        <v>393.79855636414385</v>
      </c>
    </row>
    <row r="39" spans="1:15" x14ac:dyDescent="0.4">
      <c r="J39">
        <f t="shared" si="2"/>
        <v>180</v>
      </c>
      <c r="K39">
        <f>1.2*SQRT(2*J39/(airplane!$B$32*airplane!$B$29))</f>
        <v>20.558248507749902</v>
      </c>
      <c r="L39">
        <f>1/2*K39^3/(airplane!$B$30*airplane!$B$9*airplane!$B$10*airplane!$B$4)</f>
        <v>92.355130382957867</v>
      </c>
      <c r="N39">
        <f>J39*0.3342</f>
        <v>60.155999999999999</v>
      </c>
      <c r="O39">
        <f>L39*4.448</f>
        <v>410.79561994339662</v>
      </c>
    </row>
    <row r="40" spans="1:15" x14ac:dyDescent="0.4">
      <c r="A40" t="s">
        <v>40</v>
      </c>
      <c r="J40">
        <f t="shared" si="2"/>
        <v>185</v>
      </c>
      <c r="K40">
        <f>1.2*SQRT(2*J40/(airplane!$B$32*airplane!$B$29))</f>
        <v>20.84182395191673</v>
      </c>
      <c r="L40">
        <f>1/2*K40^3/(airplane!$B$30*airplane!$B$9*airplane!$B$10*airplane!$B$4)</f>
        <v>96.229861496517202</v>
      </c>
      <c r="N40">
        <f t="shared" ref="N40:N53" si="3">J40*0.3342</f>
        <v>61.826999999999998</v>
      </c>
      <c r="O40">
        <f t="shared" ref="O40:O53" si="4">L40*4.448</f>
        <v>428.03042393650856</v>
      </c>
    </row>
    <row r="41" spans="1:15" x14ac:dyDescent="0.4">
      <c r="J41">
        <f t="shared" si="2"/>
        <v>190</v>
      </c>
      <c r="K41">
        <f>1.2*SQRT(2*J41/(airplane!$B$32*airplane!$B$29))</f>
        <v>21.12159249628159</v>
      </c>
      <c r="L41">
        <f>1/2*K41^3/(airplane!$B$30*airplane!$B$9*airplane!$B$10*airplane!$B$4)</f>
        <v>100.15731407959152</v>
      </c>
      <c r="N41">
        <f t="shared" si="3"/>
        <v>63.497999999999998</v>
      </c>
      <c r="O41">
        <f t="shared" si="4"/>
        <v>445.49973302602308</v>
      </c>
    </row>
    <row r="42" spans="1:15" x14ac:dyDescent="0.4">
      <c r="J42">
        <f t="shared" si="2"/>
        <v>195</v>
      </c>
      <c r="K42">
        <f>1.2*SQRT(2*J42/(airplane!$B$32*airplane!$B$29))</f>
        <v>21.397703463579159</v>
      </c>
      <c r="L42">
        <f>1/2*K42^3/(airplane!$B$30*airplane!$B$9*airplane!$B$10*airplane!$B$4)</f>
        <v>104.1367896803351</v>
      </c>
      <c r="N42">
        <f t="shared" si="3"/>
        <v>65.168999999999997</v>
      </c>
      <c r="O42">
        <f t="shared" si="4"/>
        <v>463.20044049813055</v>
      </c>
    </row>
    <row r="43" spans="1:15" x14ac:dyDescent="0.4">
      <c r="D43" t="s">
        <v>74</v>
      </c>
      <c r="J43">
        <f t="shared" si="2"/>
        <v>200</v>
      </c>
      <c r="K43">
        <f>1.2*SQRT(2*J43/(airplane!$B$32*airplane!$B$29))</f>
        <v>21.670296662749141</v>
      </c>
      <c r="L43">
        <f>1/2*K43^3/(airplane!$B$30*airplane!$B$9*airplane!$B$10*airplane!$B$4)</f>
        <v>108.16761689332053</v>
      </c>
      <c r="N43">
        <f t="shared" si="3"/>
        <v>66.84</v>
      </c>
      <c r="O43">
        <f t="shared" si="4"/>
        <v>481.12955994148973</v>
      </c>
    </row>
    <row r="44" spans="1:15" x14ac:dyDescent="0.4">
      <c r="J44">
        <f t="shared" si="2"/>
        <v>205</v>
      </c>
      <c r="K44">
        <f>1.2*SQRT(2*J44/(airplane!$B$32*airplane!$B$29))</f>
        <v>21.939503216523509</v>
      </c>
      <c r="L44">
        <f>1/2*K44^3/(airplane!$B$30*airplane!$B$9*airplane!$B$10*airplane!$B$4)</f>
        <v>112.24914965769401</v>
      </c>
      <c r="N44">
        <f t="shared" si="3"/>
        <v>68.510999999999996</v>
      </c>
      <c r="O44">
        <f t="shared" si="4"/>
        <v>499.28421767742299</v>
      </c>
    </row>
    <row r="45" spans="1:15" x14ac:dyDescent="0.4">
      <c r="J45">
        <f t="shared" si="2"/>
        <v>210</v>
      </c>
      <c r="K45">
        <f>1.2*SQRT(2*J45/(airplane!$B$32*airplane!$B$29))</f>
        <v>22.205446298692905</v>
      </c>
      <c r="L45">
        <f>1/2*K45^3/(airplane!$B$30*airplane!$B$9*airplane!$B$10*airplane!$B$4)</f>
        <v>116.38076570158871</v>
      </c>
      <c r="N45">
        <f t="shared" si="3"/>
        <v>70.182000000000002</v>
      </c>
      <c r="O45">
        <f t="shared" si="4"/>
        <v>517.66164584066667</v>
      </c>
    </row>
    <row r="46" spans="1:15" x14ac:dyDescent="0.4">
      <c r="J46">
        <f t="shared" si="2"/>
        <v>215</v>
      </c>
      <c r="K46">
        <f>1.2*SQRT(2*J46/(airplane!$B$32*airplane!$B$29))</f>
        <v>22.468241792815551</v>
      </c>
      <c r="L46">
        <f>1/2*K46^3/(airplane!$B$30*airplane!$B$9*airplane!$B$10*airplane!$B$4)</f>
        <v>120.56186511701895</v>
      </c>
      <c r="N46">
        <f t="shared" si="3"/>
        <v>71.852999999999994</v>
      </c>
      <c r="O46">
        <f t="shared" si="4"/>
        <v>536.25917604050039</v>
      </c>
    </row>
    <row r="47" spans="1:15" x14ac:dyDescent="0.4">
      <c r="J47">
        <f t="shared" si="2"/>
        <v>220</v>
      </c>
      <c r="K47">
        <f>1.2*SQRT(2*J47/(airplane!$B$32*airplane!$B$29))</f>
        <v>22.727998882363405</v>
      </c>
      <c r="L47">
        <f>1/2*K47^3/(airplane!$B$30*airplane!$B$9*airplane!$B$10*airplane!$B$4)</f>
        <v>124.79186905151309</v>
      </c>
      <c r="N47">
        <f t="shared" si="3"/>
        <v>73.524000000000001</v>
      </c>
      <c r="O47">
        <f t="shared" si="4"/>
        <v>555.0742335411303</v>
      </c>
    </row>
    <row r="48" spans="1:15" x14ac:dyDescent="0.4">
      <c r="J48">
        <f t="shared" si="2"/>
        <v>225</v>
      </c>
      <c r="K48">
        <f>1.2*SQRT(2*J48/(airplane!$B$32*airplane!$B$29))</f>
        <v>22.98482058083119</v>
      </c>
      <c r="L48">
        <f>1/2*K48^3/(airplane!$B$30*airplane!$B$9*airplane!$B$10*airplane!$B$4)</f>
        <v>129.07021850446864</v>
      </c>
      <c r="N48">
        <f t="shared" si="3"/>
        <v>75.194999999999993</v>
      </c>
      <c r="O48">
        <f t="shared" si="4"/>
        <v>574.1043319078766</v>
      </c>
    </row>
    <row r="49" spans="10:15" x14ac:dyDescent="0.4">
      <c r="J49">
        <f t="shared" si="2"/>
        <v>230</v>
      </c>
      <c r="K49">
        <f>1.2*SQRT(2*J49/(airplane!$B$32*airplane!$B$29))</f>
        <v>23.238804209108743</v>
      </c>
      <c r="L49">
        <f>1/2*K49^3/(airplane!$B$30*airplane!$B$9*airplane!$B$10*airplane!$B$4)</f>
        <v>133.39637321769354</v>
      </c>
      <c r="N49">
        <f t="shared" si="3"/>
        <v>76.866</v>
      </c>
      <c r="O49">
        <f t="shared" si="4"/>
        <v>593.34706807230089</v>
      </c>
    </row>
    <row r="50" spans="10:15" x14ac:dyDescent="0.4">
      <c r="J50">
        <f t="shared" si="2"/>
        <v>235</v>
      </c>
      <c r="K50">
        <f>1.2*SQRT(2*J50/(airplane!$B$32*airplane!$B$29))</f>
        <v>23.490041826390584</v>
      </c>
      <c r="L50">
        <f>1/2*K50^3/(airplane!$B$30*airplane!$B$9*airplane!$B$10*airplane!$B$4)</f>
        <v>137.76981065086326</v>
      </c>
      <c r="N50">
        <f t="shared" si="3"/>
        <v>78.537000000000006</v>
      </c>
      <c r="O50">
        <f t="shared" si="4"/>
        <v>612.80011777503989</v>
      </c>
    </row>
    <row r="51" spans="10:15" x14ac:dyDescent="0.4">
      <c r="J51">
        <f t="shared" si="2"/>
        <v>240</v>
      </c>
      <c r="K51">
        <f>1.2*SQRT(2*J51/(airplane!$B$32*airplane!$B$29))</f>
        <v>23.738620620033252</v>
      </c>
      <c r="L51">
        <f>1/2*K51^3/(airplane!$B$30*airplane!$B$9*airplane!$B$10*airplane!$B$4)</f>
        <v>142.19002503371649</v>
      </c>
      <c r="N51">
        <f t="shared" si="3"/>
        <v>80.207999999999998</v>
      </c>
      <c r="O51">
        <f t="shared" si="4"/>
        <v>632.46123134997106</v>
      </c>
    </row>
    <row r="52" spans="10:15" x14ac:dyDescent="0.4">
      <c r="J52">
        <f t="shared" si="2"/>
        <v>245</v>
      </c>
      <c r="K52">
        <f>1.2*SQRT(2*J52/(airplane!$B$32*airplane!$B$29))</f>
        <v>23.984623259041548</v>
      </c>
      <c r="L52">
        <f>1/2*K52^3/(airplane!$B$30*airplane!$B$9*airplane!$B$10*airplane!$B$4)</f>
        <v>146.65652648775244</v>
      </c>
      <c r="N52">
        <f t="shared" si="3"/>
        <v>81.879000000000005</v>
      </c>
      <c r="O52">
        <f t="shared" si="4"/>
        <v>652.32822981752292</v>
      </c>
    </row>
    <row r="53" spans="10:15" x14ac:dyDescent="0.4">
      <c r="J53">
        <f t="shared" si="2"/>
        <v>250</v>
      </c>
      <c r="K53">
        <f>1.2*SQRT(2*J53/(airplane!$B$32*airplane!$B$29))</f>
        <v>24.228128215246958</v>
      </c>
      <c r="L53">
        <f>1/2*K53^3/(airplane!$B$30*airplane!$B$9*airplane!$B$10*airplane!$B$4)</f>
        <v>151.16884021101208</v>
      </c>
      <c r="N53">
        <f t="shared" si="3"/>
        <v>83.55</v>
      </c>
      <c r="O53">
        <f t="shared" si="4"/>
        <v>672.39900125858185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9" r:id="rId4">
          <objectPr defaultSize="0" autoPict="0" r:id="rId5">
            <anchor moveWithCells="1" sizeWithCells="1">
              <from>
                <xdr:col>0</xdr:col>
                <xdr:colOff>604157</xdr:colOff>
                <xdr:row>21</xdr:row>
                <xdr:rowOff>59871</xdr:rowOff>
              </from>
              <to>
                <xdr:col>5</xdr:col>
                <xdr:colOff>342900</xdr:colOff>
                <xdr:row>26</xdr:row>
                <xdr:rowOff>146957</xdr:rowOff>
              </to>
            </anchor>
          </objectPr>
        </oleObject>
      </mc:Choice>
      <mc:Fallback>
        <oleObject progId="Equation.3" shapeId="4099" r:id="rId4"/>
      </mc:Fallback>
    </mc:AlternateContent>
    <mc:AlternateContent xmlns:mc="http://schemas.openxmlformats.org/markup-compatibility/2006">
      <mc:Choice Requires="x14">
        <oleObject progId="Equation.3" shapeId="4102" r:id="rId6">
          <objectPr defaultSize="0" autoPict="0" r:id="rId7">
            <anchor moveWithCells="1" sizeWithCells="1">
              <from>
                <xdr:col>0</xdr:col>
                <xdr:colOff>451757</xdr:colOff>
                <xdr:row>27</xdr:row>
                <xdr:rowOff>108857</xdr:rowOff>
              </from>
              <to>
                <xdr:col>9</xdr:col>
                <xdr:colOff>266700</xdr:colOff>
                <xdr:row>32</xdr:row>
                <xdr:rowOff>76200</xdr:rowOff>
              </to>
            </anchor>
          </objectPr>
        </oleObject>
      </mc:Choice>
      <mc:Fallback>
        <oleObject progId="Equation.3" shapeId="4102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:N53"/>
  <sheetViews>
    <sheetView workbookViewId="0">
      <selection activeCell="K4" sqref="K4"/>
    </sheetView>
  </sheetViews>
  <sheetFormatPr defaultRowHeight="14.6" x14ac:dyDescent="0.4"/>
  <cols>
    <col min="9" max="9" width="14.53515625" customWidth="1"/>
  </cols>
  <sheetData>
    <row r="1" spans="9:14" x14ac:dyDescent="0.4">
      <c r="I1" t="s">
        <v>23</v>
      </c>
      <c r="J1" t="s">
        <v>58</v>
      </c>
      <c r="K1" t="s">
        <v>25</v>
      </c>
      <c r="M1" t="s">
        <v>23</v>
      </c>
      <c r="N1" t="s">
        <v>25</v>
      </c>
    </row>
    <row r="2" spans="9:14" x14ac:dyDescent="0.4">
      <c r="I2" t="s">
        <v>16</v>
      </c>
      <c r="M2" t="s">
        <v>66</v>
      </c>
      <c r="N2" t="s">
        <v>65</v>
      </c>
    </row>
    <row r="3" spans="9:14" x14ac:dyDescent="0.4">
      <c r="I3">
        <v>0</v>
      </c>
      <c r="J3">
        <f>SQRT(2*I3/airplane!$B$38/airplane!$B$40)</f>
        <v>0</v>
      </c>
      <c r="K3">
        <f>J3/(airplane!$B$39*airplane!$B$10*airplane!$B$9*airplane!$B$12*SQRT(airplane!$B$38))</f>
        <v>0</v>
      </c>
      <c r="M3">
        <f>I3*0.3342</f>
        <v>0</v>
      </c>
      <c r="N3">
        <f>K3*4.448</f>
        <v>0</v>
      </c>
    </row>
    <row r="4" spans="9:14" x14ac:dyDescent="0.4">
      <c r="I4">
        <f>I3+5</f>
        <v>5</v>
      </c>
      <c r="J4">
        <f>SQRT(2*I4/airplane!$B$38/airplane!$B$40)</f>
        <v>2.7797457648720529</v>
      </c>
      <c r="K4">
        <f>J4/(airplane!$B$39*airplane!$B$10*airplane!$B$9*airplane!$B$12*SQRT(airplane!$B$38))</f>
        <v>0.39104709370547958</v>
      </c>
      <c r="M4">
        <f t="shared" ref="M4:M36" si="0">I4*0.3342</f>
        <v>1.671</v>
      </c>
      <c r="N4">
        <f t="shared" ref="N4:N36" si="1">K4*4.448</f>
        <v>1.7393774728019733</v>
      </c>
    </row>
    <row r="5" spans="9:14" x14ac:dyDescent="0.4">
      <c r="I5">
        <f t="shared" ref="I5:I53" si="2">I4+5</f>
        <v>10</v>
      </c>
      <c r="J5">
        <f>SQRT(2*I5/airplane!$B$38/airplane!$B$40)</f>
        <v>3.9311541606312295</v>
      </c>
      <c r="K5">
        <f>J5/(airplane!$B$39*airplane!$B$10*airplane!$B$9*airplane!$B$12*SQRT(airplane!$B$38))</f>
        <v>0.55302410344487174</v>
      </c>
      <c r="M5">
        <f t="shared" si="0"/>
        <v>3.3420000000000001</v>
      </c>
      <c r="N5">
        <f t="shared" si="1"/>
        <v>2.4598512121227896</v>
      </c>
    </row>
    <row r="6" spans="9:14" x14ac:dyDescent="0.4">
      <c r="I6">
        <f t="shared" si="2"/>
        <v>15</v>
      </c>
      <c r="J6">
        <f>SQRT(2*I6/airplane!$B$38/airplane!$B$40)</f>
        <v>4.8146608968828053</v>
      </c>
      <c r="K6">
        <f>J6/(airplane!$B$39*airplane!$B$10*airplane!$B$9*airplane!$B$12*SQRT(airplane!$B$38))</f>
        <v>0.67731343445003833</v>
      </c>
      <c r="M6">
        <f t="shared" si="0"/>
        <v>5.0129999999999999</v>
      </c>
      <c r="N6">
        <f t="shared" si="1"/>
        <v>3.0126901564337709</v>
      </c>
    </row>
    <row r="7" spans="9:14" x14ac:dyDescent="0.4">
      <c r="I7">
        <f t="shared" si="2"/>
        <v>20</v>
      </c>
      <c r="J7">
        <f>SQRT(2*I7/airplane!$B$38/airplane!$B$40)</f>
        <v>5.5594915297441059</v>
      </c>
      <c r="K7">
        <f>J7/(airplane!$B$39*airplane!$B$10*airplane!$B$9*airplane!$B$12*SQRT(airplane!$B$38))</f>
        <v>0.78209418741095915</v>
      </c>
      <c r="M7">
        <f t="shared" si="0"/>
        <v>6.6840000000000002</v>
      </c>
      <c r="N7">
        <f t="shared" si="1"/>
        <v>3.4787549456039466</v>
      </c>
    </row>
    <row r="8" spans="9:14" x14ac:dyDescent="0.4">
      <c r="I8">
        <f t="shared" si="2"/>
        <v>25</v>
      </c>
      <c r="J8">
        <f>SQRT(2*I8/airplane!$B$38/airplane!$B$40)</f>
        <v>6.2157004904210575</v>
      </c>
      <c r="K8">
        <f>J8/(airplane!$B$39*airplane!$B$10*airplane!$B$9*airplane!$B$12*SQRT(airplane!$B$38))</f>
        <v>0.87440788392918256</v>
      </c>
      <c r="M8">
        <f t="shared" si="0"/>
        <v>8.3550000000000004</v>
      </c>
      <c r="N8">
        <f t="shared" si="1"/>
        <v>3.8893662677170044</v>
      </c>
    </row>
    <row r="9" spans="9:14" x14ac:dyDescent="0.4">
      <c r="I9">
        <f t="shared" si="2"/>
        <v>30</v>
      </c>
      <c r="J9">
        <f>SQRT(2*I9/airplane!$B$38/airplane!$B$40)</f>
        <v>6.8089587385990731</v>
      </c>
      <c r="K9">
        <f>J9/(airplane!$B$39*airplane!$B$10*airplane!$B$9*airplane!$B$12*SQRT(airplane!$B$38))</f>
        <v>0.95786584497674443</v>
      </c>
      <c r="M9">
        <f t="shared" si="0"/>
        <v>10.026</v>
      </c>
      <c r="N9">
        <f t="shared" si="1"/>
        <v>4.2605872784565593</v>
      </c>
    </row>
    <row r="10" spans="9:14" x14ac:dyDescent="0.4">
      <c r="I10">
        <f t="shared" si="2"/>
        <v>35</v>
      </c>
      <c r="J10">
        <f>SQRT(2*I10/airplane!$B$38/airplane!$B$40)</f>
        <v>7.354516001836477</v>
      </c>
      <c r="K10">
        <f>J10/(airplane!$B$39*airplane!$B$10*airplane!$B$9*airplane!$B$12*SQRT(airplane!$B$38))</f>
        <v>1.0346133608592705</v>
      </c>
      <c r="M10">
        <f t="shared" si="0"/>
        <v>11.696999999999999</v>
      </c>
      <c r="N10">
        <f t="shared" si="1"/>
        <v>4.6019602291020352</v>
      </c>
    </row>
    <row r="11" spans="9:14" x14ac:dyDescent="0.4">
      <c r="I11">
        <f t="shared" si="2"/>
        <v>40</v>
      </c>
      <c r="J11">
        <f>SQRT(2*I11/airplane!$B$38/airplane!$B$40)</f>
        <v>7.8623083212624589</v>
      </c>
      <c r="K11">
        <f>J11/(airplane!$B$39*airplane!$B$10*airplane!$B$9*airplane!$B$12*SQRT(airplane!$B$38))</f>
        <v>1.1060482068897435</v>
      </c>
      <c r="M11">
        <f t="shared" si="0"/>
        <v>13.368</v>
      </c>
      <c r="N11">
        <f t="shared" si="1"/>
        <v>4.9197024242455791</v>
      </c>
    </row>
    <row r="12" spans="9:14" x14ac:dyDescent="0.4">
      <c r="I12">
        <f t="shared" si="2"/>
        <v>45</v>
      </c>
      <c r="J12">
        <f>SQRT(2*I12/airplane!$B$38/airplane!$B$40)</f>
        <v>8.3392372946161597</v>
      </c>
      <c r="K12">
        <f>J12/(airplane!$B$39*airplane!$B$10*airplane!$B$9*airplane!$B$12*SQRT(airplane!$B$38))</f>
        <v>1.173141281116439</v>
      </c>
      <c r="M12">
        <f t="shared" si="0"/>
        <v>15.039</v>
      </c>
      <c r="N12">
        <f t="shared" si="1"/>
        <v>5.2181324184059212</v>
      </c>
    </row>
    <row r="13" spans="9:14" x14ac:dyDescent="0.4">
      <c r="I13">
        <f t="shared" si="2"/>
        <v>50</v>
      </c>
      <c r="J13">
        <f>SQRT(2*I13/airplane!$B$38/airplane!$B$40)</f>
        <v>8.7903279332025566</v>
      </c>
      <c r="K13">
        <f>J13/(airplane!$B$39*airplane!$B$10*airplane!$B$9*airplane!$B$12*SQRT(airplane!$B$38))</f>
        <v>1.2365994884986089</v>
      </c>
      <c r="M13">
        <f t="shared" si="0"/>
        <v>16.71</v>
      </c>
      <c r="N13">
        <f t="shared" si="1"/>
        <v>5.5003945248418127</v>
      </c>
    </row>
    <row r="14" spans="9:14" x14ac:dyDescent="0.4">
      <c r="I14">
        <f t="shared" si="2"/>
        <v>55</v>
      </c>
      <c r="J14">
        <f>SQRT(2*I14/airplane!$B$38/airplane!$B$40)</f>
        <v>9.2193737146600832</v>
      </c>
      <c r="K14">
        <f>J14/(airplane!$B$39*airplane!$B$10*airplane!$B$9*airplane!$B$12*SQRT(airplane!$B$38))</f>
        <v>1.2969564851800246</v>
      </c>
      <c r="M14">
        <f t="shared" si="0"/>
        <v>18.381</v>
      </c>
      <c r="N14">
        <f t="shared" si="1"/>
        <v>5.7688624460807496</v>
      </c>
    </row>
    <row r="15" spans="9:14" x14ac:dyDescent="0.4">
      <c r="I15">
        <f t="shared" si="2"/>
        <v>60</v>
      </c>
      <c r="J15">
        <f>SQRT(2*I15/airplane!$B$38/airplane!$B$40)</f>
        <v>9.6293217937656106</v>
      </c>
      <c r="K15">
        <f>J15/(airplane!$B$39*airplane!$B$10*airplane!$B$9*airplane!$B$12*SQRT(airplane!$B$38))</f>
        <v>1.3546268689000767</v>
      </c>
      <c r="M15">
        <f t="shared" si="0"/>
        <v>20.052</v>
      </c>
      <c r="N15">
        <f t="shared" si="1"/>
        <v>6.0253803128675418</v>
      </c>
    </row>
    <row r="16" spans="9:14" x14ac:dyDescent="0.4">
      <c r="I16">
        <f t="shared" si="2"/>
        <v>65</v>
      </c>
      <c r="J16">
        <f>SQRT(2*I16/airplane!$B$38/airplane!$B$40)</f>
        <v>10.022515888000052</v>
      </c>
      <c r="K16">
        <f>J16/(airplane!$B$39*airplane!$B$10*airplane!$B$9*airplane!$B$12*SQRT(airplane!$B$38))</f>
        <v>1.4099403474762779</v>
      </c>
      <c r="M16">
        <f t="shared" si="0"/>
        <v>21.722999999999999</v>
      </c>
      <c r="N16">
        <f t="shared" si="1"/>
        <v>6.2714146655744845</v>
      </c>
    </row>
    <row r="17" spans="9:14" x14ac:dyDescent="0.4">
      <c r="I17">
        <f t="shared" si="2"/>
        <v>70</v>
      </c>
      <c r="J17">
        <f>SQRT(2*I17/airplane!$B$38/airplane!$B$40)</f>
        <v>10.400856274487095</v>
      </c>
      <c r="K17">
        <f>J17/(airplane!$B$39*airplane!$B$10*airplane!$B$9*airplane!$B$12*SQRT(airplane!$B$38))</f>
        <v>1.4631642467395891</v>
      </c>
      <c r="M17">
        <f t="shared" si="0"/>
        <v>23.393999999999998</v>
      </c>
      <c r="N17">
        <f t="shared" si="1"/>
        <v>6.5081545694976928</v>
      </c>
    </row>
    <row r="18" spans="9:14" x14ac:dyDescent="0.4">
      <c r="I18">
        <f t="shared" si="2"/>
        <v>75</v>
      </c>
      <c r="J18">
        <f>SQRT(2*I18/airplane!$B$38/airplane!$B$40)</f>
        <v>10.765909054040058</v>
      </c>
      <c r="K18">
        <f>J18/(airplane!$B$39*airplane!$B$10*airplane!$B$9*airplane!$B$12*SQRT(airplane!$B$38))</f>
        <v>1.5145188815041335</v>
      </c>
      <c r="M18">
        <f t="shared" si="0"/>
        <v>25.065000000000001</v>
      </c>
      <c r="N18">
        <f t="shared" si="1"/>
        <v>6.736579984930386</v>
      </c>
    </row>
    <row r="19" spans="9:14" x14ac:dyDescent="0.4">
      <c r="I19">
        <f t="shared" si="2"/>
        <v>80</v>
      </c>
      <c r="J19">
        <f>SQRT(2*I19/airplane!$B$38/airplane!$B$40)</f>
        <v>11.118983059488212</v>
      </c>
      <c r="K19">
        <f>J19/(airplane!$B$39*airplane!$B$10*airplane!$B$9*airplane!$B$12*SQRT(airplane!$B$38))</f>
        <v>1.5641883748219183</v>
      </c>
      <c r="M19">
        <f t="shared" si="0"/>
        <v>26.736000000000001</v>
      </c>
      <c r="N19">
        <f t="shared" si="1"/>
        <v>6.9575098912078932</v>
      </c>
    </row>
    <row r="20" spans="9:14" x14ac:dyDescent="0.4">
      <c r="I20">
        <f t="shared" si="2"/>
        <v>85</v>
      </c>
      <c r="J20">
        <f>SQRT(2*I20/airplane!$B$38/airplane!$B$40)</f>
        <v>11.461185400930828</v>
      </c>
      <c r="K20">
        <f>J20/(airplane!$B$39*airplane!$B$10*airplane!$B$9*airplane!$B$12*SQRT(airplane!$B$38))</f>
        <v>1.6123284719384994</v>
      </c>
      <c r="M20">
        <f t="shared" si="0"/>
        <v>28.407</v>
      </c>
      <c r="N20">
        <f t="shared" si="1"/>
        <v>7.1716370431824457</v>
      </c>
    </row>
    <row r="21" spans="9:14" x14ac:dyDescent="0.4">
      <c r="I21">
        <f t="shared" si="2"/>
        <v>90</v>
      </c>
      <c r="J21">
        <f>SQRT(2*I21/airplane!$B$38/airplane!$B$40)</f>
        <v>11.793462481893689</v>
      </c>
      <c r="K21">
        <f>J21/(airplane!$B$39*airplane!$B$10*airplane!$B$9*airplane!$B$12*SQRT(airplane!$B$38))</f>
        <v>1.6590723103346154</v>
      </c>
      <c r="M21">
        <f t="shared" si="0"/>
        <v>30.077999999999999</v>
      </c>
      <c r="N21">
        <f t="shared" si="1"/>
        <v>7.37955363636837</v>
      </c>
    </row>
    <row r="22" spans="9:14" x14ac:dyDescent="0.4">
      <c r="I22">
        <f t="shared" si="2"/>
        <v>95</v>
      </c>
      <c r="J22">
        <f>SQRT(2*I22/airplane!$B$38/airplane!$B$40)</f>
        <v>12.116630877812453</v>
      </c>
      <c r="K22">
        <f>J22/(airplane!$B$39*airplane!$B$10*airplane!$B$9*airplane!$B$12*SQRT(airplane!$B$38))</f>
        <v>1.7045347636274657</v>
      </c>
      <c r="M22">
        <f t="shared" si="0"/>
        <v>31.748999999999999</v>
      </c>
      <c r="N22">
        <f t="shared" si="1"/>
        <v>7.5817706286149678</v>
      </c>
    </row>
    <row r="23" spans="9:14" x14ac:dyDescent="0.4">
      <c r="I23">
        <f t="shared" si="2"/>
        <v>100</v>
      </c>
      <c r="J23">
        <f>SQRT(2*I23/airplane!$B$38/airplane!$B$40)</f>
        <v>12.431400980842115</v>
      </c>
      <c r="K23">
        <f>J23/(airplane!$B$39*airplane!$B$10*airplane!$B$9*airplane!$B$12*SQRT(airplane!$B$38))</f>
        <v>1.7488157678583651</v>
      </c>
      <c r="M23">
        <f t="shared" si="0"/>
        <v>33.42</v>
      </c>
      <c r="N23">
        <f t="shared" si="1"/>
        <v>7.7787325354340089</v>
      </c>
    </row>
    <row r="24" spans="9:14" x14ac:dyDescent="0.4">
      <c r="I24">
        <f t="shared" si="2"/>
        <v>105</v>
      </c>
      <c r="J24">
        <f>SQRT(2*I24/airplane!$B$38/airplane!$B$40)</f>
        <v>12.738395380259099</v>
      </c>
      <c r="K24">
        <f>J24/(airplane!$B$39*airplane!$B$10*airplane!$B$9*airplane!$B$12*SQRT(airplane!$B$38))</f>
        <v>1.7920029071978494</v>
      </c>
      <c r="M24">
        <f t="shared" si="0"/>
        <v>35.091000000000001</v>
      </c>
      <c r="N24">
        <f t="shared" si="1"/>
        <v>7.970828931216035</v>
      </c>
    </row>
    <row r="25" spans="9:14" x14ac:dyDescent="0.4">
      <c r="I25">
        <f t="shared" si="2"/>
        <v>110</v>
      </c>
      <c r="J25">
        <f>SQRT(2*I25/airplane!$B$38/airplane!$B$40)</f>
        <v>13.03816334385831</v>
      </c>
      <c r="K25">
        <f>J25/(airplane!$B$39*airplane!$B$10*airplane!$B$9*airplane!$B$12*SQRT(airplane!$B$38))</f>
        <v>1.8341734511493308</v>
      </c>
      <c r="M25">
        <f t="shared" si="0"/>
        <v>36.762</v>
      </c>
      <c r="N25">
        <f t="shared" si="1"/>
        <v>8.1584035107122244</v>
      </c>
    </row>
    <row r="26" spans="9:14" x14ac:dyDescent="0.4">
      <c r="I26">
        <f t="shared" si="2"/>
        <v>115</v>
      </c>
      <c r="J26">
        <f>SQRT(2*I26/airplane!$B$38/airplane!$B$40)</f>
        <v>13.331192365968418</v>
      </c>
      <c r="K26">
        <f>J26/(airplane!$B$39*airplane!$B$10*airplane!$B$9*airplane!$B$12*SQRT(airplane!$B$38))</f>
        <v>1.8753959790925618</v>
      </c>
      <c r="M26">
        <f t="shared" si="0"/>
        <v>38.433</v>
      </c>
      <c r="N26">
        <f t="shared" si="1"/>
        <v>8.3417613150037155</v>
      </c>
    </row>
    <row r="27" spans="9:14" x14ac:dyDescent="0.4">
      <c r="I27">
        <f t="shared" si="2"/>
        <v>120</v>
      </c>
      <c r="J27">
        <f>SQRT(2*I27/airplane!$B$38/airplane!$B$40)</f>
        <v>13.617917477198146</v>
      </c>
      <c r="K27">
        <f>J27/(airplane!$B$39*airplane!$B$10*airplane!$B$9*airplane!$B$12*SQRT(airplane!$B$38))</f>
        <v>1.9157316899534889</v>
      </c>
      <c r="M27">
        <f t="shared" si="0"/>
        <v>40.103999999999999</v>
      </c>
      <c r="N27">
        <f t="shared" si="1"/>
        <v>8.5211745569131185</v>
      </c>
    </row>
    <row r="28" spans="9:14" x14ac:dyDescent="0.4">
      <c r="I28">
        <f t="shared" si="2"/>
        <v>125</v>
      </c>
      <c r="J28">
        <f>SQRT(2*I28/airplane!$B$38/airplane!$B$40)</f>
        <v>13.898728824360266</v>
      </c>
      <c r="K28">
        <f>J28/(airplane!$B$39*airplane!$B$10*airplane!$B$9*airplane!$B$12*SQRT(airplane!$B$38))</f>
        <v>1.955235468527398</v>
      </c>
      <c r="M28">
        <f t="shared" si="0"/>
        <v>41.774999999999999</v>
      </c>
      <c r="N28">
        <f t="shared" si="1"/>
        <v>8.6968873640098678</v>
      </c>
    </row>
    <row r="29" spans="9:14" x14ac:dyDescent="0.4">
      <c r="I29">
        <f t="shared" si="2"/>
        <v>130</v>
      </c>
      <c r="J29">
        <f>SQRT(2*I29/airplane!$B$38/airplane!$B$40)</f>
        <v>14.173977897909499</v>
      </c>
      <c r="K29">
        <f>J29/(airplane!$B$39*airplane!$B$10*airplane!$B$9*airplane!$B$12*SQRT(airplane!$B$38))</f>
        <v>1.9939567615379867</v>
      </c>
      <c r="M29">
        <f t="shared" si="0"/>
        <v>43.445999999999998</v>
      </c>
      <c r="N29">
        <f t="shared" si="1"/>
        <v>8.8691196753209649</v>
      </c>
    </row>
    <row r="30" spans="9:14" x14ac:dyDescent="0.4">
      <c r="I30">
        <f t="shared" si="2"/>
        <v>135</v>
      </c>
      <c r="J30">
        <f>SQRT(2*I30/airplane!$B$38/airplane!$B$40)</f>
        <v>14.443982690648417</v>
      </c>
      <c r="K30">
        <f>J30/(airplane!$B$39*airplane!$B$10*airplane!$B$9*airplane!$B$12*SQRT(airplane!$B$38))</f>
        <v>2.0319403033501149</v>
      </c>
      <c r="M30">
        <f t="shared" si="0"/>
        <v>45.116999999999997</v>
      </c>
      <c r="N30">
        <f t="shared" si="1"/>
        <v>9.0380704693013119</v>
      </c>
    </row>
    <row r="31" spans="9:14" x14ac:dyDescent="0.4">
      <c r="I31">
        <f>I30+5</f>
        <v>140</v>
      </c>
      <c r="J31">
        <f>SQRT(2*I31/airplane!$B$38/airplane!$B$40)</f>
        <v>14.709032003672954</v>
      </c>
      <c r="K31">
        <f>J31/(airplane!$B$39*airplane!$B$10*airplane!$B$9*airplane!$B$12*SQRT(airplane!$B$38))</f>
        <v>2.0692267217185409</v>
      </c>
      <c r="M31">
        <f t="shared" si="0"/>
        <v>46.787999999999997</v>
      </c>
      <c r="N31">
        <f t="shared" si="1"/>
        <v>9.2039204582040703</v>
      </c>
    </row>
    <row r="32" spans="9:14" x14ac:dyDescent="0.4">
      <c r="I32">
        <f t="shared" si="2"/>
        <v>145</v>
      </c>
      <c r="J32">
        <f>SQRT(2*I32/airplane!$B$38/airplane!$B$40)</f>
        <v>14.969389065770164</v>
      </c>
      <c r="K32">
        <f>J32/(airplane!$B$39*airplane!$B$10*airplane!$B$9*airplane!$B$12*SQRT(airplane!$B$38))</f>
        <v>2.1058530469549774</v>
      </c>
      <c r="M32">
        <f t="shared" si="0"/>
        <v>48.458999999999996</v>
      </c>
      <c r="N32">
        <f t="shared" si="1"/>
        <v>9.3668343528557401</v>
      </c>
    </row>
    <row r="33" spans="9:14" x14ac:dyDescent="0.4">
      <c r="I33">
        <f t="shared" si="2"/>
        <v>150</v>
      </c>
      <c r="J33">
        <f>SQRT(2*I33/airplane!$B$38/airplane!$B$40)</f>
        <v>15.225294595498749</v>
      </c>
      <c r="K33">
        <f>J33/(airplane!$B$39*airplane!$B$10*airplane!$B$9*airplane!$B$12*SQRT(airplane!$B$38))</f>
        <v>2.1418531426932761</v>
      </c>
      <c r="M33">
        <f t="shared" si="0"/>
        <v>50.13</v>
      </c>
      <c r="N33">
        <f t="shared" si="1"/>
        <v>9.5269627786996924</v>
      </c>
    </row>
    <row r="34" spans="9:14" x14ac:dyDescent="0.4">
      <c r="I34">
        <f t="shared" si="2"/>
        <v>155</v>
      </c>
      <c r="J34">
        <f>SQRT(2*I34/airplane!$B$38/airplane!$B$40)</f>
        <v>15.476969407382297</v>
      </c>
      <c r="K34">
        <f>J34/(airplane!$B$39*airplane!$B$10*airplane!$B$9*airplane!$B$12*SQRT(airplane!$B$38))</f>
        <v>2.1772580725216213</v>
      </c>
      <c r="M34">
        <f t="shared" si="0"/>
        <v>51.801000000000002</v>
      </c>
      <c r="N34">
        <f t="shared" si="1"/>
        <v>9.6844439065761723</v>
      </c>
    </row>
    <row r="35" spans="9:14" x14ac:dyDescent="0.4">
      <c r="I35">
        <f t="shared" si="2"/>
        <v>160</v>
      </c>
      <c r="J35">
        <f>SQRT(2*I35/airplane!$B$38/airplane!$B$40)</f>
        <v>15.724616642524918</v>
      </c>
      <c r="K35">
        <f>J35/(airplane!$B$39*airplane!$B$10*airplane!$B$9*airplane!$B$12*SQRT(airplane!$B$38))</f>
        <v>2.212096413779487</v>
      </c>
      <c r="M35">
        <f t="shared" si="0"/>
        <v>53.472000000000001</v>
      </c>
      <c r="N35">
        <f t="shared" si="1"/>
        <v>9.8394048484911583</v>
      </c>
    </row>
    <row r="36" spans="9:14" x14ac:dyDescent="0.4">
      <c r="I36">
        <f t="shared" si="2"/>
        <v>165</v>
      </c>
      <c r="J36">
        <f>SQRT(2*I36/airplane!$B$38/airplane!$B$40)</f>
        <v>15.968423687756276</v>
      </c>
      <c r="K36">
        <f>J36/(airplane!$B$39*airplane!$B$10*airplane!$B$9*airplane!$B$12*SQRT(airplane!$B$38))</f>
        <v>2.2463945275377544</v>
      </c>
      <c r="M36">
        <f t="shared" si="0"/>
        <v>55.143000000000001</v>
      </c>
      <c r="N36">
        <f t="shared" si="1"/>
        <v>9.9919628584879323</v>
      </c>
    </row>
    <row r="37" spans="9:14" x14ac:dyDescent="0.4">
      <c r="I37">
        <f t="shared" si="2"/>
        <v>170</v>
      </c>
      <c r="J37">
        <f>SQRT(2*I37/airplane!$B$38/airplane!$B$40)</f>
        <v>16.208563834868897</v>
      </c>
      <c r="K37">
        <f>J37/(airplane!$B$39*airplane!$B$10*airplane!$B$9*airplane!$B$12*SQRT(airplane!$B$38))</f>
        <v>2.2801767920157143</v>
      </c>
      <c r="M37">
        <f>I37*0.3342</f>
        <v>56.814</v>
      </c>
      <c r="N37">
        <f>K37*4.448</f>
        <v>10.142226370885899</v>
      </c>
    </row>
    <row r="38" spans="9:14" x14ac:dyDescent="0.4">
      <c r="I38">
        <f t="shared" si="2"/>
        <v>175</v>
      </c>
      <c r="J38">
        <f>SQRT(2*I38/airplane!$B$38/airplane!$B$40)</f>
        <v>16.44519772171633</v>
      </c>
      <c r="K38">
        <f>J38/(airplane!$B$39*airplane!$B$10*airplane!$B$9*airplane!$B$12*SQRT(airplane!$B$38))</f>
        <v>2.3134658053108486</v>
      </c>
      <c r="M38">
        <f t="shared" ref="M38:M53" si="3">I38*0.3342</f>
        <v>58.484999999999999</v>
      </c>
      <c r="N38">
        <f t="shared" ref="N38:N53" si="4">K38*4.448</f>
        <v>10.290295902022656</v>
      </c>
    </row>
    <row r="39" spans="9:14" x14ac:dyDescent="0.4">
      <c r="I39">
        <f t="shared" si="2"/>
        <v>180</v>
      </c>
      <c r="J39">
        <f>SQRT(2*I39/airplane!$B$38/airplane!$B$40)</f>
        <v>16.678474589232319</v>
      </c>
      <c r="K39">
        <f>J39/(airplane!$B$39*airplane!$B$10*airplane!$B$9*airplane!$B$12*SQRT(airplane!$B$38))</f>
        <v>2.346282562232878</v>
      </c>
      <c r="M39">
        <f t="shared" si="3"/>
        <v>60.155999999999999</v>
      </c>
      <c r="N39">
        <f t="shared" si="4"/>
        <v>10.436264836811842</v>
      </c>
    </row>
    <row r="40" spans="9:14" x14ac:dyDescent="0.4">
      <c r="I40">
        <f t="shared" si="2"/>
        <v>185</v>
      </c>
      <c r="J40">
        <f>SQRT(2*I40/airplane!$B$38/airplane!$B$40)</f>
        <v>16.908533382318886</v>
      </c>
      <c r="K40">
        <f>J40/(airplane!$B$39*airplane!$B$10*airplane!$B$9*airplane!$B$12*SQRT(airplane!$B$38))</f>
        <v>2.3786466091737077</v>
      </c>
      <c r="M40">
        <f t="shared" si="3"/>
        <v>61.826999999999998</v>
      </c>
      <c r="N40">
        <f t="shared" si="4"/>
        <v>10.580220117604654</v>
      </c>
    </row>
    <row r="41" spans="9:14" x14ac:dyDescent="0.4">
      <c r="I41">
        <f t="shared" si="2"/>
        <v>190</v>
      </c>
      <c r="J41">
        <f>SQRT(2*I41/airplane!$B$38/airplane!$B$40)</f>
        <v>17.135503717670989</v>
      </c>
      <c r="K41">
        <f>J41/(airplane!$B$39*airplane!$B$10*airplane!$B$9*airplane!$B$12*SQRT(airplane!$B$38))</f>
        <v>2.4105761802583796</v>
      </c>
      <c r="M41">
        <f t="shared" si="3"/>
        <v>63.497999999999998</v>
      </c>
      <c r="N41">
        <f t="shared" si="4"/>
        <v>10.722242849789273</v>
      </c>
    </row>
    <row r="42" spans="9:14" x14ac:dyDescent="0.4">
      <c r="I42">
        <f t="shared" si="2"/>
        <v>195</v>
      </c>
      <c r="J42">
        <f>SQRT(2*I42/airplane!$B$38/airplane!$B$40)</f>
        <v>17.359506737682395</v>
      </c>
      <c r="K42">
        <f>J42/(airplane!$B$39*airplane!$B$10*airplane!$B$9*airplane!$B$12*SQRT(airplane!$B$38))</f>
        <v>2.442088317470231</v>
      </c>
      <c r="M42">
        <f t="shared" si="3"/>
        <v>65.168999999999997</v>
      </c>
      <c r="N42">
        <f t="shared" si="4"/>
        <v>10.862408836107589</v>
      </c>
    </row>
    <row r="43" spans="9:14" x14ac:dyDescent="0.4">
      <c r="I43">
        <f t="shared" si="2"/>
        <v>200</v>
      </c>
      <c r="J43">
        <f>SQRT(2*I43/airplane!$B$38/airplane!$B$40)</f>
        <v>17.580655866405113</v>
      </c>
      <c r="K43">
        <f>J43/(airplane!$B$39*airplane!$B$10*airplane!$B$9*airplane!$B$12*SQRT(airplane!$B$38))</f>
        <v>2.4731989769972178</v>
      </c>
      <c r="M43">
        <f t="shared" si="3"/>
        <v>66.84</v>
      </c>
      <c r="N43">
        <f t="shared" si="4"/>
        <v>11.000789049683625</v>
      </c>
    </row>
    <row r="44" spans="9:14" x14ac:dyDescent="0.4">
      <c r="I44">
        <f t="shared" si="2"/>
        <v>205</v>
      </c>
      <c r="J44">
        <f>SQRT(2*I44/airplane!$B$38/airplane!$B$40)</f>
        <v>17.799057480953554</v>
      </c>
      <c r="K44">
        <f>J44/(airplane!$B$39*airplane!$B$10*airplane!$B$9*airplane!$B$12*SQRT(airplane!$B$38))</f>
        <v>2.5039231236832307</v>
      </c>
      <c r="M44">
        <f t="shared" si="3"/>
        <v>68.510999999999996</v>
      </c>
      <c r="N44">
        <f t="shared" si="4"/>
        <v>11.137450054143011</v>
      </c>
    </row>
    <row r="45" spans="9:14" x14ac:dyDescent="0.4">
      <c r="I45">
        <f t="shared" si="2"/>
        <v>210</v>
      </c>
      <c r="J45">
        <f>SQRT(2*I45/airplane!$B$38/airplane!$B$40)</f>
        <v>18.014811509633198</v>
      </c>
      <c r="K45">
        <f>J45/(airplane!$B$39*airplane!$B$10*airplane!$B$9*airplane!$B$12*SQRT(airplane!$B$38))</f>
        <v>2.5342748151712136</v>
      </c>
      <c r="M45">
        <f t="shared" si="3"/>
        <v>70.182000000000002</v>
      </c>
      <c r="N45">
        <f t="shared" si="4"/>
        <v>11.272454377881559</v>
      </c>
    </row>
    <row r="46" spans="9:14" x14ac:dyDescent="0.4">
      <c r="I46">
        <f t="shared" si="2"/>
        <v>215</v>
      </c>
      <c r="J46">
        <f>SQRT(2*I46/airplane!$B$38/airplane!$B$40)</f>
        <v>18.228011966337331</v>
      </c>
      <c r="K46">
        <f>J46/(airplane!$B$39*airplane!$B$10*airplane!$B$9*airplane!$B$12*SQRT(airplane!$B$38))</f>
        <v>2.5642672770806461</v>
      </c>
      <c r="M46">
        <f t="shared" si="3"/>
        <v>71.852999999999994</v>
      </c>
      <c r="N46">
        <f t="shared" si="4"/>
        <v>11.405860848454715</v>
      </c>
    </row>
    <row r="47" spans="9:14" x14ac:dyDescent="0.4">
      <c r="I47">
        <f t="shared" si="2"/>
        <v>220</v>
      </c>
      <c r="J47">
        <f>SQRT(2*I47/airplane!$B$38/airplane!$B$40)</f>
        <v>18.438747429320166</v>
      </c>
      <c r="K47">
        <f>J47/(airplane!$B$39*airplane!$B$10*airplane!$B$9*airplane!$B$12*SQRT(airplane!$B$38))</f>
        <v>2.5939129703600492</v>
      </c>
      <c r="M47">
        <f t="shared" si="3"/>
        <v>73.524000000000001</v>
      </c>
      <c r="N47">
        <f t="shared" si="4"/>
        <v>11.537724892161499</v>
      </c>
    </row>
    <row r="48" spans="9:14" x14ac:dyDescent="0.4">
      <c r="I48">
        <f t="shared" si="2"/>
        <v>225</v>
      </c>
      <c r="J48">
        <f>SQRT(2*I48/airplane!$B$38/airplane!$B$40)</f>
        <v>18.64710147126317</v>
      </c>
      <c r="K48">
        <f>J48/(airplane!$B$39*airplane!$B$10*airplane!$B$9*airplane!$B$12*SQRT(airplane!$B$38))</f>
        <v>2.6232236517875474</v>
      </c>
      <c r="M48">
        <f t="shared" si="3"/>
        <v>75.194999999999993</v>
      </c>
      <c r="N48">
        <f t="shared" si="4"/>
        <v>11.668098803151011</v>
      </c>
    </row>
    <row r="49" spans="9:14" x14ac:dyDescent="0.4">
      <c r="I49">
        <f t="shared" si="2"/>
        <v>230</v>
      </c>
      <c r="J49">
        <f>SQRT(2*I49/airplane!$B$38/airplane!$B$40)</f>
        <v>18.853153046557207</v>
      </c>
      <c r="K49">
        <f>J49/(airplane!$B$39*airplane!$B$10*airplane!$B$9*airplane!$B$12*SQRT(airplane!$B$38))</f>
        <v>2.6522104284526709</v>
      </c>
      <c r="M49">
        <f t="shared" si="3"/>
        <v>76.866</v>
      </c>
      <c r="N49">
        <f t="shared" si="4"/>
        <v>11.797031985757481</v>
      </c>
    </row>
    <row r="50" spans="9:14" x14ac:dyDescent="0.4">
      <c r="I50">
        <f t="shared" si="2"/>
        <v>235</v>
      </c>
      <c r="J50">
        <f>SQRT(2*I50/airplane!$B$38/airplane!$B$40)</f>
        <v>19.056976840890407</v>
      </c>
      <c r="K50">
        <f>J50/(airplane!$B$39*airplane!$B$10*airplane!$B$9*airplane!$B$12*SQRT(airplane!$B$38))</f>
        <v>2.6808838069354293</v>
      </c>
      <c r="M50">
        <f t="shared" si="3"/>
        <v>78.537000000000006</v>
      </c>
      <c r="N50">
        <f t="shared" si="4"/>
        <v>11.92457117324879</v>
      </c>
    </row>
    <row r="51" spans="9:14" x14ac:dyDescent="0.4">
      <c r="I51">
        <f t="shared" si="2"/>
        <v>240</v>
      </c>
      <c r="J51">
        <f>SQRT(2*I51/airplane!$B$38/airplane!$B$40)</f>
        <v>19.258643587531221</v>
      </c>
      <c r="K51">
        <f>J51/(airplane!$B$39*airplane!$B$10*airplane!$B$9*airplane!$B$12*SQRT(airplane!$B$38))</f>
        <v>2.7092537378001533</v>
      </c>
      <c r="M51">
        <f t="shared" si="3"/>
        <v>80.207999999999998</v>
      </c>
      <c r="N51">
        <f t="shared" si="4"/>
        <v>12.050760625735084</v>
      </c>
    </row>
    <row r="52" spans="9:14" x14ac:dyDescent="0.4">
      <c r="I52">
        <f t="shared" si="2"/>
        <v>245</v>
      </c>
      <c r="J52">
        <f>SQRT(2*I52/airplane!$B$38/airplane!$B$40)</f>
        <v>19.45822035410437</v>
      </c>
      <c r="K52">
        <f>J52/(airplane!$B$39*airplane!$B$10*airplane!$B$9*airplane!$B$12*SQRT(airplane!$B$38))</f>
        <v>2.7373296559383569</v>
      </c>
      <c r="M52">
        <f t="shared" si="3"/>
        <v>81.879000000000005</v>
      </c>
      <c r="N52">
        <f t="shared" si="4"/>
        <v>12.175642309613812</v>
      </c>
    </row>
    <row r="53" spans="9:14" x14ac:dyDescent="0.4">
      <c r="I53">
        <f t="shared" si="2"/>
        <v>250</v>
      </c>
      <c r="J53">
        <f>SQRT(2*I53/airplane!$B$38/airplane!$B$40)</f>
        <v>19.655770803156148</v>
      </c>
      <c r="K53">
        <f>J53/(airplane!$B$39*airplane!$B$10*airplane!$B$9*airplane!$B$12*SQRT(airplane!$B$38))</f>
        <v>2.7651205172243589</v>
      </c>
      <c r="M53">
        <f t="shared" si="3"/>
        <v>83.55</v>
      </c>
      <c r="N53">
        <f t="shared" si="4"/>
        <v>12.299256060613949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 sizeWithCells="1">
              <from>
                <xdr:col>0</xdr:col>
                <xdr:colOff>152400</xdr:colOff>
                <xdr:row>3</xdr:row>
                <xdr:rowOff>114300</xdr:rowOff>
              </from>
              <to>
                <xdr:col>8</xdr:col>
                <xdr:colOff>881743</xdr:colOff>
                <xdr:row>30</xdr:row>
                <xdr:rowOff>21771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N53"/>
  <sheetViews>
    <sheetView workbookViewId="0">
      <selection activeCell="J4" sqref="J4"/>
    </sheetView>
  </sheetViews>
  <sheetFormatPr defaultRowHeight="14.6" x14ac:dyDescent="0.4"/>
  <cols>
    <col min="1" max="1" width="17.84375" bestFit="1" customWidth="1"/>
    <col min="9" max="9" width="14.53515625" customWidth="1"/>
    <col min="11" max="11" width="14.07421875" bestFit="1" customWidth="1"/>
  </cols>
  <sheetData>
    <row r="1" spans="9:14" x14ac:dyDescent="0.4">
      <c r="I1" t="s">
        <v>23</v>
      </c>
      <c r="J1" t="s">
        <v>58</v>
      </c>
      <c r="K1" t="s">
        <v>48</v>
      </c>
      <c r="M1" t="s">
        <v>23</v>
      </c>
      <c r="N1" t="s">
        <v>25</v>
      </c>
    </row>
    <row r="2" spans="9:14" x14ac:dyDescent="0.4">
      <c r="I2" t="s">
        <v>16</v>
      </c>
      <c r="K2" t="s">
        <v>52</v>
      </c>
      <c r="M2" t="s">
        <v>66</v>
      </c>
      <c r="N2" t="s">
        <v>65</v>
      </c>
    </row>
    <row r="3" spans="9:14" x14ac:dyDescent="0.4">
      <c r="I3">
        <v>0</v>
      </c>
      <c r="J3">
        <f>SQRT(I3*2/airplane!$B$34/airplane!$B$48)</f>
        <v>0</v>
      </c>
      <c r="K3">
        <f>1/(airplane!$B$47*airplane!$B$9*airplane!$B$10)*(airplane!$B$44+'Rate of climb'!J3/(0.866*airplane!$B$12*SQRT(airplane!$B$46)))</f>
        <v>3.4722222222222228</v>
      </c>
      <c r="M3">
        <f>I3*0.3342</f>
        <v>0</v>
      </c>
      <c r="N3">
        <f>K3*4.448</f>
        <v>15.444444444444448</v>
      </c>
    </row>
    <row r="4" spans="9:14" x14ac:dyDescent="0.4">
      <c r="I4">
        <f>I3+5</f>
        <v>5</v>
      </c>
      <c r="J4">
        <f>SQRT(I4*2/airplane!$B$34/airplane!$B$48)</f>
        <v>2.5343201079385067</v>
      </c>
      <c r="K4">
        <f>1/(airplane!$B$47*airplane!$B$9*airplane!$B$10)*(airplane!$B$44+'Rate of climb'!J4/(0.866*airplane!$B$12*SQRT(airplane!$B$46)))</f>
        <v>3.854545584553823</v>
      </c>
      <c r="M4">
        <f t="shared" ref="M4:M53" si="0">I4*0.3342</f>
        <v>1.671</v>
      </c>
      <c r="N4">
        <f t="shared" ref="N4:N53" si="1">K4*4.448</f>
        <v>17.145018760095407</v>
      </c>
    </row>
    <row r="5" spans="9:14" x14ac:dyDescent="0.4">
      <c r="I5">
        <f t="shared" ref="I5:I53" si="2">I4+5</f>
        <v>10</v>
      </c>
      <c r="J5">
        <f>SQRT(I5*2/airplane!$B$34/airplane!$B$48)</f>
        <v>3.5840698680414822</v>
      </c>
      <c r="K5">
        <f>1/(airplane!$B$47*airplane!$B$9*airplane!$B$10)*(airplane!$B$44+'Rate of climb'!J5/(0.866*airplane!$B$12*SQRT(airplane!$B$46)))</f>
        <v>4.0129091064436544</v>
      </c>
      <c r="M5">
        <f t="shared" si="0"/>
        <v>3.3420000000000001</v>
      </c>
      <c r="N5">
        <f t="shared" si="1"/>
        <v>17.849419705461376</v>
      </c>
    </row>
    <row r="6" spans="9:14" x14ac:dyDescent="0.4">
      <c r="I6">
        <f t="shared" si="2"/>
        <v>15</v>
      </c>
      <c r="J6">
        <f>SQRT(I6*2/airplane!$B$34/airplane!$B$48)</f>
        <v>4.3895711895929344</v>
      </c>
      <c r="K6">
        <f>1/(airplane!$B$47*airplane!$B$9*airplane!$B$10)*(airplane!$B$44+'Rate of climb'!J6/(0.866*airplane!$B$12*SQRT(airplane!$B$46)))</f>
        <v>4.1344257107011195</v>
      </c>
      <c r="M6">
        <f t="shared" si="0"/>
        <v>5.0129999999999999</v>
      </c>
      <c r="N6">
        <f t="shared" si="1"/>
        <v>18.389925561198581</v>
      </c>
    </row>
    <row r="7" spans="9:14" x14ac:dyDescent="0.4">
      <c r="I7">
        <f t="shared" si="2"/>
        <v>20</v>
      </c>
      <c r="J7">
        <f>SQRT(I7*2/airplane!$B$34/airplane!$B$48)</f>
        <v>5.0686402158770134</v>
      </c>
      <c r="K7">
        <f>1/(airplane!$B$47*airplane!$B$9*airplane!$B$10)*(airplane!$B$44+'Rate of climb'!J7/(0.866*airplane!$B$12*SQRT(airplane!$B$46)))</f>
        <v>4.2368689468854237</v>
      </c>
      <c r="M7">
        <f t="shared" si="0"/>
        <v>6.6840000000000002</v>
      </c>
      <c r="N7">
        <f t="shared" si="1"/>
        <v>18.845593075746365</v>
      </c>
    </row>
    <row r="8" spans="9:14" x14ac:dyDescent="0.4">
      <c r="I8">
        <f t="shared" si="2"/>
        <v>25</v>
      </c>
      <c r="J8">
        <f>SQRT(I8*2/airplane!$B$34/airplane!$B$48)</f>
        <v>5.6669120380951057</v>
      </c>
      <c r="K8">
        <f>1/(airplane!$B$47*airplane!$B$9*airplane!$B$10)*(airplane!$B$44+'Rate of climb'!J8/(0.866*airplane!$B$12*SQRT(airplane!$B$46)))</f>
        <v>4.3271232497819643</v>
      </c>
      <c r="M8">
        <f t="shared" si="0"/>
        <v>8.3550000000000004</v>
      </c>
      <c r="N8">
        <f t="shared" si="1"/>
        <v>19.247044215030179</v>
      </c>
    </row>
    <row r="9" spans="9:14" x14ac:dyDescent="0.4">
      <c r="I9">
        <f t="shared" si="2"/>
        <v>30</v>
      </c>
      <c r="J9">
        <f>SQRT(I9*2/airplane!$B$34/airplane!$B$48)</f>
        <v>6.2077911093245284</v>
      </c>
      <c r="K9">
        <f>1/(airplane!$B$47*airplane!$B$9*airplane!$B$10)*(airplane!$B$44+'Rate of climb'!J9/(0.866*airplane!$B$12*SQRT(airplane!$B$46)))</f>
        <v>4.408719376679854</v>
      </c>
      <c r="M9">
        <f t="shared" si="0"/>
        <v>10.026</v>
      </c>
      <c r="N9">
        <f t="shared" si="1"/>
        <v>19.609983787471993</v>
      </c>
    </row>
    <row r="10" spans="9:14" x14ac:dyDescent="0.4">
      <c r="I10">
        <f t="shared" si="2"/>
        <v>35</v>
      </c>
      <c r="J10">
        <f>SQRT(I10*2/airplane!$B$34/airplane!$B$48)</f>
        <v>6.7051807482356587</v>
      </c>
      <c r="K10">
        <f>1/(airplane!$B$47*airplane!$B$9*airplane!$B$10)*(airplane!$B$44+'Rate of climb'!J10/(0.866*airplane!$B$12*SQRT(airplane!$B$46)))</f>
        <v>4.4837547593616769</v>
      </c>
      <c r="M10">
        <f t="shared" si="0"/>
        <v>11.696999999999999</v>
      </c>
      <c r="N10">
        <f t="shared" si="1"/>
        <v>19.943741169640742</v>
      </c>
    </row>
    <row r="11" spans="9:14" x14ac:dyDescent="0.4">
      <c r="I11">
        <f t="shared" si="2"/>
        <v>40</v>
      </c>
      <c r="J11">
        <f>SQRT(I11*2/airplane!$B$34/airplane!$B$48)</f>
        <v>7.1681397360829644</v>
      </c>
      <c r="K11">
        <f>1/(airplane!$B$47*airplane!$B$9*airplane!$B$10)*(airplane!$B$44+'Rate of climb'!J11/(0.866*airplane!$B$12*SQRT(airplane!$B$46)))</f>
        <v>4.5535959906650874</v>
      </c>
      <c r="M11">
        <f t="shared" si="0"/>
        <v>13.368</v>
      </c>
      <c r="N11">
        <f t="shared" si="1"/>
        <v>20.254394966478312</v>
      </c>
    </row>
    <row r="12" spans="9:14" x14ac:dyDescent="0.4">
      <c r="I12">
        <f t="shared" si="2"/>
        <v>45</v>
      </c>
      <c r="J12">
        <f>SQRT(I12*2/airplane!$B$34/airplane!$B$48)</f>
        <v>7.6029603238155197</v>
      </c>
      <c r="K12">
        <f>1/(airplane!$B$47*airplane!$B$9*airplane!$B$10)*(airplane!$B$44+'Rate of climb'!J12/(0.866*airplane!$B$12*SQRT(airplane!$B$46)))</f>
        <v>4.6191923092170244</v>
      </c>
      <c r="M12">
        <f t="shared" si="0"/>
        <v>15.039</v>
      </c>
      <c r="N12">
        <f t="shared" si="1"/>
        <v>20.546167391397326</v>
      </c>
    </row>
    <row r="13" spans="9:14" x14ac:dyDescent="0.4">
      <c r="I13">
        <f t="shared" si="2"/>
        <v>50</v>
      </c>
      <c r="J13">
        <f>SQRT(I13*2/airplane!$B$34/airplane!$B$48)</f>
        <v>8.0142238610494552</v>
      </c>
      <c r="K13">
        <f>1/(airplane!$B$47*airplane!$B$9*airplane!$B$10)*(airplane!$B$44+'Rate of climb'!J13/(0.866*airplane!$B$12*SQRT(airplane!$B$46)))</f>
        <v>4.6812348498839036</v>
      </c>
      <c r="M13">
        <f t="shared" si="0"/>
        <v>16.71</v>
      </c>
      <c r="N13">
        <f t="shared" si="1"/>
        <v>20.822132612283607</v>
      </c>
    </row>
    <row r="14" spans="9:14" x14ac:dyDescent="0.4">
      <c r="I14">
        <f t="shared" si="2"/>
        <v>55</v>
      </c>
      <c r="J14">
        <f>SQRT(I14*2/airplane!$B$34/airplane!$B$48)</f>
        <v>8.4053888966850234</v>
      </c>
      <c r="K14">
        <f>1/(airplane!$B$47*airplane!$B$9*airplane!$B$10)*(airplane!$B$44+'Rate of climb'!J14/(0.866*airplane!$B$12*SQRT(airplane!$B$46)))</f>
        <v>4.7402453636632389</v>
      </c>
      <c r="M14">
        <f t="shared" si="0"/>
        <v>18.381</v>
      </c>
      <c r="N14">
        <f t="shared" si="1"/>
        <v>21.084611377574088</v>
      </c>
    </row>
    <row r="15" spans="9:14" x14ac:dyDescent="0.4">
      <c r="I15">
        <f t="shared" si="2"/>
        <v>60</v>
      </c>
      <c r="J15">
        <f>SQRT(I15*2/airplane!$B$34/airplane!$B$48)</f>
        <v>8.7791423791858687</v>
      </c>
      <c r="K15">
        <f>1/(airplane!$B$47*airplane!$B$9*airplane!$B$10)*(airplane!$B$44+'Rate of climb'!J15/(0.866*airplane!$B$12*SQRT(airplane!$B$46)))</f>
        <v>4.7966291991800167</v>
      </c>
      <c r="M15">
        <f t="shared" si="0"/>
        <v>20.052</v>
      </c>
      <c r="N15">
        <f t="shared" si="1"/>
        <v>21.335406677952715</v>
      </c>
    </row>
    <row r="16" spans="9:14" x14ac:dyDescent="0.4">
      <c r="I16">
        <f t="shared" si="2"/>
        <v>65</v>
      </c>
      <c r="J16">
        <f>SQRT(I16*2/airplane!$B$34/airplane!$B$48)</f>
        <v>9.1376210976117171</v>
      </c>
      <c r="K16">
        <f>1/(airplane!$B$47*airplane!$B$9*airplane!$B$10)*(airplane!$B$44+'Rate of climb'!J16/(0.866*airplane!$B$12*SQRT(airplane!$B$46)))</f>
        <v>4.8507087089166054</v>
      </c>
      <c r="M16">
        <f t="shared" si="0"/>
        <v>21.722999999999999</v>
      </c>
      <c r="N16">
        <f t="shared" si="1"/>
        <v>21.575952337261064</v>
      </c>
    </row>
    <row r="17" spans="9:14" x14ac:dyDescent="0.4">
      <c r="I17">
        <f t="shared" si="2"/>
        <v>70</v>
      </c>
      <c r="J17">
        <f>SQRT(I17*2/airplane!$B$34/airplane!$B$48)</f>
        <v>9.4825575523178465</v>
      </c>
      <c r="K17">
        <f>1/(airplane!$B$47*airplane!$B$9*airplane!$B$10)*(airplane!$B$44+'Rate of climb'!J17/(0.866*airplane!$B$12*SQRT(airplane!$B$46)))</f>
        <v>4.902745255026506</v>
      </c>
      <c r="M17">
        <f t="shared" si="0"/>
        <v>23.393999999999998</v>
      </c>
      <c r="N17">
        <f t="shared" si="1"/>
        <v>21.807410894357901</v>
      </c>
    </row>
    <row r="18" spans="9:14" x14ac:dyDescent="0.4">
      <c r="I18">
        <f t="shared" si="2"/>
        <v>75</v>
      </c>
      <c r="J18">
        <f>SQRT(I18*2/airplane!$B$34/airplane!$B$48)</f>
        <v>9.815379572004419</v>
      </c>
      <c r="K18">
        <f>1/(airplane!$B$47*airplane!$B$9*airplane!$B$10)*(airplane!$B$44+'Rate of climb'!J18/(0.866*airplane!$B$12*SQRT(airplane!$B$46)))</f>
        <v>4.9529542373985356</v>
      </c>
      <c r="M18">
        <f t="shared" si="0"/>
        <v>25.065000000000001</v>
      </c>
      <c r="N18">
        <f t="shared" si="1"/>
        <v>22.030740447948688</v>
      </c>
    </row>
    <row r="19" spans="9:14" x14ac:dyDescent="0.4">
      <c r="I19">
        <f t="shared" si="2"/>
        <v>80</v>
      </c>
      <c r="J19">
        <f>SQRT(I19*2/airplane!$B$34/airplane!$B$48)</f>
        <v>10.137280431754027</v>
      </c>
      <c r="K19">
        <f>1/(airplane!$B$47*airplane!$B$9*airplane!$B$10)*(airplane!$B$44+'Rate of climb'!J19/(0.866*airplane!$B$12*SQRT(airplane!$B$46)))</f>
        <v>5.0015156715486242</v>
      </c>
      <c r="M19">
        <f t="shared" si="0"/>
        <v>26.736000000000001</v>
      </c>
      <c r="N19">
        <f t="shared" si="1"/>
        <v>22.246741707048283</v>
      </c>
    </row>
    <row r="20" spans="9:14" x14ac:dyDescent="0.4">
      <c r="I20">
        <f t="shared" si="2"/>
        <v>85</v>
      </c>
      <c r="J20">
        <f>SQRT(I20*2/airplane!$B$34/airplane!$B$48)</f>
        <v>10.449269494157214</v>
      </c>
      <c r="K20">
        <f>1/(airplane!$B$47*airplane!$B$9*airplane!$B$10)*(airplane!$B$44+'Rate of climb'!J20/(0.866*airplane!$B$12*SQRT(airplane!$B$46)))</f>
        <v>5.0485818282567037</v>
      </c>
      <c r="M20">
        <f t="shared" si="0"/>
        <v>28.407</v>
      </c>
      <c r="N20">
        <f t="shared" si="1"/>
        <v>22.456091972085819</v>
      </c>
    </row>
    <row r="21" spans="9:14" x14ac:dyDescent="0.4">
      <c r="I21">
        <f t="shared" si="2"/>
        <v>90</v>
      </c>
      <c r="J21">
        <f>SQRT(I21*2/airplane!$B$34/airplane!$B$48)</f>
        <v>10.752209604124445</v>
      </c>
      <c r="K21">
        <f>1/(airplane!$B$47*airplane!$B$9*airplane!$B$10)*(airplane!$B$44+'Rate of climb'!J21/(0.866*airplane!$B$12*SQRT(airplane!$B$46)))</f>
        <v>5.0942828748865194</v>
      </c>
      <c r="M21">
        <f t="shared" si="0"/>
        <v>30.077999999999999</v>
      </c>
      <c r="N21">
        <f t="shared" si="1"/>
        <v>22.659370227495241</v>
      </c>
    </row>
    <row r="22" spans="9:14" x14ac:dyDescent="0.4">
      <c r="I22">
        <f t="shared" si="2"/>
        <v>95</v>
      </c>
      <c r="J22">
        <f>SQRT(I22*2/airplane!$B$34/airplane!$B$48)</f>
        <v>11.046845241087041</v>
      </c>
      <c r="K22">
        <f>1/(airplane!$B$47*airplane!$B$9*airplane!$B$10)*(airplane!$B$44+'Rate of climb'!J22/(0.866*airplane!$B$12*SQRT(airplane!$B$46)))</f>
        <v>5.1387311223803547</v>
      </c>
      <c r="M22">
        <f t="shared" si="0"/>
        <v>31.748999999999999</v>
      </c>
      <c r="N22">
        <f t="shared" si="1"/>
        <v>22.85707603234782</v>
      </c>
    </row>
    <row r="23" spans="9:14" x14ac:dyDescent="0.4">
      <c r="I23">
        <f t="shared" si="2"/>
        <v>100</v>
      </c>
      <c r="J23">
        <f>SQRT(I23*2/airplane!$B$34/airplane!$B$48)</f>
        <v>11.333824076190211</v>
      </c>
      <c r="K23">
        <f>1/(airplane!$B$47*airplane!$B$9*airplane!$B$10)*(airplane!$B$44+'Rate of climb'!J23/(0.866*airplane!$B$12*SQRT(airplane!$B$46)))</f>
        <v>5.1820242773417053</v>
      </c>
      <c r="M23">
        <f t="shared" si="0"/>
        <v>33.42</v>
      </c>
      <c r="N23">
        <f t="shared" si="1"/>
        <v>23.049643985615909</v>
      </c>
    </row>
    <row r="24" spans="9:14" x14ac:dyDescent="0.4">
      <c r="I24">
        <f t="shared" si="2"/>
        <v>105</v>
      </c>
      <c r="J24">
        <f>SQRT(I24*2/airplane!$B$34/airplane!$B$48)</f>
        <v>11.613713729876862</v>
      </c>
      <c r="K24">
        <f>1/(airplane!$B$47*airplane!$B$9*airplane!$B$10)*(airplane!$B$44+'Rate of climb'!J24/(0.866*airplane!$B$12*SQRT(airplane!$B$46)))</f>
        <v>5.2242479700568101</v>
      </c>
      <c r="M24">
        <f t="shared" si="0"/>
        <v>35.091000000000001</v>
      </c>
      <c r="N24">
        <f t="shared" si="1"/>
        <v>23.237454970812692</v>
      </c>
    </row>
    <row r="25" spans="9:14" x14ac:dyDescent="0.4">
      <c r="I25">
        <f t="shared" si="2"/>
        <v>110</v>
      </c>
      <c r="J25">
        <f>SQRT(I25*2/airplane!$B$34/airplane!$B$48)</f>
        <v>11.887014974712185</v>
      </c>
      <c r="K25">
        <f>1/(airplane!$B$47*airplane!$B$9*airplane!$B$10)*(airplane!$B$44+'Rate of climb'!J25/(0.866*airplane!$B$12*SQRT(airplane!$B$46)))</f>
        <v>5.2654777462510447</v>
      </c>
      <c r="M25">
        <f t="shared" si="0"/>
        <v>36.762</v>
      </c>
      <c r="N25">
        <f t="shared" si="1"/>
        <v>23.420845015324648</v>
      </c>
    </row>
    <row r="26" spans="9:14" x14ac:dyDescent="0.4">
      <c r="I26">
        <f t="shared" si="2"/>
        <v>115</v>
      </c>
      <c r="J26">
        <f>SQRT(I26*2/airplane!$B$34/airplane!$B$48)</f>
        <v>12.154172263816784</v>
      </c>
      <c r="K26">
        <f>1/(airplane!$B$47*airplane!$B$9*airplane!$B$10)*(airplane!$B$44+'Rate of climb'!J26/(0.866*airplane!$B$12*SQRT(airplane!$B$46)))</f>
        <v>5.3057806553910227</v>
      </c>
      <c r="M26">
        <f t="shared" si="0"/>
        <v>38.433</v>
      </c>
      <c r="N26">
        <f t="shared" si="1"/>
        <v>23.60011235517927</v>
      </c>
    </row>
    <row r="27" spans="9:14" x14ac:dyDescent="0.4">
      <c r="I27">
        <f t="shared" si="2"/>
        <v>120</v>
      </c>
      <c r="J27">
        <f>SQRT(I27*2/airplane!$B$34/airplane!$B$48)</f>
        <v>12.415582218649057</v>
      </c>
      <c r="K27">
        <f>1/(airplane!$B$47*airplane!$B$9*airplane!$B$10)*(airplane!$B$44+'Rate of climb'!J27/(0.866*airplane!$B$12*SQRT(airplane!$B$46)))</f>
        <v>5.3452165311374857</v>
      </c>
      <c r="M27">
        <f t="shared" si="0"/>
        <v>40.103999999999999</v>
      </c>
      <c r="N27">
        <f t="shared" si="1"/>
        <v>23.77552313049954</v>
      </c>
    </row>
    <row r="28" spans="9:14" x14ac:dyDescent="0.4">
      <c r="I28">
        <f t="shared" si="2"/>
        <v>125</v>
      </c>
      <c r="J28">
        <f>SQRT(I28*2/airplane!$B$34/airplane!$B$48)</f>
        <v>12.671600539692532</v>
      </c>
      <c r="K28">
        <f>1/(airplane!$B$47*airplane!$B$9*airplane!$B$10)*(airplane!$B$44+'Rate of climb'!J28/(0.866*airplane!$B$12*SQRT(airplane!$B$46)))</f>
        <v>5.3838390338802249</v>
      </c>
      <c r="M28">
        <f t="shared" si="0"/>
        <v>41.774999999999999</v>
      </c>
      <c r="N28">
        <f t="shared" si="1"/>
        <v>23.947316022699244</v>
      </c>
    </row>
    <row r="29" spans="9:14" x14ac:dyDescent="0.4">
      <c r="I29">
        <f t="shared" si="2"/>
        <v>130</v>
      </c>
      <c r="J29">
        <f>SQRT(I29*2/airplane!$B$34/airplane!$B$48)</f>
        <v>12.922547684069016</v>
      </c>
      <c r="K29">
        <f>1/(airplane!$B$47*airplane!$B$9*airplane!$B$10)*(airplane!$B$44+'Rate of climb'!J29/(0.866*airplane!$B$12*SQRT(airplane!$B$46)))</f>
        <v>5.4216965072534578</v>
      </c>
      <c r="M29">
        <f t="shared" si="0"/>
        <v>43.445999999999998</v>
      </c>
      <c r="N29">
        <f t="shared" si="1"/>
        <v>24.115706064263382</v>
      </c>
    </row>
    <row r="30" spans="9:14" x14ac:dyDescent="0.4">
      <c r="I30">
        <f t="shared" si="2"/>
        <v>135</v>
      </c>
      <c r="J30">
        <f>SQRT(I30*2/airplane!$B$34/airplane!$B$48)</f>
        <v>13.168713568778804</v>
      </c>
      <c r="K30">
        <f>1/(airplane!$B$47*airplane!$B$9*airplane!$B$10)*(airplane!$B$44+'Rate of climb'!J30/(0.866*airplane!$B$12*SQRT(airplane!$B$46)))</f>
        <v>5.4588326876589139</v>
      </c>
      <c r="M30">
        <f t="shared" si="0"/>
        <v>45.116999999999997</v>
      </c>
      <c r="N30">
        <f t="shared" si="1"/>
        <v>24.280887794706853</v>
      </c>
    </row>
    <row r="31" spans="9:14" x14ac:dyDescent="0.4">
      <c r="I31">
        <f>I30+5</f>
        <v>140</v>
      </c>
      <c r="J31">
        <f>SQRT(I31*2/airplane!$B$34/airplane!$B$48)</f>
        <v>13.410361496471317</v>
      </c>
      <c r="K31">
        <f>1/(airplane!$B$47*airplane!$B$9*airplane!$B$10)*(airplane!$B$44+'Rate of climb'!J31/(0.866*airplane!$B$12*SQRT(airplane!$B$46)))</f>
        <v>5.4952872965011323</v>
      </c>
      <c r="M31">
        <f t="shared" si="0"/>
        <v>46.787999999999997</v>
      </c>
      <c r="N31">
        <f t="shared" si="1"/>
        <v>24.44303789483704</v>
      </c>
    </row>
    <row r="32" spans="9:14" x14ac:dyDescent="0.4">
      <c r="I32">
        <f t="shared" si="2"/>
        <v>145</v>
      </c>
      <c r="J32">
        <f>SQRT(I32*2/airplane!$B$34/airplane!$B$48)</f>
        <v>13.647731455283763</v>
      </c>
      <c r="K32">
        <f>1/(airplane!$B$47*airplane!$B$9*airplane!$B$10)*(airplane!$B$44+'Rate of climb'!J32/(0.866*airplane!$B$12*SQRT(airplane!$B$46)))</f>
        <v>5.5310965379956913</v>
      </c>
      <c r="M32">
        <f t="shared" si="0"/>
        <v>48.458999999999996</v>
      </c>
      <c r="N32">
        <f t="shared" si="1"/>
        <v>24.602317401004836</v>
      </c>
    </row>
    <row r="33" spans="9:14" x14ac:dyDescent="0.4">
      <c r="I33">
        <f t="shared" si="2"/>
        <v>150</v>
      </c>
      <c r="J33">
        <f>SQRT(I33*2/airplane!$B$34/airplane!$B$48)</f>
        <v>13.881042910568475</v>
      </c>
      <c r="K33">
        <f>1/(airplane!$B$47*airplane!$B$9*airplane!$B$10)*(airplane!$B$44+'Rate of climb'!J33/(0.866*airplane!$B$12*SQRT(airplane!$B$46)))</f>
        <v>5.5662935203246082</v>
      </c>
      <c r="M33">
        <f t="shared" si="0"/>
        <v>50.13</v>
      </c>
      <c r="N33">
        <f t="shared" si="1"/>
        <v>24.758873578403861</v>
      </c>
    </row>
    <row r="34" spans="9:14" x14ac:dyDescent="0.4">
      <c r="I34">
        <f t="shared" si="2"/>
        <v>155</v>
      </c>
      <c r="J34">
        <f>SQRT(I34*2/airplane!$B$34/airplane!$B$48)</f>
        <v>14.110497180983552</v>
      </c>
      <c r="K34">
        <f>1/(airplane!$B$47*airplane!$B$9*airplane!$B$10)*(airplane!$B$44+'Rate of climb'!J34/(0.866*airplane!$B$12*SQRT(airplane!$B$46)))</f>
        <v>5.6009086140894579</v>
      </c>
      <c r="M34">
        <f t="shared" si="0"/>
        <v>51.801000000000002</v>
      </c>
      <c r="N34">
        <f t="shared" si="1"/>
        <v>24.912841515469911</v>
      </c>
    </row>
    <row r="35" spans="9:14" x14ac:dyDescent="0.4">
      <c r="I35">
        <f t="shared" si="2"/>
        <v>160</v>
      </c>
      <c r="J35">
        <f>SQRT(I35*2/airplane!$B$34/airplane!$B$48)</f>
        <v>14.336279472165929</v>
      </c>
      <c r="K35">
        <f>1/(airplane!$B$47*airplane!$B$9*airplane!$B$10)*(airplane!$B$44+'Rate of climb'!J35/(0.866*airplane!$B$12*SQRT(airplane!$B$46)))</f>
        <v>5.6349697591079515</v>
      </c>
      <c r="M35">
        <f t="shared" si="0"/>
        <v>53.472000000000001</v>
      </c>
      <c r="N35">
        <f t="shared" si="1"/>
        <v>25.064345488512171</v>
      </c>
    </row>
    <row r="36" spans="9:14" x14ac:dyDescent="0.4">
      <c r="I36">
        <f t="shared" si="2"/>
        <v>165</v>
      </c>
      <c r="J36">
        <f>SQRT(I36*2/airplane!$B$34/airplane!$B$48)</f>
        <v>14.558560626433769</v>
      </c>
      <c r="K36">
        <f>1/(airplane!$B$47*airplane!$B$9*airplane!$B$10)*(airplane!$B$44+'Rate of climb'!J36/(0.866*airplane!$B$12*SQRT(airplane!$B$46)))</f>
        <v>5.6685027283711591</v>
      </c>
      <c r="M36">
        <f t="shared" si="0"/>
        <v>55.143000000000001</v>
      </c>
      <c r="N36">
        <f t="shared" si="1"/>
        <v>25.213500135794916</v>
      </c>
    </row>
    <row r="37" spans="9:14" x14ac:dyDescent="0.4">
      <c r="I37">
        <f t="shared" si="2"/>
        <v>170</v>
      </c>
      <c r="J37">
        <f>SQRT(I37*2/airplane!$B$34/airplane!$B$48)</f>
        <v>14.777498635528582</v>
      </c>
      <c r="K37">
        <f>1/(airplane!$B$47*airplane!$B$9*airplane!$B$10)*(airplane!$B$44+'Rate of climb'!J37/(0.866*airplane!$B$12*SQRT(airplane!$B$46)))</f>
        <v>5.7015313562532945</v>
      </c>
      <c r="M37">
        <f t="shared" si="0"/>
        <v>56.814</v>
      </c>
      <c r="N37">
        <f t="shared" si="1"/>
        <v>25.360411472614658</v>
      </c>
    </row>
    <row r="38" spans="9:14" x14ac:dyDescent="0.4">
      <c r="I38">
        <f t="shared" si="2"/>
        <v>175</v>
      </c>
      <c r="J38">
        <f>SQRT(I38*2/airplane!$B$34/airplane!$B$48)</f>
        <v>14.993239954477835</v>
      </c>
      <c r="K38">
        <f>1/(airplane!$B$47*airplane!$B$9*airplane!$B$10)*(airplane!$B$44+'Rate of climb'!J38/(0.866*airplane!$B$12*SQRT(airplane!$B$46)))</f>
        <v>5.7340777367188736</v>
      </c>
      <c r="M38">
        <f t="shared" si="0"/>
        <v>58.484999999999999</v>
      </c>
      <c r="N38">
        <f t="shared" si="1"/>
        <v>25.505177772925553</v>
      </c>
    </row>
    <row r="39" spans="9:14" x14ac:dyDescent="0.4">
      <c r="I39">
        <f t="shared" si="2"/>
        <v>180</v>
      </c>
      <c r="J39">
        <f>SQRT(I39*2/airplane!$B$34/airplane!$B$48)</f>
        <v>15.205920647631039</v>
      </c>
      <c r="K39">
        <f>1/(airplane!$B$47*airplane!$B$9*airplane!$B$10)*(airplane!$B$44+'Rate of climb'!J39/(0.866*airplane!$B$12*SQRT(airplane!$B$46)))</f>
        <v>5.7661623962118256</v>
      </c>
      <c r="M39">
        <f t="shared" si="0"/>
        <v>60.155999999999999</v>
      </c>
      <c r="N39">
        <f t="shared" si="1"/>
        <v>25.647890338350201</v>
      </c>
    </row>
    <row r="40" spans="9:14" x14ac:dyDescent="0.4">
      <c r="I40">
        <f t="shared" si="2"/>
        <v>185</v>
      </c>
      <c r="J40">
        <f>SQRT(I40*2/airplane!$B$34/airplane!$B$48)</f>
        <v>15.415667392349688</v>
      </c>
      <c r="K40">
        <f>1/(airplane!$B$47*airplane!$B$9*airplane!$B$10)*(airplane!$B$44+'Rate of climb'!J40/(0.866*airplane!$B$12*SQRT(airplane!$B$46)))</f>
        <v>5.7978044450705113</v>
      </c>
      <c r="M40">
        <f t="shared" si="0"/>
        <v>61.826999999999998</v>
      </c>
      <c r="N40">
        <f t="shared" si="1"/>
        <v>25.788634171673635</v>
      </c>
    </row>
    <row r="41" spans="9:14" x14ac:dyDescent="0.4">
      <c r="I41">
        <f t="shared" si="2"/>
        <v>190</v>
      </c>
      <c r="J41">
        <f>SQRT(I41*2/airplane!$B$34/airplane!$B$48)</f>
        <v>15.622598361381977</v>
      </c>
      <c r="K41">
        <f>1/(airplane!$B$47*airplane!$B$9*airplane!$B$10)*(airplane!$B$44+'Rate of climb'!J41/(0.866*airplane!$B$12*SQRT(airplane!$B$46)))</f>
        <v>5.8290217106413218</v>
      </c>
      <c r="M41">
        <f t="shared" si="0"/>
        <v>63.497999999999998</v>
      </c>
      <c r="N41">
        <f t="shared" si="1"/>
        <v>25.927488568932603</v>
      </c>
    </row>
    <row r="42" spans="9:14" x14ac:dyDescent="0.4">
      <c r="I42">
        <f t="shared" si="2"/>
        <v>195</v>
      </c>
      <c r="J42">
        <f>SQRT(I42*2/airplane!$B$34/airplane!$B$48)</f>
        <v>15.826824001376787</v>
      </c>
      <c r="K42">
        <f>1/(airplane!$B$47*airplane!$B$9*airplane!$B$10)*(airplane!$B$44+'Rate of climb'!J42/(0.866*airplane!$B$12*SQRT(airplane!$B$46)))</f>
        <v>5.859830854724013</v>
      </c>
      <c r="M42">
        <f t="shared" si="0"/>
        <v>65.168999999999997</v>
      </c>
      <c r="N42">
        <f t="shared" si="1"/>
        <v>26.064527641812411</v>
      </c>
    </row>
    <row r="43" spans="9:14" x14ac:dyDescent="0.4">
      <c r="I43">
        <f t="shared" si="2"/>
        <v>200</v>
      </c>
      <c r="J43">
        <f>SQRT(I43*2/airplane!$B$34/airplane!$B$48)</f>
        <v>16.02844772209891</v>
      </c>
      <c r="K43">
        <f>1/(airplane!$B$47*airplane!$B$9*airplane!$B$10)*(airplane!$B$44+'Rate of climb'!J43/(0.866*airplane!$B$12*SQRT(airplane!$B$46)))</f>
        <v>5.8902474775455849</v>
      </c>
      <c r="M43">
        <f t="shared" si="0"/>
        <v>66.84</v>
      </c>
      <c r="N43">
        <f t="shared" si="1"/>
        <v>26.199820780122764</v>
      </c>
    </row>
    <row r="44" spans="9:14" x14ac:dyDescent="0.4">
      <c r="I44">
        <f t="shared" si="2"/>
        <v>205</v>
      </c>
      <c r="J44">
        <f>SQRT(I44*2/airplane!$B$34/airplane!$B$48)</f>
        <v>16.227566508554485</v>
      </c>
      <c r="K44">
        <f>1/(airplane!$B$47*airplane!$B$9*airplane!$B$10)*(airplane!$B$44+'Rate of climb'!J44/(0.866*airplane!$B$12*SQRT(airplane!$B$46)))</f>
        <v>5.9202862101045142</v>
      </c>
      <c r="M44">
        <f t="shared" si="0"/>
        <v>68.510999999999996</v>
      </c>
      <c r="N44">
        <f t="shared" si="1"/>
        <v>26.333433062544881</v>
      </c>
    </row>
    <row r="45" spans="9:14" x14ac:dyDescent="0.4">
      <c r="I45">
        <f t="shared" si="2"/>
        <v>210</v>
      </c>
      <c r="J45">
        <f>SQRT(I45*2/airplane!$B$34/airplane!$B$48)</f>
        <v>16.424271466310479</v>
      </c>
      <c r="K45">
        <f>1/(airplane!$B$47*airplane!$B$9*airplane!$B$10)*(airplane!$B$44+'Rate of climb'!J45/(0.866*airplane!$B$12*SQRT(airplane!$B$46)))</f>
        <v>5.94996079643676</v>
      </c>
      <c r="M45">
        <f t="shared" si="0"/>
        <v>70.182000000000002</v>
      </c>
      <c r="N45">
        <f t="shared" si="1"/>
        <v>26.465425622550711</v>
      </c>
    </row>
    <row r="46" spans="9:14" x14ac:dyDescent="0.4">
      <c r="I46">
        <f t="shared" si="2"/>
        <v>215</v>
      </c>
      <c r="J46">
        <f>SQRT(I46*2/airplane!$B$34/airplane!$B$48)</f>
        <v>16.618648308709169</v>
      </c>
      <c r="K46">
        <f>1/(airplane!$B$47*airplane!$B$9*airplane!$B$10)*(airplane!$B$44+'Rate of climb'!J46/(0.866*airplane!$B$12*SQRT(airplane!$B$46)))</f>
        <v>5.9792841671161323</v>
      </c>
      <c r="M46">
        <f t="shared" si="0"/>
        <v>71.852999999999994</v>
      </c>
      <c r="N46">
        <f t="shared" si="1"/>
        <v>26.595855975332558</v>
      </c>
    </row>
    <row r="47" spans="9:14" x14ac:dyDescent="0.4">
      <c r="I47">
        <f t="shared" si="2"/>
        <v>220</v>
      </c>
      <c r="J47">
        <f>SQRT(I47*2/airplane!$B$34/airplane!$B$48)</f>
        <v>16.810777793370047</v>
      </c>
      <c r="K47">
        <f>1/(airplane!$B$47*airplane!$B$9*airplane!$B$10)*(airplane!$B$44+'Rate of climb'!J47/(0.866*airplane!$B$12*SQRT(airplane!$B$46)))</f>
        <v>6.0082685051042555</v>
      </c>
      <c r="M47">
        <f t="shared" si="0"/>
        <v>73.524000000000001</v>
      </c>
      <c r="N47">
        <f t="shared" si="1"/>
        <v>26.72477831070373</v>
      </c>
    </row>
    <row r="48" spans="9:14" x14ac:dyDescent="0.4">
      <c r="I48">
        <f t="shared" si="2"/>
        <v>225</v>
      </c>
      <c r="J48">
        <f>SQRT(I48*2/airplane!$B$34/airplane!$B$48)</f>
        <v>17.000736114285317</v>
      </c>
      <c r="K48">
        <f>1/(airplane!$B$47*airplane!$B$9*airplane!$B$10)*(airplane!$B$44+'Rate of climb'!J48/(0.866*airplane!$B$12*SQRT(airplane!$B$46)))</f>
        <v>6.0369253049014455</v>
      </c>
      <c r="M48">
        <f t="shared" si="0"/>
        <v>75.194999999999993</v>
      </c>
      <c r="N48">
        <f t="shared" si="1"/>
        <v>26.852243756201631</v>
      </c>
    </row>
    <row r="49" spans="9:14" x14ac:dyDescent="0.4">
      <c r="I49">
        <f t="shared" si="2"/>
        <v>230</v>
      </c>
      <c r="J49">
        <f>SQRT(I49*2/airplane!$B$34/airplane!$B$48)</f>
        <v>17.188595254908599</v>
      </c>
      <c r="K49">
        <f>1/(airplane!$B$47*airplane!$B$9*airplane!$B$10)*(airplane!$B$44+'Rate of climb'!J49/(0.866*airplane!$B$12*SQRT(airplane!$B$46)))</f>
        <v>6.0652654258131022</v>
      </c>
      <c r="M49">
        <f t="shared" si="0"/>
        <v>76.866</v>
      </c>
      <c r="N49">
        <f t="shared" si="1"/>
        <v>26.978300614016682</v>
      </c>
    </row>
    <row r="50" spans="9:14" x14ac:dyDescent="0.4">
      <c r="I50">
        <f t="shared" si="2"/>
        <v>235</v>
      </c>
      <c r="J50">
        <f>SQRT(I50*2/airplane!$B$34/airplane!$B$48)</f>
        <v>17.374423306877492</v>
      </c>
      <c r="K50">
        <f>1/(airplane!$B$47*airplane!$B$9*airplane!$B$10)*(airplane!$B$44+'Rate of climb'!J50/(0.866*airplane!$B$12*SQRT(airplane!$B$46)))</f>
        <v>6.0932991400316547</v>
      </c>
      <c r="M50">
        <f t="shared" si="0"/>
        <v>78.537000000000006</v>
      </c>
      <c r="N50">
        <f t="shared" si="1"/>
        <v>27.102994574860801</v>
      </c>
    </row>
    <row r="51" spans="9:14" x14ac:dyDescent="0.4">
      <c r="I51">
        <f t="shared" si="2"/>
        <v>240</v>
      </c>
      <c r="J51">
        <f>SQRT(I51*2/airplane!$B$34/airplane!$B$48)</f>
        <v>17.558284758371737</v>
      </c>
      <c r="K51">
        <f>1/(airplane!$B$47*airplane!$B$9*airplane!$B$10)*(airplane!$B$44+'Rate of climb'!J51/(0.866*airplane!$B$12*SQRT(airplane!$B$46)))</f>
        <v>6.1210361761378103</v>
      </c>
      <c r="M51">
        <f t="shared" si="0"/>
        <v>80.207999999999998</v>
      </c>
      <c r="N51">
        <f t="shared" si="1"/>
        <v>27.226368911460984</v>
      </c>
    </row>
    <row r="52" spans="9:14" x14ac:dyDescent="0.4">
      <c r="I52">
        <f t="shared" si="2"/>
        <v>245</v>
      </c>
      <c r="J52">
        <f>SQRT(I52*2/airplane!$B$34/airplane!$B$48)</f>
        <v>17.740240755569545</v>
      </c>
      <c r="K52">
        <f>1/(airplane!$B$47*airplane!$B$9*airplane!$B$10)*(airplane!$B$44+'Rate of climb'!J52/(0.866*airplane!$B$12*SQRT(airplane!$B$46)))</f>
        <v>6.1484857585434254</v>
      </c>
      <c r="M52">
        <f t="shared" si="0"/>
        <v>81.879000000000005</v>
      </c>
      <c r="N52">
        <f t="shared" si="1"/>
        <v>27.348464654001159</v>
      </c>
    </row>
    <row r="53" spans="9:14" x14ac:dyDescent="0.4">
      <c r="I53">
        <f t="shared" si="2"/>
        <v>250</v>
      </c>
      <c r="J53">
        <f>SQRT(I53*2/airplane!$B$34/airplane!$B$48)</f>
        <v>17.920349340207409</v>
      </c>
      <c r="K53">
        <f>1/(airplane!$B$47*airplane!$B$9*airplane!$B$10)*(airplane!$B$44+'Rate of climb'!J53/(0.866*airplane!$B$12*SQRT(airplane!$B$46)))</f>
        <v>6.1756566433293845</v>
      </c>
      <c r="M53">
        <f t="shared" si="0"/>
        <v>83.55</v>
      </c>
      <c r="N53">
        <f t="shared" si="1"/>
        <v>27.469320749529103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1:N53"/>
  <sheetViews>
    <sheetView workbookViewId="0">
      <selection activeCell="J4" sqref="J4"/>
    </sheetView>
  </sheetViews>
  <sheetFormatPr defaultRowHeight="14.6" x14ac:dyDescent="0.4"/>
  <cols>
    <col min="1" max="1" width="16.84375" bestFit="1" customWidth="1"/>
    <col min="9" max="9" width="14.53515625" customWidth="1"/>
  </cols>
  <sheetData>
    <row r="1" spans="9:14" x14ac:dyDescent="0.4">
      <c r="I1" t="s">
        <v>23</v>
      </c>
      <c r="J1" t="s">
        <v>31</v>
      </c>
      <c r="K1" t="s">
        <v>25</v>
      </c>
      <c r="M1" t="s">
        <v>23</v>
      </c>
      <c r="N1" t="s">
        <v>25</v>
      </c>
    </row>
    <row r="2" spans="9:14" x14ac:dyDescent="0.4">
      <c r="I2" t="s">
        <v>16</v>
      </c>
      <c r="M2" t="s">
        <v>66</v>
      </c>
      <c r="N2" t="s">
        <v>65</v>
      </c>
    </row>
    <row r="3" spans="9:14" x14ac:dyDescent="0.4">
      <c r="M3">
        <f>I3*0.3342</f>
        <v>0</v>
      </c>
      <c r="N3">
        <f>K3*4.448</f>
        <v>0</v>
      </c>
    </row>
    <row r="4" spans="9:14" x14ac:dyDescent="0.4">
      <c r="I4">
        <f>I3+5</f>
        <v>5</v>
      </c>
      <c r="J4">
        <f>(1/airplane!$B$55)*(airplane!$B$56*airplane!$B$7/Turns!I4+airplane!$B$53^2*airplane!$B$11*Turns!I4/airplane!$B$56)</f>
        <v>0.99956102445884099</v>
      </c>
      <c r="K4">
        <f>airplane!$B$52*J4/(airplane!$B$9*airplane!$B$10)</f>
        <v>37.483538417206539</v>
      </c>
      <c r="M4">
        <f t="shared" ref="M4:M53" si="0">I4*0.3342</f>
        <v>1.671</v>
      </c>
      <c r="N4">
        <f t="shared" ref="N4:N53" si="1">K4*4.448</f>
        <v>166.7267788797347</v>
      </c>
    </row>
    <row r="5" spans="9:14" x14ac:dyDescent="0.4">
      <c r="I5">
        <f t="shared" ref="I5:I53" si="2">I4+5</f>
        <v>10</v>
      </c>
      <c r="J5">
        <f>(1/airplane!$B$55)*(airplane!$B$56*airplane!$B$7/Turns!I5+airplane!$B$53^2*airplane!$B$11*Turns!I5/airplane!$B$56)</f>
        <v>0.51074704891768186</v>
      </c>
      <c r="K5">
        <f>airplane!$B$52*J5/(airplane!$B$9*airplane!$B$10)</f>
        <v>19.153014334413069</v>
      </c>
      <c r="M5">
        <f t="shared" si="0"/>
        <v>3.3420000000000001</v>
      </c>
      <c r="N5">
        <f t="shared" si="1"/>
        <v>85.19260775946934</v>
      </c>
    </row>
    <row r="6" spans="9:14" x14ac:dyDescent="0.4">
      <c r="I6">
        <f t="shared" si="2"/>
        <v>15</v>
      </c>
      <c r="J6">
        <f>(1/airplane!$B$55)*(airplane!$B$56*airplane!$B$7/Turns!I6+airplane!$B$53^2*airplane!$B$11*Turns!I6/airplane!$B$56)</f>
        <v>0.35268307337652283</v>
      </c>
      <c r="K6">
        <f>airplane!$B$52*J6/(airplane!$B$9*airplane!$B$10)</f>
        <v>13.225615251619606</v>
      </c>
      <c r="M6">
        <f t="shared" si="0"/>
        <v>5.0129999999999999</v>
      </c>
      <c r="N6">
        <f t="shared" si="1"/>
        <v>58.827536639204013</v>
      </c>
    </row>
    <row r="7" spans="9:14" x14ac:dyDescent="0.4">
      <c r="I7">
        <f t="shared" si="2"/>
        <v>20</v>
      </c>
      <c r="J7">
        <f>(1/airplane!$B$55)*(airplane!$B$56*airplane!$B$7/Turns!I7+airplane!$B$53^2*airplane!$B$11*Turns!I7/airplane!$B$56)</f>
        <v>0.27730659783536371</v>
      </c>
      <c r="K7">
        <f>airplane!$B$52*J7/(airplane!$B$9*airplane!$B$10)</f>
        <v>10.39899741882614</v>
      </c>
      <c r="M7">
        <f t="shared" si="0"/>
        <v>6.6840000000000002</v>
      </c>
      <c r="N7">
        <f t="shared" si="1"/>
        <v>46.254740518938675</v>
      </c>
    </row>
    <row r="8" spans="9:14" x14ac:dyDescent="0.4">
      <c r="I8">
        <f t="shared" si="2"/>
        <v>25</v>
      </c>
      <c r="J8">
        <f>(1/airplane!$B$55)*(airplane!$B$56*airplane!$B$7/Turns!I8+airplane!$B$53^2*airplane!$B$11*Turns!I8/airplane!$B$56)</f>
        <v>0.23500512229420462</v>
      </c>
      <c r="K8">
        <f>airplane!$B$52*J8/(airplane!$B$9*airplane!$B$10)</f>
        <v>8.8126920860326745</v>
      </c>
      <c r="M8">
        <f t="shared" si="0"/>
        <v>8.3550000000000004</v>
      </c>
      <c r="N8">
        <f t="shared" si="1"/>
        <v>39.19885439867334</v>
      </c>
    </row>
    <row r="9" spans="9:14" x14ac:dyDescent="0.4">
      <c r="I9">
        <f t="shared" si="2"/>
        <v>30</v>
      </c>
      <c r="J9">
        <f>(1/airplane!$B$55)*(airplane!$B$56*airplane!$B$7/Turns!I9+airplane!$B$53^2*airplane!$B$11*Turns!I9/airplane!$B$56)</f>
        <v>0.20924114675304553</v>
      </c>
      <c r="K9">
        <f>airplane!$B$52*J9/(airplane!$B$9*airplane!$B$10)</f>
        <v>7.8465430032392076</v>
      </c>
      <c r="M9">
        <f t="shared" si="0"/>
        <v>10.026</v>
      </c>
      <c r="N9">
        <f t="shared" si="1"/>
        <v>34.901423278407997</v>
      </c>
    </row>
    <row r="10" spans="9:14" x14ac:dyDescent="0.4">
      <c r="I10">
        <f t="shared" si="2"/>
        <v>35</v>
      </c>
      <c r="J10">
        <f>(1/airplane!$B$55)*(airplane!$B$56*airplane!$B$7/Turns!I10+airplane!$B$53^2*airplane!$B$11*Turns!I10/airplane!$B$56)</f>
        <v>0.19292717121188643</v>
      </c>
      <c r="K10">
        <f>airplane!$B$52*J10/(airplane!$B$9*airplane!$B$10)</f>
        <v>7.2347689204457417</v>
      </c>
      <c r="M10">
        <f t="shared" si="0"/>
        <v>11.696999999999999</v>
      </c>
      <c r="N10">
        <f t="shared" si="1"/>
        <v>32.180252158142665</v>
      </c>
    </row>
    <row r="11" spans="9:14" x14ac:dyDescent="0.4">
      <c r="I11">
        <f t="shared" si="2"/>
        <v>40</v>
      </c>
      <c r="J11">
        <f>(1/airplane!$B$55)*(airplane!$B$56*airplane!$B$7/Turns!I11+airplane!$B$53^2*airplane!$B$11*Turns!I11/airplane!$B$56)</f>
        <v>0.18251944567072736</v>
      </c>
      <c r="K11">
        <f>airplane!$B$52*J11/(airplane!$B$9*airplane!$B$10)</f>
        <v>6.844479212652276</v>
      </c>
      <c r="M11">
        <f t="shared" si="0"/>
        <v>13.368</v>
      </c>
      <c r="N11">
        <f t="shared" si="1"/>
        <v>30.444243537877327</v>
      </c>
    </row>
    <row r="12" spans="9:14" x14ac:dyDescent="0.4">
      <c r="I12">
        <f t="shared" si="2"/>
        <v>45</v>
      </c>
      <c r="J12">
        <f>(1/airplane!$B$55)*(airplane!$B$56*airplane!$B$7/Turns!I12+airplane!$B$53^2*airplane!$B$11*Turns!I12/airplane!$B$56)</f>
        <v>0.17604922012956828</v>
      </c>
      <c r="K12">
        <f>airplane!$B$52*J12/(airplane!$B$9*airplane!$B$10)</f>
        <v>6.601845754858811</v>
      </c>
      <c r="M12">
        <f t="shared" si="0"/>
        <v>15.039</v>
      </c>
      <c r="N12">
        <f t="shared" si="1"/>
        <v>29.365009917611992</v>
      </c>
    </row>
    <row r="13" spans="9:14" x14ac:dyDescent="0.4">
      <c r="I13">
        <f t="shared" si="2"/>
        <v>50</v>
      </c>
      <c r="J13">
        <f>(1/airplane!$B$55)*(airplane!$B$56*airplane!$B$7/Turns!I13+airplane!$B$53^2*airplane!$B$11*Turns!I13/airplane!$B$56)</f>
        <v>0.17233524458840921</v>
      </c>
      <c r="K13">
        <f>airplane!$B$52*J13/(airplane!$B$9*airplane!$B$10)</f>
        <v>6.4625716720653452</v>
      </c>
      <c r="M13">
        <f t="shared" si="0"/>
        <v>16.71</v>
      </c>
      <c r="N13">
        <f t="shared" si="1"/>
        <v>28.745518797346659</v>
      </c>
    </row>
    <row r="14" spans="9:14" x14ac:dyDescent="0.4">
      <c r="I14">
        <f t="shared" si="2"/>
        <v>55</v>
      </c>
      <c r="J14">
        <f>(1/airplane!$B$55)*(airplane!$B$56*airplane!$B$7/Turns!I14+airplane!$B$53^2*airplane!$B$11*Turns!I14/airplane!$B$56)</f>
        <v>0.17062581450179556</v>
      </c>
      <c r="K14">
        <f>airplane!$B$52*J14/(airplane!$B$9*airplane!$B$10)</f>
        <v>6.398468043817334</v>
      </c>
      <c r="M14">
        <f t="shared" si="0"/>
        <v>18.381</v>
      </c>
      <c r="N14">
        <f t="shared" si="1"/>
        <v>28.460385858899503</v>
      </c>
    </row>
    <row r="15" spans="9:14" x14ac:dyDescent="0.4">
      <c r="I15">
        <f t="shared" si="2"/>
        <v>60</v>
      </c>
      <c r="J15">
        <f>(1/airplane!$B$55)*(airplane!$B$56*airplane!$B$7/Turns!I15+airplane!$B$53^2*airplane!$B$11*Turns!I15/airplane!$B$56)</f>
        <v>0.17041979350609104</v>
      </c>
      <c r="K15">
        <f>airplane!$B$52*J15/(airplane!$B$9*airplane!$B$10)</f>
        <v>6.390742256478414</v>
      </c>
      <c r="M15">
        <f t="shared" si="0"/>
        <v>20.052</v>
      </c>
      <c r="N15">
        <f t="shared" si="1"/>
        <v>28.426021556815989</v>
      </c>
    </row>
    <row r="16" spans="9:14" x14ac:dyDescent="0.4">
      <c r="I16">
        <f t="shared" si="2"/>
        <v>65</v>
      </c>
      <c r="J16">
        <f>(1/airplane!$B$55)*(airplane!$B$56*airplane!$B$7/Turns!I16+airplane!$B$53^2*airplane!$B$11*Turns!I16/airplane!$B$56)</f>
        <v>0.17137024104185505</v>
      </c>
      <c r="K16">
        <f>airplane!$B$52*J16/(airplane!$B$9*airplane!$B$10)</f>
        <v>6.4263840390695641</v>
      </c>
      <c r="M16">
        <f t="shared" si="0"/>
        <v>21.722999999999999</v>
      </c>
      <c r="N16">
        <f t="shared" si="1"/>
        <v>28.584556205781425</v>
      </c>
    </row>
    <row r="17" spans="9:14" x14ac:dyDescent="0.4">
      <c r="I17">
        <f t="shared" si="2"/>
        <v>70</v>
      </c>
      <c r="J17">
        <f>(1/airplane!$B$55)*(airplane!$B$56*airplane!$B$7/Turns!I17+airplane!$B$53^2*airplane!$B$11*Turns!I17/airplane!$B$56)</f>
        <v>0.17322934242377286</v>
      </c>
      <c r="K17">
        <f>airplane!$B$52*J17/(airplane!$B$9*airplane!$B$10)</f>
        <v>6.4961003408914832</v>
      </c>
      <c r="M17">
        <f t="shared" si="0"/>
        <v>23.393999999999998</v>
      </c>
      <c r="N17">
        <f t="shared" si="1"/>
        <v>28.894654316285319</v>
      </c>
    </row>
    <row r="18" spans="9:14" x14ac:dyDescent="0.4">
      <c r="I18">
        <f t="shared" si="2"/>
        <v>75</v>
      </c>
      <c r="J18">
        <f>(1/airplane!$B$55)*(airplane!$B$56*airplane!$B$7/Turns!I18+airplane!$B$53^2*airplane!$B$11*Turns!I18/airplane!$B$56)</f>
        <v>0.17581536688261379</v>
      </c>
      <c r="K18">
        <f>airplane!$B$52*J18/(airplane!$B$9*airplane!$B$10)</f>
        <v>6.5930762580980167</v>
      </c>
      <c r="M18">
        <f t="shared" si="0"/>
        <v>25.065000000000001</v>
      </c>
      <c r="N18">
        <f t="shared" si="1"/>
        <v>29.326003196019983</v>
      </c>
    </row>
    <row r="19" spans="9:14" x14ac:dyDescent="0.4">
      <c r="I19">
        <f t="shared" si="2"/>
        <v>80</v>
      </c>
      <c r="J19">
        <f>(1/airplane!$B$55)*(airplane!$B$56*airplane!$B$7/Turns!I19+airplane!$B$53^2*airplane!$B$11*Turns!I19/airplane!$B$56)</f>
        <v>0.1789920163414547</v>
      </c>
      <c r="K19">
        <f>airplane!$B$52*J19/(airplane!$B$9*airplane!$B$10)</f>
        <v>6.7122006128045513</v>
      </c>
      <c r="M19">
        <f t="shared" si="0"/>
        <v>26.736000000000001</v>
      </c>
      <c r="N19">
        <f t="shared" si="1"/>
        <v>29.855868325754646</v>
      </c>
    </row>
    <row r="20" spans="9:14" x14ac:dyDescent="0.4">
      <c r="I20">
        <f t="shared" si="2"/>
        <v>85</v>
      </c>
      <c r="J20">
        <f>(1/airplane!$B$55)*(airplane!$B$56*airplane!$B$7/Turns!I20+airplane!$B$53^2*airplane!$B$11*Turns!I20/airplane!$B$56)</f>
        <v>0.18265506285911914</v>
      </c>
      <c r="K20">
        <f>airplane!$B$52*J20/(airplane!$B$9*airplane!$B$10)</f>
        <v>6.8495648572169685</v>
      </c>
      <c r="M20">
        <f t="shared" si="0"/>
        <v>28.407</v>
      </c>
      <c r="N20">
        <f t="shared" si="1"/>
        <v>30.46686448490108</v>
      </c>
    </row>
    <row r="21" spans="9:14" x14ac:dyDescent="0.4">
      <c r="I21">
        <f t="shared" si="2"/>
        <v>90</v>
      </c>
      <c r="J21">
        <f>(1/airplane!$B$55)*(airplane!$B$56*airplane!$B$7/Turns!I21+airplane!$B$53^2*airplane!$B$11*Turns!I21/airplane!$B$56)</f>
        <v>0.18672344025913654</v>
      </c>
      <c r="K21">
        <f>airplane!$B$52*J21/(airplane!$B$9*airplane!$B$10)</f>
        <v>7.0021290097176196</v>
      </c>
      <c r="M21">
        <f t="shared" si="0"/>
        <v>30.077999999999999</v>
      </c>
      <c r="N21">
        <f t="shared" si="1"/>
        <v>31.145469835223974</v>
      </c>
    </row>
    <row r="22" spans="9:14" x14ac:dyDescent="0.4">
      <c r="I22">
        <f t="shared" si="2"/>
        <v>95</v>
      </c>
      <c r="J22">
        <f>(1/airplane!$B$55)*(airplane!$B$56*airplane!$B$7/Turns!I22+airplane!$B$53^2*airplane!$B$11*Turns!I22/airplane!$B$56)</f>
        <v>0.1911331489285038</v>
      </c>
      <c r="K22">
        <f>airplane!$B$52*J22/(airplane!$B$9*airplane!$B$10)</f>
        <v>7.1674930848188927</v>
      </c>
      <c r="M22">
        <f t="shared" si="0"/>
        <v>31.748999999999999</v>
      </c>
      <c r="N22">
        <f t="shared" si="1"/>
        <v>31.881009241274437</v>
      </c>
    </row>
    <row r="23" spans="9:14" x14ac:dyDescent="0.4">
      <c r="I23">
        <f t="shared" si="2"/>
        <v>100</v>
      </c>
      <c r="J23">
        <f>(1/airplane!$B$55)*(airplane!$B$56*airplane!$B$7/Turns!I23+airplane!$B$53^2*airplane!$B$11*Turns!I23/airplane!$B$56)</f>
        <v>0.19583298917681838</v>
      </c>
      <c r="K23">
        <f>airplane!$B$52*J23/(airplane!$B$9*airplane!$B$10)</f>
        <v>7.3437370941306899</v>
      </c>
      <c r="M23">
        <f t="shared" si="0"/>
        <v>33.42</v>
      </c>
      <c r="N23">
        <f t="shared" si="1"/>
        <v>32.664942594693315</v>
      </c>
    </row>
    <row r="24" spans="9:14" x14ac:dyDescent="0.4">
      <c r="I24">
        <f t="shared" si="2"/>
        <v>105</v>
      </c>
      <c r="J24">
        <f>(1/airplane!$B$55)*(airplane!$B$56*airplane!$B$7/Turns!I24+airplane!$B$53^2*airplane!$B$11*Turns!I24/airplane!$B$56)</f>
        <v>0.2007815136356593</v>
      </c>
      <c r="K24">
        <f>airplane!$B$52*J24/(airplane!$B$9*airplane!$B$10)</f>
        <v>7.5293067613372235</v>
      </c>
      <c r="M24">
        <f t="shared" si="0"/>
        <v>35.091000000000001</v>
      </c>
      <c r="N24">
        <f t="shared" si="1"/>
        <v>33.490356474427976</v>
      </c>
    </row>
    <row r="25" spans="9:14" x14ac:dyDescent="0.4">
      <c r="I25">
        <f t="shared" si="2"/>
        <v>110</v>
      </c>
      <c r="J25">
        <f>(1/airplane!$B$55)*(airplane!$B$56*airplane!$B$7/Turns!I25+airplane!$B$53^2*airplane!$B$11*Turns!I25/airplane!$B$56)</f>
        <v>0.20594481082177293</v>
      </c>
      <c r="K25">
        <f>airplane!$B$52*J25/(airplane!$B$9*airplane!$B$10)</f>
        <v>7.7229304058164852</v>
      </c>
      <c r="M25">
        <f t="shared" si="0"/>
        <v>36.762</v>
      </c>
      <c r="N25">
        <f t="shared" si="1"/>
        <v>34.351594445071726</v>
      </c>
    </row>
    <row r="26" spans="9:14" x14ac:dyDescent="0.4">
      <c r="I26">
        <f t="shared" si="2"/>
        <v>115</v>
      </c>
      <c r="J26">
        <f>(1/airplane!$B$55)*(airplane!$B$56*airplane!$B$7/Turns!I26+airplane!$B$53^2*airplane!$B$11*Turns!I26/airplane!$B$56)</f>
        <v>0.21129486690116722</v>
      </c>
      <c r="K26">
        <f>airplane!$B$52*J26/(airplane!$B$9*airplane!$B$10)</f>
        <v>7.9235575087937713</v>
      </c>
      <c r="M26">
        <f t="shared" si="0"/>
        <v>38.433</v>
      </c>
      <c r="N26">
        <f t="shared" si="1"/>
        <v>35.243983799114694</v>
      </c>
    </row>
    <row r="27" spans="9:14" x14ac:dyDescent="0.4">
      <c r="I27">
        <f t="shared" si="2"/>
        <v>120</v>
      </c>
      <c r="J27">
        <f>(1/airplane!$B$55)*(airplane!$B$56*airplane!$B$7/Turns!I27+airplane!$B$53^2*airplane!$B$11*Turns!I27/airplane!$B$56)</f>
        <v>0.21680833701218208</v>
      </c>
      <c r="K27">
        <f>airplane!$B$52*J27/(airplane!$B$9*airplane!$B$10)</f>
        <v>8.1303126379568287</v>
      </c>
      <c r="M27">
        <f t="shared" si="0"/>
        <v>40.103999999999999</v>
      </c>
      <c r="N27">
        <f t="shared" si="1"/>
        <v>36.16363061363198</v>
      </c>
    </row>
    <row r="28" spans="9:14" x14ac:dyDescent="0.4">
      <c r="I28">
        <f t="shared" si="2"/>
        <v>125</v>
      </c>
      <c r="J28">
        <f>(1/airplane!$B$55)*(airplane!$B$56*airplane!$B$7/Turns!I28+airplane!$B$53^2*airplane!$B$11*Turns!I28/airplane!$B$56)</f>
        <v>0.22246561147102298</v>
      </c>
      <c r="K28">
        <f>airplane!$B$52*J28/(airplane!$B$9*airplane!$B$10)</f>
        <v>8.3424604301633618</v>
      </c>
      <c r="M28">
        <f t="shared" si="0"/>
        <v>41.774999999999999</v>
      </c>
      <c r="N28">
        <f t="shared" si="1"/>
        <v>37.107263993366637</v>
      </c>
    </row>
    <row r="29" spans="9:14" x14ac:dyDescent="0.4">
      <c r="I29">
        <f t="shared" si="2"/>
        <v>130</v>
      </c>
      <c r="J29">
        <f>(1/airplane!$B$55)*(airplane!$B$56*airplane!$B$7/Turns!I29+airplane!$B$53^2*airplane!$B$11*Turns!I29/airplane!$B$56)</f>
        <v>0.22825009746832545</v>
      </c>
      <c r="K29">
        <f>airplane!$B$52*J29/(airplane!$B$9*airplane!$B$10)</f>
        <v>8.5593786550622042</v>
      </c>
      <c r="M29">
        <f t="shared" si="0"/>
        <v>43.445999999999998</v>
      </c>
      <c r="N29">
        <f t="shared" si="1"/>
        <v>38.072116257716687</v>
      </c>
    </row>
    <row r="30" spans="9:14" x14ac:dyDescent="0.4">
      <c r="I30">
        <f t="shared" si="2"/>
        <v>135</v>
      </c>
      <c r="J30">
        <f>(1/airplane!$B$55)*(airplane!$B$56*airplane!$B$7/Turns!I30+airplane!$B$53^2*airplane!$B$11*Turns!I30/airplane!$B$56)</f>
        <v>0.2341476603887048</v>
      </c>
      <c r="K30">
        <f>airplane!$B$52*J30/(airplane!$B$9*airplane!$B$10)</f>
        <v>8.7805372645764308</v>
      </c>
      <c r="M30">
        <f t="shared" si="0"/>
        <v>45.116999999999997</v>
      </c>
      <c r="N30">
        <f t="shared" si="1"/>
        <v>39.055829752835969</v>
      </c>
    </row>
    <row r="31" spans="9:14" x14ac:dyDescent="0.4">
      <c r="I31">
        <f>I30+5</f>
        <v>140</v>
      </c>
      <c r="J31">
        <f>(1/airplane!$B$55)*(airplane!$B$56*airplane!$B$7/Turns!I31+airplane!$B$53^2*airplane!$B$11*Turns!I31/airplane!$B$56)</f>
        <v>0.24014618484754571</v>
      </c>
      <c r="K31">
        <f>airplane!$B$52*J31/(airplane!$B$9*airplane!$B$10)</f>
        <v>9.0054819317829651</v>
      </c>
      <c r="M31">
        <f t="shared" si="0"/>
        <v>46.787999999999997</v>
      </c>
      <c r="N31">
        <f t="shared" si="1"/>
        <v>40.056383632570629</v>
      </c>
    </row>
    <row r="32" spans="9:14" x14ac:dyDescent="0.4">
      <c r="I32">
        <f t="shared" si="2"/>
        <v>145</v>
      </c>
      <c r="J32">
        <f>(1/airplane!$B$55)*(airplane!$B$56*airplane!$B$7/Turns!I32+airplane!$B$53^2*airplane!$B$11*Turns!I32/airplane!$B$56)</f>
        <v>0.24623522654776595</v>
      </c>
      <c r="K32">
        <f>airplane!$B$52*J32/(airplane!$B$9*airplane!$B$10)</f>
        <v>9.2338209955412243</v>
      </c>
      <c r="M32">
        <f t="shared" si="0"/>
        <v>48.458999999999996</v>
      </c>
      <c r="N32">
        <f t="shared" si="1"/>
        <v>41.072035788167369</v>
      </c>
    </row>
    <row r="33" spans="9:14" x14ac:dyDescent="0.4">
      <c r="I33">
        <f t="shared" si="2"/>
        <v>150</v>
      </c>
      <c r="J33">
        <f>(1/airplane!$B$55)*(airplane!$B$56*airplane!$B$7/Turns!I33+airplane!$B$53^2*airplane!$B$11*Turns!I33/airplane!$B$56)</f>
        <v>0.25240573376522757</v>
      </c>
      <c r="K33">
        <f>airplane!$B$52*J33/(airplane!$B$9*airplane!$B$10)</f>
        <v>9.4652150161960353</v>
      </c>
      <c r="M33">
        <f t="shared" si="0"/>
        <v>50.13</v>
      </c>
      <c r="N33">
        <f t="shared" si="1"/>
        <v>42.101276392039971</v>
      </c>
    </row>
    <row r="34" spans="9:14" x14ac:dyDescent="0.4">
      <c r="I34">
        <f t="shared" si="2"/>
        <v>155</v>
      </c>
      <c r="J34">
        <f>(1/airplane!$B$55)*(airplane!$B$56*airplane!$B$7/Turns!I34+airplane!$B$53^2*airplane!$B$11*Turns!I34/airplane!$B$56)</f>
        <v>0.25864982274019754</v>
      </c>
      <c r="K34">
        <f>airplane!$B$52*J34/(airplane!$B$9*airplane!$B$10)</f>
        <v>9.6993683527574071</v>
      </c>
      <c r="M34">
        <f t="shared" si="0"/>
        <v>51.801000000000002</v>
      </c>
      <c r="N34">
        <f t="shared" si="1"/>
        <v>43.142790433064953</v>
      </c>
    </row>
    <row r="35" spans="9:14" x14ac:dyDescent="0.4">
      <c r="I35">
        <f t="shared" si="2"/>
        <v>160</v>
      </c>
      <c r="J35">
        <f>(1/airplane!$B$55)*(airplane!$B$56*airplane!$B$7/Turns!I35+airplane!$B$53^2*airplane!$B$11*Turns!I35/airplane!$B$56)</f>
        <v>0.26496059518290938</v>
      </c>
      <c r="K35">
        <f>airplane!$B$52*J35/(airplane!$B$9*airplane!$B$10)</f>
        <v>9.9360223193591022</v>
      </c>
      <c r="M35">
        <f t="shared" si="0"/>
        <v>53.472000000000001</v>
      </c>
      <c r="N35">
        <f t="shared" si="1"/>
        <v>44.195427276509292</v>
      </c>
    </row>
    <row r="36" spans="9:14" x14ac:dyDescent="0.4">
      <c r="I36">
        <f t="shared" si="2"/>
        <v>165</v>
      </c>
      <c r="J36">
        <f>(1/airplane!$B$55)*(airplane!$B$56*airplane!$B$7/Turns!I36+airplane!$B$53^2*airplane!$B$11*Turns!I36/airplane!$B$56)</f>
        <v>0.27133198895993216</v>
      </c>
      <c r="K36">
        <f>airplane!$B$52*J36/(airplane!$B$9*airplane!$B$10)</f>
        <v>10.174949585997457</v>
      </c>
      <c r="M36">
        <f t="shared" si="0"/>
        <v>55.143000000000001</v>
      </c>
      <c r="N36">
        <f t="shared" si="1"/>
        <v>45.258175758516693</v>
      </c>
    </row>
    <row r="37" spans="9:14" x14ac:dyDescent="0.4">
      <c r="I37">
        <f t="shared" si="2"/>
        <v>170</v>
      </c>
      <c r="J37">
        <f>(1/airplane!$B$55)*(airplane!$B$56*airplane!$B$7/Turns!I37+airplane!$B$53^2*airplane!$B$11*Turns!I37/airplane!$B$56)</f>
        <v>0.27775865513000297</v>
      </c>
      <c r="K37">
        <f>airplane!$B$52*J37/(airplane!$B$9*airplane!$B$10)</f>
        <v>10.415949567375112</v>
      </c>
      <c r="M37">
        <f t="shared" si="0"/>
        <v>56.814</v>
      </c>
      <c r="N37">
        <f t="shared" si="1"/>
        <v>46.330143675684504</v>
      </c>
    </row>
    <row r="38" spans="9:14" x14ac:dyDescent="0.4">
      <c r="I38">
        <f t="shared" si="2"/>
        <v>175</v>
      </c>
      <c r="J38">
        <f>(1/airplane!$B$55)*(airplane!$B$56*airplane!$B$7/Turns!I38+airplane!$B$53^2*airplane!$B$11*Turns!I38/airplane!$B$56)</f>
        <v>0.28423585605943213</v>
      </c>
      <c r="K38">
        <f>airplane!$B$52*J38/(airplane!$B$9*airplane!$B$10)</f>
        <v>10.658844602228704</v>
      </c>
      <c r="M38">
        <f t="shared" si="0"/>
        <v>58.484999999999999</v>
      </c>
      <c r="N38">
        <f t="shared" si="1"/>
        <v>47.410540790713284</v>
      </c>
    </row>
    <row r="39" spans="9:14" x14ac:dyDescent="0.4">
      <c r="I39">
        <f t="shared" si="2"/>
        <v>180</v>
      </c>
      <c r="J39">
        <f>(1/airplane!$B$55)*(airplane!$B$56*airplane!$B$7/Turns!I39+airplane!$B$53^2*airplane!$B$11*Turns!I39/airplane!$B$56)</f>
        <v>0.29075938051827305</v>
      </c>
      <c r="K39">
        <f>airplane!$B$52*J39/(airplane!$B$9*airplane!$B$10)</f>
        <v>10.903476769435239</v>
      </c>
      <c r="M39">
        <f t="shared" si="0"/>
        <v>60.155999999999999</v>
      </c>
      <c r="N39">
        <f t="shared" si="1"/>
        <v>48.498664670447944</v>
      </c>
    </row>
    <row r="40" spans="9:14" x14ac:dyDescent="0.4">
      <c r="I40">
        <f t="shared" si="2"/>
        <v>185</v>
      </c>
      <c r="J40">
        <f>(1/airplane!$B$55)*(airplane!$B$56*airplane!$B$7/Turns!I40+airplane!$B$53^2*airplane!$B$11*Turns!I40/airplane!$B$56)</f>
        <v>0.29732547254468156</v>
      </c>
      <c r="K40">
        <f>airplane!$B$52*J40/(airplane!$B$9*airplane!$B$10)</f>
        <v>11.149705220425558</v>
      </c>
      <c r="M40">
        <f t="shared" si="0"/>
        <v>61.826999999999998</v>
      </c>
      <c r="N40">
        <f t="shared" si="1"/>
        <v>49.593888820452882</v>
      </c>
    </row>
    <row r="41" spans="9:14" x14ac:dyDescent="0.4">
      <c r="I41">
        <f t="shared" si="2"/>
        <v>190</v>
      </c>
      <c r="J41">
        <f>(1/airplane!$B$55)*(airplane!$B$56*airplane!$B$7/Turns!I41+airplane!$B$53^2*airplane!$B$11*Turns!I41/airplane!$B$56)</f>
        <v>0.30393077154121811</v>
      </c>
      <c r="K41">
        <f>airplane!$B$52*J41/(airplane!$B$9*airplane!$B$10)</f>
        <v>11.39740393279568</v>
      </c>
      <c r="M41">
        <f t="shared" si="0"/>
        <v>63.497999999999998</v>
      </c>
      <c r="N41">
        <f t="shared" si="1"/>
        <v>50.695652693075189</v>
      </c>
    </row>
    <row r="42" spans="9:14" x14ac:dyDescent="0.4">
      <c r="I42">
        <f t="shared" si="2"/>
        <v>195</v>
      </c>
      <c r="J42">
        <f>(1/airplane!$B$55)*(airplane!$B$56*airplane!$B$7/Turns!I42+airplane!$B$53^2*airplane!$B$11*Turns!I42/airplane!$B$56)</f>
        <v>0.31057226158710355</v>
      </c>
      <c r="K42">
        <f>airplane!$B$52*J42/(airplane!$B$9*airplane!$B$10)</f>
        <v>11.646459809516383</v>
      </c>
      <c r="M42">
        <f t="shared" si="0"/>
        <v>65.168999999999997</v>
      </c>
      <c r="N42">
        <f t="shared" si="1"/>
        <v>51.803453232728877</v>
      </c>
    </row>
    <row r="43" spans="9:14" x14ac:dyDescent="0.4">
      <c r="I43">
        <f t="shared" si="2"/>
        <v>200</v>
      </c>
      <c r="J43">
        <f>(1/airplane!$B$55)*(airplane!$B$56*airplane!$B$7/Turns!I43+airplane!$B$53^2*airplane!$B$11*Turns!I43/airplane!$B$56)</f>
        <v>0.31724722835363672</v>
      </c>
      <c r="K43">
        <f>airplane!$B$52*J43/(airplane!$B$9*airplane!$B$10)</f>
        <v>11.896771063261376</v>
      </c>
      <c r="M43">
        <f t="shared" si="0"/>
        <v>66.84</v>
      </c>
      <c r="N43">
        <f t="shared" si="1"/>
        <v>52.916837689386604</v>
      </c>
    </row>
    <row r="44" spans="9:14" x14ac:dyDescent="0.4">
      <c r="I44">
        <f t="shared" si="2"/>
        <v>205</v>
      </c>
      <c r="J44">
        <f>(1/airplane!$B$55)*(airplane!$B$56*airplane!$B$7/Turns!I44+airplane!$B$53^2*airplane!$B$11*Turns!I44/airplane!$B$56)</f>
        <v>0.32395322232467277</v>
      </c>
      <c r="K44">
        <f>airplane!$B$52*J44/(airplane!$B$9*airplane!$B$10)</f>
        <v>12.14824583717523</v>
      </c>
      <c r="M44">
        <f t="shared" si="0"/>
        <v>68.510999999999996</v>
      </c>
      <c r="N44">
        <f t="shared" si="1"/>
        <v>54.035397483755425</v>
      </c>
    </row>
    <row r="45" spans="9:14" x14ac:dyDescent="0.4">
      <c r="I45">
        <f t="shared" si="2"/>
        <v>210</v>
      </c>
      <c r="J45">
        <f>(1/airplane!$B$55)*(airplane!$B$56*airplane!$B$7/Turns!I45+airplane!$B$53^2*airplane!$B$11*Turns!I45/airplane!$B$56)</f>
        <v>0.33068802727131857</v>
      </c>
      <c r="K45">
        <f>airplane!$B$52*J45/(airplane!$B$9*airplane!$B$10)</f>
        <v>12.400801022674447</v>
      </c>
      <c r="M45">
        <f t="shared" si="0"/>
        <v>70.182000000000002</v>
      </c>
      <c r="N45">
        <f t="shared" si="1"/>
        <v>55.158762948855944</v>
      </c>
    </row>
    <row r="46" spans="9:14" x14ac:dyDescent="0.4">
      <c r="I46">
        <f t="shared" si="2"/>
        <v>215</v>
      </c>
      <c r="J46">
        <f>(1/airplane!$B$55)*(airplane!$B$56*airplane!$B$7/Turns!I46+airplane!$B$53^2*airplane!$B$11*Turns!I46/airplane!$B$56)</f>
        <v>0.3374496331255083</v>
      </c>
      <c r="K46">
        <f>airplane!$B$52*J46/(airplane!$B$9*airplane!$B$10)</f>
        <v>12.654361242206562</v>
      </c>
      <c r="M46">
        <f t="shared" si="0"/>
        <v>71.852999999999994</v>
      </c>
      <c r="N46">
        <f t="shared" si="1"/>
        <v>56.286598805334791</v>
      </c>
    </row>
    <row r="47" spans="9:14" x14ac:dyDescent="0.4">
      <c r="I47">
        <f t="shared" si="2"/>
        <v>220</v>
      </c>
      <c r="J47">
        <f>(1/airplane!$B$55)*(airplane!$B$56*airplane!$B$7/Turns!I47+airplane!$B$53^2*airplane!$B$11*Turns!I47/airplane!$B$56)</f>
        <v>0.34423621255263676</v>
      </c>
      <c r="K47">
        <f>airplane!$B$52*J47/(airplane!$B$9*airplane!$B$10)</f>
        <v>12.908857970723879</v>
      </c>
      <c r="M47">
        <f t="shared" si="0"/>
        <v>73.524000000000001</v>
      </c>
      <c r="N47">
        <f t="shared" si="1"/>
        <v>57.418600253779822</v>
      </c>
    </row>
    <row r="48" spans="9:14" x14ac:dyDescent="0.4">
      <c r="I48">
        <f t="shared" si="2"/>
        <v>225</v>
      </c>
      <c r="J48">
        <f>(1/airplane!$B$55)*(airplane!$B$56*airplane!$B$7/Turns!I48+airplane!$B$53^2*airplane!$B$11*Turns!I48/airplane!$B$56)</f>
        <v>0.35104610064784136</v>
      </c>
      <c r="K48">
        <f>airplane!$B$52*J48/(airplane!$B$9*airplane!$B$10)</f>
        <v>13.164228774294052</v>
      </c>
      <c r="M48">
        <f t="shared" si="0"/>
        <v>75.194999999999993</v>
      </c>
      <c r="N48">
        <f t="shared" si="1"/>
        <v>58.554489588059951</v>
      </c>
    </row>
    <row r="49" spans="9:14" x14ac:dyDescent="0.4">
      <c r="I49">
        <f t="shared" si="2"/>
        <v>230</v>
      </c>
      <c r="J49">
        <f>(1/airplane!$B$55)*(airplane!$B$56*airplane!$B$7/Turns!I49+airplane!$B$53^2*airplane!$B$11*Turns!I49/airplane!$B$56)</f>
        <v>0.35787777728059533</v>
      </c>
      <c r="K49">
        <f>airplane!$B$52*J49/(airplane!$B$9*airplane!$B$10)</f>
        <v>13.420416648022325</v>
      </c>
      <c r="M49">
        <f t="shared" si="0"/>
        <v>76.866</v>
      </c>
      <c r="N49">
        <f t="shared" si="1"/>
        <v>59.694013250403309</v>
      </c>
    </row>
    <row r="50" spans="9:14" x14ac:dyDescent="0.4">
      <c r="I50">
        <f t="shared" si="2"/>
        <v>235</v>
      </c>
      <c r="J50">
        <f>(1/airplane!$B$55)*(airplane!$B$56*airplane!$B$7/Turns!I50+airplane!$B$53^2*airplane!$B$11*Turns!I50/airplane!$B$56)</f>
        <v>0.36472985169318273</v>
      </c>
      <c r="K50">
        <f>airplane!$B$52*J50/(airplane!$B$9*airplane!$B$10)</f>
        <v>13.677369438494352</v>
      </c>
      <c r="M50">
        <f t="shared" si="0"/>
        <v>78.537000000000006</v>
      </c>
      <c r="N50">
        <f t="shared" si="1"/>
        <v>60.836939262422888</v>
      </c>
    </row>
    <row r="51" spans="9:14" x14ac:dyDescent="0.4">
      <c r="I51">
        <f t="shared" si="2"/>
        <v>240</v>
      </c>
      <c r="J51">
        <f>(1/airplane!$B$55)*(airplane!$B$56*airplane!$B$7/Turns!I51+airplane!$B$53^2*airplane!$B$11*Turns!I51/airplane!$B$56)</f>
        <v>0.37160104902436414</v>
      </c>
      <c r="K51">
        <f>airplane!$B$52*J51/(airplane!$B$9*airplane!$B$10)</f>
        <v>13.935039338413656</v>
      </c>
      <c r="M51">
        <f t="shared" si="0"/>
        <v>80.207999999999998</v>
      </c>
      <c r="N51">
        <f t="shared" si="1"/>
        <v>61.983054977263947</v>
      </c>
    </row>
    <row r="52" spans="9:14" x14ac:dyDescent="0.4">
      <c r="I52">
        <f t="shared" si="2"/>
        <v>245</v>
      </c>
      <c r="J52">
        <f>(1/airplane!$B$55)*(airplane!$B$56*airplane!$B$7/Turns!I52+airplane!$B$53^2*airplane!$B$11*Turns!I52/airplane!$B$56)</f>
        <v>0.37849019848320503</v>
      </c>
      <c r="K52">
        <f>airplane!$B$52*J52/(airplane!$B$9*airplane!$B$10)</f>
        <v>14.193382443120189</v>
      </c>
      <c r="M52">
        <f t="shared" si="0"/>
        <v>81.879000000000005</v>
      </c>
      <c r="N52">
        <f t="shared" si="1"/>
        <v>63.132165106998606</v>
      </c>
    </row>
    <row r="53" spans="9:14" x14ac:dyDescent="0.4">
      <c r="I53">
        <f t="shared" si="2"/>
        <v>250</v>
      </c>
      <c r="J53">
        <f>(1/airplane!$B$55)*(airplane!$B$56*airplane!$B$7/Turns!I53+airplane!$B$53^2*airplane!$B$11*Turns!I53/airplane!$B$56)</f>
        <v>0.38539622294204595</v>
      </c>
      <c r="K53">
        <f>airplane!$B$52*J53/(airplane!$B$9*airplane!$B$10)</f>
        <v>14.452358360326723</v>
      </c>
      <c r="M53">
        <f t="shared" si="0"/>
        <v>83.55</v>
      </c>
      <c r="N53">
        <f t="shared" si="1"/>
        <v>64.284089986733278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autoPict="0" r:id="rId5">
            <anchor moveWithCells="1" sizeWithCells="1">
              <from>
                <xdr:col>0</xdr:col>
                <xdr:colOff>0</xdr:colOff>
                <xdr:row>3</xdr:row>
                <xdr:rowOff>81643</xdr:rowOff>
              </from>
              <to>
                <xdr:col>8</xdr:col>
                <xdr:colOff>310243</xdr:colOff>
                <xdr:row>28</xdr:row>
                <xdr:rowOff>32657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airplane</vt:lpstr>
      <vt:lpstr>Hand_launch</vt:lpstr>
      <vt:lpstr>maximum speed</vt:lpstr>
      <vt:lpstr>Landing</vt:lpstr>
      <vt:lpstr>Ceiling</vt:lpstr>
      <vt:lpstr>Rate of climb</vt:lpstr>
      <vt:lpstr>Turns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Computer Network</dc:creator>
  <cp:lastModifiedBy>Abby Gries</cp:lastModifiedBy>
  <dcterms:created xsi:type="dcterms:W3CDTF">2011-04-03T21:04:55Z</dcterms:created>
  <dcterms:modified xsi:type="dcterms:W3CDTF">2019-10-01T16:05:36Z</dcterms:modified>
</cp:coreProperties>
</file>