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lgri\Downloads\"/>
    </mc:Choice>
  </mc:AlternateContent>
  <xr:revisionPtr revIDLastSave="0" documentId="13_ncr:1_{1F6AD3D9-6B67-4E95-892C-F59CB4E19F6F}" xr6:coauthVersionLast="41" xr6:coauthVersionMax="41" xr10:uidLastSave="{00000000-0000-0000-0000-000000000000}"/>
  <bookViews>
    <workbookView xWindow="-103" yWindow="-103" windowWidth="23657" windowHeight="15240" activeTab="6" xr2:uid="{00000000-000D-0000-FFFF-FFFF00000000}"/>
  </bookViews>
  <sheets>
    <sheet name="airplane" sheetId="1" r:id="rId1"/>
    <sheet name="take off" sheetId="2" r:id="rId2"/>
    <sheet name="Best range cruise" sheetId="4" r:id="rId3"/>
    <sheet name="loiter" sheetId="5" r:id="rId4"/>
    <sheet name="Cruise" sheetId="3" r:id="rId5"/>
    <sheet name="Turns" sheetId="6" r:id="rId6"/>
    <sheet name="landing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7" l="1"/>
  <c r="B8" i="7"/>
  <c r="B4" i="7"/>
  <c r="B10" i="7" s="1"/>
  <c r="D7" i="1" l="1"/>
  <c r="D5" i="5"/>
  <c r="B8" i="3"/>
  <c r="B5" i="6"/>
  <c r="D5" i="6" s="1"/>
  <c r="B4" i="3"/>
  <c r="F5" i="6" l="1"/>
  <c r="B6" i="6"/>
  <c r="H5" i="6"/>
  <c r="C27" i="1" l="1"/>
  <c r="D27" i="1" s="1"/>
  <c r="E27" i="1" s="1"/>
  <c r="B13" i="1" s="1"/>
  <c r="B27" i="1"/>
  <c r="D11" i="1" l="1"/>
  <c r="F11" i="1" s="1"/>
  <c r="B18" i="1"/>
  <c r="B8" i="5"/>
  <c r="B3" i="5"/>
  <c r="B5" i="2"/>
  <c r="H5" i="5"/>
  <c r="F5" i="5"/>
  <c r="H5" i="3"/>
  <c r="F5" i="3"/>
  <c r="D5" i="3"/>
  <c r="D15" i="1"/>
  <c r="E2" i="1"/>
  <c r="D2" i="1"/>
  <c r="D12" i="1"/>
  <c r="F12" i="1" s="1"/>
  <c r="H5" i="2" l="1"/>
  <c r="F5" i="2"/>
  <c r="D5" i="2"/>
  <c r="B13" i="2"/>
  <c r="B19" i="1"/>
  <c r="B9" i="3"/>
  <c r="B5" i="4"/>
  <c r="B4" i="4" s="1"/>
  <c r="B8" i="6"/>
  <c r="B9" i="6" s="1"/>
  <c r="I7" i="1" s="1"/>
  <c r="B9" i="5"/>
  <c r="B11" i="5" s="1"/>
  <c r="I5" i="1" s="1"/>
  <c r="B7" i="5"/>
  <c r="D7" i="5" s="1"/>
  <c r="B7" i="2"/>
  <c r="B6" i="2"/>
  <c r="D13" i="1"/>
  <c r="F13" i="2" l="1"/>
  <c r="D13" i="2"/>
  <c r="H13" i="2"/>
  <c r="H5" i="4"/>
  <c r="B11" i="4"/>
  <c r="B9" i="2"/>
  <c r="I3" i="1" s="1"/>
  <c r="F5" i="4"/>
  <c r="D5" i="4"/>
  <c r="B8" i="4"/>
  <c r="B9" i="4" s="1"/>
  <c r="B7" i="4" l="1"/>
  <c r="D7" i="4" s="1"/>
  <c r="I4" i="1"/>
  <c r="B7" i="3"/>
  <c r="D7" i="3"/>
  <c r="B11" i="3"/>
  <c r="I6" i="1" s="1"/>
  <c r="I10" i="1" l="1"/>
  <c r="I12" i="1" s="1"/>
  <c r="M12" i="1"/>
  <c r="K5" i="1"/>
  <c r="I14" i="1"/>
  <c r="I13" i="1"/>
  <c r="I17" i="1"/>
  <c r="K7" i="1"/>
  <c r="K6" i="1"/>
  <c r="K12" i="1"/>
  <c r="I19" i="1"/>
  <c r="K4" i="1"/>
  <c r="K3" i="1"/>
  <c r="K10" i="1" l="1"/>
  <c r="K14" i="1"/>
  <c r="M14" i="1"/>
  <c r="K17" i="1"/>
  <c r="I18" i="1"/>
  <c r="K18" i="1" s="1"/>
  <c r="M13" i="1"/>
  <c r="K13" i="1"/>
</calcChain>
</file>

<file path=xl/sharedStrings.xml><?xml version="1.0" encoding="utf-8"?>
<sst xmlns="http://schemas.openxmlformats.org/spreadsheetml/2006/main" count="205" uniqueCount="114">
  <si>
    <t>kg</t>
  </si>
  <si>
    <t>Newtons</t>
  </si>
  <si>
    <t>lb</t>
  </si>
  <si>
    <t>Convert</t>
  </si>
  <si>
    <t>g</t>
  </si>
  <si>
    <t>m/sec^2</t>
  </si>
  <si>
    <t>airplane</t>
  </si>
  <si>
    <t>aspect ratio</t>
  </si>
  <si>
    <t>span efficiency  (e)</t>
  </si>
  <si>
    <t>propeller efficiency</t>
  </si>
  <si>
    <t>motor efficiency</t>
  </si>
  <si>
    <t>payload weight (N)</t>
  </si>
  <si>
    <t>N</t>
  </si>
  <si>
    <t>k     Drag due to lift factor</t>
  </si>
  <si>
    <t xml:space="preserve">    k=1/(pi*ar*e)  </t>
  </si>
  <si>
    <t>(L/D)  max    (emax)</t>
  </si>
  <si>
    <t xml:space="preserve"> 1/(2*sqrt(k*cdo)) </t>
  </si>
  <si>
    <t>N/m^2</t>
  </si>
  <si>
    <t>oz/ft^2</t>
  </si>
  <si>
    <t>P/W   power loading  (W/N=m)</t>
  </si>
  <si>
    <t>watts/lb</t>
  </si>
  <si>
    <t>k_battery</t>
  </si>
  <si>
    <t>We/Wto  empty weight fraction</t>
  </si>
  <si>
    <t>Take off</t>
  </si>
  <si>
    <t>Density of air</t>
  </si>
  <si>
    <t>kg/m^3</t>
  </si>
  <si>
    <t>Clmax</t>
  </si>
  <si>
    <t>Take off velocity</t>
  </si>
  <si>
    <t>m/sec</t>
  </si>
  <si>
    <t>vlo=1.2*sqrt(2*wos/(sigma*rho_sl*Clmax));    % Take-off Velocity [Brandt Eq.5.52, Pg.221]</t>
  </si>
  <si>
    <t>time for take off</t>
  </si>
  <si>
    <t>sec</t>
  </si>
  <si>
    <t>take off distance</t>
  </si>
  <si>
    <t xml:space="preserve">m </t>
  </si>
  <si>
    <t>wb_wto=t_takeoff*PoW1/k_batt                    % Battery Weight / Take off weight</t>
  </si>
  <si>
    <t>W/N  or (m/sec)</t>
  </si>
  <si>
    <t>J/N  or (m)</t>
  </si>
  <si>
    <t>Wb/Wto for take off</t>
  </si>
  <si>
    <t>cruise distance</t>
  </si>
  <si>
    <t>km</t>
  </si>
  <si>
    <t>Cruise velocity</t>
  </si>
  <si>
    <t xml:space="preserve">Cruise time </t>
  </si>
  <si>
    <t>q- dynamic pressure</t>
  </si>
  <si>
    <t>L/D   at cruise velocity</t>
  </si>
  <si>
    <t xml:space="preserve">LoD= wos/(cdo*q+k*(wos^2)/q)    % Lift over Drag    </t>
  </si>
  <si>
    <t>wb_wto=x/(eta_p*eta_m*k_batt*LoD)        % Battery Weight / Take off weight</t>
  </si>
  <si>
    <t xml:space="preserve">Wb/Wto  for cruise </t>
  </si>
  <si>
    <t xml:space="preserve">Battery weight fractions </t>
  </si>
  <si>
    <t>total  Wb/Wto</t>
  </si>
  <si>
    <t>Wto</t>
  </si>
  <si>
    <t>Wempty</t>
  </si>
  <si>
    <t>Wbattery</t>
  </si>
  <si>
    <t xml:space="preserve">s_takeoff=1/3*(vlo)^3/(g*eta_p*eta_m*PoW);               </t>
  </si>
  <si>
    <t>S wing area</t>
  </si>
  <si>
    <t>m^2</t>
  </si>
  <si>
    <t xml:space="preserve">b  wing span </t>
  </si>
  <si>
    <t>ft</t>
  </si>
  <si>
    <t>sq. ft</t>
  </si>
  <si>
    <t>Output</t>
  </si>
  <si>
    <t>J/lb</t>
  </si>
  <si>
    <t>ft/sec</t>
  </si>
  <si>
    <t>Cruise 1</t>
  </si>
  <si>
    <t>stall velocity</t>
  </si>
  <si>
    <t>min</t>
  </si>
  <si>
    <t>knots</t>
  </si>
  <si>
    <t>miles/hr</t>
  </si>
  <si>
    <t>velocity conversions  from m/sec</t>
  </si>
  <si>
    <t>miles/hour</t>
  </si>
  <si>
    <t>Power</t>
  </si>
  <si>
    <t>Watts</t>
  </si>
  <si>
    <t>watts/oz</t>
  </si>
  <si>
    <t>Cruise-dash</t>
  </si>
  <si>
    <t>W/S   wing loading (S)</t>
  </si>
  <si>
    <t>Loiter/Arrival</t>
  </si>
  <si>
    <t>Loiter distance</t>
  </si>
  <si>
    <t>Loiter velocity</t>
  </si>
  <si>
    <t xml:space="preserve">Loiter time </t>
  </si>
  <si>
    <t>L/D   at Loiter</t>
  </si>
  <si>
    <t>Take-off</t>
  </si>
  <si>
    <t>Turns</t>
  </si>
  <si>
    <t>Turn Velocity</t>
  </si>
  <si>
    <t>m/s</t>
  </si>
  <si>
    <t>air density</t>
  </si>
  <si>
    <t>dynamic pressure</t>
  </si>
  <si>
    <t>load factor n</t>
  </si>
  <si>
    <t>theta</t>
  </si>
  <si>
    <t>Wb/Wto  for sustained turn</t>
  </si>
  <si>
    <t xml:space="preserve">t_takeoff=0.7*(vlo)^2/(g*PoW*eta_p*eta_m);  </t>
  </si>
  <si>
    <t>Time</t>
  </si>
  <si>
    <t>hrs</t>
  </si>
  <si>
    <t>time</t>
  </si>
  <si>
    <t>Best range cruise</t>
  </si>
  <si>
    <t>battery weight</t>
  </si>
  <si>
    <t>to</t>
  </si>
  <si>
    <t>CLmax</t>
  </si>
  <si>
    <t>CDo</t>
  </si>
  <si>
    <t>lbs/ft^2</t>
  </si>
  <si>
    <t>For Thunderpower 5S 5000 mAh</t>
  </si>
  <si>
    <t>W (N)</t>
  </si>
  <si>
    <t>E_batt (W-hr)</t>
  </si>
  <si>
    <t>E_batt (J)</t>
  </si>
  <si>
    <t>k_batt</t>
  </si>
  <si>
    <t>www.thunderpowerrc.com/air_batteries/5000-mAhE/TP5000-4SE55</t>
  </si>
  <si>
    <t>Loiter</t>
  </si>
  <si>
    <t>Cruise</t>
  </si>
  <si>
    <t>landing</t>
  </si>
  <si>
    <t>approach velocity</t>
  </si>
  <si>
    <t>density of air</t>
  </si>
  <si>
    <t>mu - braking coefficient</t>
  </si>
  <si>
    <t>beta - weight fraction</t>
  </si>
  <si>
    <t>Clmax landing</t>
  </si>
  <si>
    <t>W/S wing loading</t>
  </si>
  <si>
    <t xml:space="preserve">landing field length 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</si>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</sst>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4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right"/>
    </xf>
    <xf numFmtId="2" fontId="0" fillId="0" borderId="0" xfId="0" applyNumberFormat="1"/>
    <xf numFmtId="0" fontId="0" fillId="2" borderId="0" xfId="0" applyFill="1"/>
    <xf numFmtId="0" fontId="0" fillId="0" borderId="0" xfId="0" applyFill="1"/>
    <xf numFmtId="0" fontId="0" fillId="3" borderId="1" xfId="0" applyFill="1" applyBorder="1"/>
    <xf numFmtId="0" fontId="0" fillId="2" borderId="1" xfId="0" applyFill="1" applyBorder="1"/>
    <xf numFmtId="0" fontId="1" fillId="0" borderId="0" xfId="0" applyFont="1"/>
    <xf numFmtId="0" fontId="0" fillId="4" borderId="0" xfId="0" applyFill="1"/>
    <xf numFmtId="0" fontId="0" fillId="4" borderId="0" xfId="0" applyFill="1" applyBorder="1"/>
    <xf numFmtId="0" fontId="0" fillId="3" borderId="2" xfId="0" applyFill="1" applyBorder="1"/>
    <xf numFmtId="0" fontId="0" fillId="0" borderId="0" xfId="0" applyBorder="1"/>
    <xf numFmtId="0" fontId="0" fillId="3" borderId="1" xfId="0" applyFill="1" applyBorder="1" applyAlignment="1">
      <alignment horizontal="center"/>
    </xf>
    <xf numFmtId="164" fontId="0" fillId="3" borderId="1" xfId="0" applyNumberFormat="1" applyFill="1" applyBorder="1"/>
    <xf numFmtId="2" fontId="0" fillId="3" borderId="1" xfId="0" applyNumberFormat="1" applyFill="1" applyBorder="1"/>
    <xf numFmtId="2" fontId="0" fillId="3" borderId="0" xfId="0" applyNumberFormat="1" applyFill="1"/>
    <xf numFmtId="0" fontId="0" fillId="0" borderId="0" xfId="0" applyAlignment="1">
      <alignment horizontal="center"/>
    </xf>
    <xf numFmtId="0" fontId="2" fillId="0" borderId="0" xfId="1"/>
    <xf numFmtId="0" fontId="3" fillId="2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7</xdr:row>
      <xdr:rowOff>0</xdr:rowOff>
    </xdr:from>
    <xdr:to>
      <xdr:col>12</xdr:col>
      <xdr:colOff>257175</xdr:colOff>
      <xdr:row>14</xdr:row>
      <xdr:rowOff>152400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00000000-0008-0000-02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76800" y="1143000"/>
          <a:ext cx="2695575" cy="1485900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5</xdr:row>
      <xdr:rowOff>0</xdr:rowOff>
    </xdr:from>
    <xdr:to>
      <xdr:col>5</xdr:col>
      <xdr:colOff>304800</xdr:colOff>
      <xdr:row>6</xdr:row>
      <xdr:rowOff>119743</xdr:rowOff>
    </xdr:to>
    <xdr:sp macro="" textlink="">
      <xdr:nvSpPr>
        <xdr:cNvPr id="7169" name="AutoShape 1" descr="data:image/png;base64,iVBORw0KGgoAAAANSUhEUgAAAWAAAAB6CAYAAACBW4kFAAAfYElEQVR4Xu3dBZRtVR0G8I3dYiB2dyAWWICtSIiK3YLYjS2KoqKCHdhii1jYIpgYWNgJBgaK3e1z/bZrv3XmvLkzd97ceefeud9ea9aLObHPt8/59n9//9hbbdiwYUNJCwJBIAgEgS2OwFYh4C2OeW4YBIJAEKgIhIDzIgSBIBAEBkIgBDwQ8LltEAgCQSAEnHcgCASBIDAQAiHggYDPbYNAEAgCIeC8A0EgCASBgRAIAQ8EfG4bBIJAEAgB5x0IAkEgCAyEQAh4IOBz2yAQBIJACDjvQBAIAkFgIARCwAMBn9sGgSAQBELAeQeCQBAIAgMhEAIeCPjcNggEgSAQAs47EASCQBAYCIEQ8EDA57ZBIAgEgRBw3oEgEASCwEAIhIAHAj63DQJBIAiEgPMOBIEgEAQGQiAEPBDwuW0QCAJBIAScdyAIBIEgMBACIeCBgM9tg0AQCAIh4LwDQSAIBIGBEAgBDwR8bhsEgkAQCAHnHQgCQSAIDIRACHgg4HPbIBAEgkAIOO9AEAgCQWAgBELAAwGf2waBIBAEQsB5B4JAEAgCAyEQAh4I+Nw2CASBIBACzjsQBIJAEBgIgRDwQMDntkEgCASBEHDegSAQBILAQAiEgAcCPrcNAkEgCISA8w4EgSAQBAZCIAQ8EPC5bRAIAkEgBJx3IAgEgSAwEAIh4IGAz22DQBAIAiHgvANBIAgEgYEQCAEPBHxuGwSCQBAIAecdCAJBIAgMhEAIeCDgc9sgEASCQAg470AQCAJBYCAEQsADAZ/bBoEgEARCwHkHgkAQCAIDIRACHgj43HZ2EdiwYUPxs9VWW218iPbv/v/1j3OC/zvNaU6zAIB2Tf/ZvUb370sh5vy//vWv5de//nU5/elPX8597nOXM57xjAuuNbuIr9+eh4DX79jOxJMhjlNOOaWc//zn34SUNvcBXPNf//pX+f3vf1/+8pe/lK233rqc4xznKKc97WlHXvK///1vJbDf/OY3tR/nOc95ypnPfOZFCeyrX/1q+cQnPlGJtNsueMELlutd73rFn9rXvva18vnPf778+c9/XnAd191tt93KhS50oY2nf+Mb3yif/OQnyz//+c+Nx2677bZl9913L2c729mWhOJ3v/td+dznPlf+9re/lXOe85y1Xz/4wQ9qP25+85tXQk6bTgRCwNM5Luu6VwjiP//5TyXIt73tbeVLX/pSeeYzn1m22WabVT+3ayLH7373u+WiF71oJa/f/va3ldj23HPPcr7znW8Ty/MXv/hF7Yd+XeISl6jH/vjHPy4Xu9jFyo1vfONqTXbbF77whfK+972vvP/97699v/jFL17ueMc7lstf/vLlRje6UbnIRS5SD//iF79YjjvuuHLkkUdWIkaE+++/f50Qbnvb29brt/blL3+5HHHEEeW9731v7e8ee+xRdtxxx3L729++Th6j2s9+9rP6vP680pWuVHbYYYc6kbz97W+vz3TggQeWW9ziFqvGNRdYGwRCwGuDa646AoFjjz22+GEVIpbXvva1BQF+61vfKpe73OVWhdtPf/rT8vKXv7z489rXvna5+tWvXgn3Ix/5SHnFK15RHvjAB1ZCY4FqCPfkk0+uJPXLX/6y7LPPPuWqV71q+cc//lE++tGP1p9ddtml3O1ud6sWcbexNp337Gc/u9zwhjcs73jHO8q5znWuRft/0EEHlWc961n1vqz9053udIsed+KJJ9brXfjCFy777bdfYQEvJUEgapMAC3ivvfaqE05r+ned61ynTijvete7VoVrTl47BELAa4dtrrwIAt/5zneKH1YmwkJuv/rVr1ZNwLRPJHf88ceXxzzmMeWmN71pOcMZzlB7cOihh5ZDDjmk3PrWty7PeMYzNlq0LMX73ve+den/nOc8p+y9994be/ynP/2pPO1pTysf/OAHKyne5CY3WUCc+o/UH/zgB5eddtqpvPWtb90oPfQf+9GPfnR58YtfXMgcJp7FCNhkwGL9yU9+Uq1pJLxUs4L4+Mc/XieJ+9znPtUK7zbXu+Y1r1knE/JG2nQiEAKeznGZm16x2iyfV2MBI0Pk9eQnP7nc4Q53KE960pPKmc50po0YItHDDjuskr2lffsdy5jlSDqwjO9rrazaJzzhCdXCfcpTnrJAvvj3v/9djjrqqEra17rWtcqrXvWqst12220ybl//+tfLgx70oPKZz3ymOOfnP/95ucAFLrDJcd/+9rer/EBC2HnnnZfVwxH1W97ylnKZy1ymPkPfUj7ppJOqHKJv5Ii06UQgBDyd4zI3vZoEAXOc3epWt6oRAC972cvKDW5wgwX4WY6zsskIZznLWTaSFcJm5bJgWZP99tnPfrY89KEPrZoszRdRt8aapeta5l/5ylcuL3zhCytRdxsr1fk04YMPPrj84Q9/qOcgxW77+9//Xt70pjdVJ9q9733v2selGuv205/+dJVvWO405b71e8ABB9RJx+SD1NOmE4EQ8HSOy9z0arUEjIzIDqxGmi/CoS1beiNJji8//bAvAJMfXv3qV1d54UMf+tCi1uv973//GmHwsY99rEY4dK/zve99r2rG5AIE25UwXIzlKRrB9Xfddddy6qmnVq34Nre5zYJ7cdSZAG53u9uNpYOL7GB907of+chH1uv+6Ec/qs+J7N2D7EJ7ds0mxczNSzVDDxoCnqHBWo9dXS0BW9Y/73nPK4997GMr0dF66bzIl9OLpSjkiy7cwsMajuQFujHypqX2mwgH8gECttxHnF0yQ3rONQmwODnOWmONs7Dvda97VWmCRssB9/znP79axa0hT0RN/rjrXe+6rPTgPE5L1q8JB+k+97nPrSFtLOxPfepT1SlHkqGDiwVOm14EQsDTOzZz0bPVErB4X6FdL33pS8tlL3vZaoXe/e53L5e61KUqfjRXxIgQDz/88AUyAnJGoKxY0kDfOfbOd76zPP7xj68hbRxuNOSutswCRcqs3Ec84hH1WA0hmwgQPn0WuW6//fY1LpjF6nftuA9/+MPV+haG1732UoP//e9/v1q4CN49YEAmQcbkCNa4aJBjjjmmasTjJnPMxQs3ZQ8ZAp6yAZm37kyCgPfdd9/y+te/vlqZyK0vBbBen/jEJ1aNlsXbQsqa5krCEKVAJmhkZZnP8UZTFhGB4O95z3tuDGEzTkLXRCCwnu93v/tVUtRox8gPOYvN1VjhiJYkIGKiJUvQfmnWJoJxmvPEDLP63/jGNy56CgedBAyhePo9LrGPc/8cM1kEQsCTxTNXWyECkyDghz3sYZVoOJs4y/oJHTLXkLRIC2SLFBvRItF73OMe1XokI9CP/Y4my6pkBUuosKTn6OtKEJx/pA9yAOv4Na95TSVrkgCr2vFNM0bUjpNcwfIWAifqQUgeS3bcZtLQJ3IGy3+xRn7h6JOU8pWvfKWc/exnH/fyOW4LIxAC3sKA53YLEVgtAdOAOZue+tSnVisScfaX3JbsZAlarmwzlmlXbvjjH/9Y3vzmN1ctlmbqR6baJS95ySoZnHDCCTV5hEXZdcI5j8UtksI1haJx1rFAnd+N5ZW08fSnP71KBiQL4WkIW4zwcjG/XcRMCixtercws8UaLVhkh8gPjsIQ8PR+dSHg6R2buejZagmYtYc4xf9e//rXrwTY13IRHgtVLO7rXve6cqc73Wms+ggkg0c96lFVwyUVIORuY8WyajnqpPsia9YyK7cfkkZDdpy+/fCHP6zShvA1RL2SJmb6IQ95SD1/VOo2CYRDjyTDyl4urG0l98+xk0UgBDxZPHO1FSKwWgKmiXKSIV9pt+95z3s2SXT45je/WeNrLcclXziWJStOF2GyWEUMKGTTmuuKsWVtIjzk2a/JwPnlfjRnTjZarlhh5HfWs551ARJShlv42Qte8IKanSYiYlRa8ihpQR0Kk4LsvcWaZ2JtI2jRIHTrFONZ4Uu5BQ8PAW9BsHOrTREYl4BZfhxbQrDUc1DIpskBpAChXbTVl7zkJZVMu+0DH/hAtU5ZjN2UYRasayHoV77ylXVZ3xorVWSDZTwHHU23L22wvsXwkgIQLmsWOV7hClfY5EGRPwkDaXOQSW9mAa+kyfjzfJxvoifOe97zbnI6hyBNXB9e9KIXbVJ8aCX3y7Frj0AIeO0xzh1GIMByldwgbpUGK0JgsYQJpyNR5MaRJuKB5NAcYnRgRCjWl/NJ9EKLdECg/s1iFPfLMdaiAkQ6IEPEynHWMtSQPAuSZsx5d8tb3nLkMl5EAuIW/sXyJHUsFvYl3tekwUJl+T7gAQ9Y8XvBASfaQllN5C2RpFnasumOPvro2m+asgmJNb5UCc4VdyAnTByBEPDEIc0Fl0LAkt+yndUqAgFxsiRFJlzxilesS3KkrHBOt6mVIOJA7K0QLMd0yQWZWuar/MWJ5loa65bVSaNFvl2ZAXHLGmP9SmpAkPplYuC4cg5n1lLlIF0f6Sp8w8k2SpfVBzWPkbywuFGV05bCjnONjIHAWbpinFnx5BLP7JruYUKwshg1meUNnR4EZpaAvXQykThBeHp9xCwPOiCPtyVYAtCn50VrPSElIFOpwggU4RonZMg69HdE2Ai0ned3dFOW3lWucpVFLVK/c23yQSs56f84o1iD7f+6qCAwTit/clZZ5vuR1HHpS196Wf0UKZpUFNjp97mPvvAxjjx68eY091FzQkKJxBKJHaqr+RY8m6QLqchJPd4cdIc5ZyYJ2AdiSSqMR8Fs+pyPGQmzkKRjqu3KKgkJD/NiDXlX74EfjRW4nCWIwBzfdrgY55z2fN3tiZZ710wirr3ccaOw47xj6ZIhtP6OHJt73SHHat7vPXME7KVjCSBY3mY6WAue9zv6Hc2PDqaQSr+Q9hADzkphYU2ysXjof8uRyyTvmWsNiwCNXNLGSp13w/Y6d18KgZkjYNavgtW0NzpYd18tmUlqwYr1vPOd71yJeLHaq1vyldAXzqFmkU3q3ojXswqvSqrppFCd3uuQaK5xjWvULZBWEro2vU+UnkFg5ghYeqXwG9vXsIS7up59vIQOccQgvq6nvDvctDPSRdMc+8tJcZ9CeTbHUdJ/rThfpKf2l4urff0QMM0y1a5Wi+RsnE//FlamyE7a+kFg5ghYVhPnCNnBdjBCk1gEgs39ifBYmxwRo5bnyJATSJgRwub1FqJkzzDntWutn2HOk6wHBBbb4n49PNc8P8PMEbBYSBEOrF0EK1yI91l6aduR1v8t55DwMiveLVNIyI4qWazieWrCwCatTc8TfnnWxREQ6tffSTpYLY7AzBEw2UBevgIoUkiFGbUmZ1+AO/lgOe0X8YiiYEXLYFKPlWU9T43UonZCWhCYJAKK0D/84Q9f1gia5D1n9VozR8CA5pCg40oRFQssyoBFLOuJLsqa9RIsVYREPConnThihK2a1mJxorM6sOP0m55OikkLApNEwHeXCmzjITpTBCwCQmuB5rRekoTYX3VgpbMq87fnnnsua9E6To1WxC20p8VWjgfb+EfRrDkL18IJJ/7Zzg9JNx1/PHJkEJgmBGaGgIXf2DpcE2Im5bLbSBMiH1i1NGG5/YsVRXEO4hbCJq6S7EB+WCv9V1KIYuGTtjSFnsn40++1qnZF3hHup2h4y1xD+IifhaMugygM2YfrNR6ZU5eTVoaddGfvGbxh4KetyE4++eQqhy2XDTdNH3/6MjwCM0PAyFJ4mZcfedoOvN841R73uMfVcoOiGkbpwD4k0gP9V30A6Z0ccWvRfMCSQ9aCgCWZrIVsYoKS3q1mA7mnlW7k2PR3ESiSAWAo1E/tgfUWm0qeUdzdbhp8DRxLfAwtS04SjElQzQrSl8lfPYm73OUua/Ea5ZrrFIGZIGAkwMoiNSiQYivx/g63SEMlKLsS2GWgv4Ntd/wQog0USRakB6UBkz//f4RapqGyh+oWwFvtBQTL+jvppJPKkUceWRMCyDgKfiPj5aJOZuX78Yw26FQwh9XLolVA57rXvW4t7dhwsCpQsJ2EJQHIO8X3YPJPCwLjIjATBIxcLbUVaeEwW6w2q0LVqlEpSMID2yfoLiC2qGFRs1xs1ihlOe3/CCgNqboXrMk5i9WctSQXvscatFdaNxtxlnEUGaNgO/kKEZN49thjj7LttttuIrGYqBgEshztyKGsJcMASacFgXERmAkC9jC0VDsUKLCDIEgGPgLaG2lCRSuWGn14KU0Smdua5mY3u1mtkOVjs5PBqGYJ6sfHOA/N1jlSnBU7sqRerCEnS231Nkg9k8gYHBpbEhGL1vOQFyT4INWlvPlWZmQv76ONPb1LcYgOPZKzdf+ZIWAvO4eQqAKEKIzMcpCli3A5hzjU6KJLOYRETbBU6L8+MNodC2dUE1e8++6716Lc89A8pyLjdnDoOzq7z49w4CLiZNbToU3KsiL322+/mpiCfD3fOHupCYe0gjJBKwyVFgRWgsDMELCHainEaisISaM70m59KBwi43ji7SprtwCFuC2jxRKPOo/eqfCP6ItxPsaVAD+tx3Juim5Q+hA+o5qwv6td7Wp1Apx1/Vdhc1sWqddrBWWlNW4mF6wkBdkzjk6cFgRWgsBMEfBKHmzUsT42koNIiAMOOGBk/C+rSHoz61qY2rw0+jnyRUAsXFbdDjvssMnS2orEcns58uWos4ODqIpWd9fOFlYfoyxnTi0rE84+UR7uw1lKGmCh2vOtLw3QY9XyoFmbVPvRIYcddlh1rh188MELLHsT+VFHHVVLmxprG1m2zTPHGXN+BNe1C/K8TNLj4JJjxkNgrggYqUqKsDmiLXBETdjaptuQBHKRposELE2322678dBcB0chP15/GYawsDoQfmWHCI5LFiKn23LES1O1yhBhwpK2vLdKQYRtt2EOrm4Ms/uJLnCsUDfETVayw4XwQkRpdwtbD5GcWqNJW6WI2LDJ5hve8IYF/VPzQrjciSeeWH0JiLY1z0tm4kzcbbfd6rmT0rRbsfZuEZ3293FWa+vgdcojLIPAXBCwD5T0wOqV9WZTRyQjjrV5rZGzbV7e/e5314+Q/ICcfez9LcbX+1uFsBAlnOyRJpaZdu5PW94g0L322mtkAgirUngaSxeZsqpbnDASROKsRaTX8EdM9H3aq/EyObZEB3izalmnwrxY6N0Yb1YxsrZX3P77718jE7rNDsKq3iFt+791NX8Tjfu4Py1XKNmkGn1YZI6oEUkaTSoTU+zdW0pjn1Qfcp3pRmAuCJjDTsA8Au6mBFvaNksEAfvwW/M7IWoK9ay3JINxX0lWrPjWE044oVqzdhZGziQJhLjYygC+dFFESh/uE94pp5xSMVXf1k9LgEGirFxbrtNj/b1rZZMOEL8Yb0TZlSCEznGCidtVM3fXXXdd8IjOY4lzvNL/27nGXPQMUmfVi/4wYaykLVUi0vvEX0Ejlg0prA8uVgLjVOxbST9y7GwiMBcEPJtDs2V7bXNJFtqotGayjGW+FQRC5rASyteXIljKkmEUN2L5SnjpNufaxaOl94o31li/wt5YtkjY7g+tsR6R7hFHHFEnAvfthnvRf8lKCN/vWemtsdpJDBIrnE97bhNqS0mnKZM6ELWojnEa4kWufArCGUc196Apiy8WvTNvFffGwXKejwkBz/Pod54daSK2pVKyWXQcl6xfWYRC1vpaJqcUKw+hkgoQXrchQqRM1kFKCBeZIV1a8c4771zjcbsOOpYtTd5KxvldaQLBNf2XpkzW6PaJfsyBR/ogL4kVb819kSKLnraMgF1jnIbYyVN8BEs5aa0YOH31SfbguNtHmfCabNGeR3+t4kx6XVmsFaUyKcFtOX3e87Xdn/VnnBWe/lilcG6apPWllYJ1z2ja47w1mx4TAt483NbVWT6unXbaqeqSy1lzBx54YE18GeXARHSW9Jx2LM5uRqL70GfJEqIrkDlnm4+ZVkrjRd70527jfJMgQfJAdt1JwjWd1/Rfx3WbRAlaNP2XTkz/FZHR0qdZsCYeMgYJYtxYXglA7mvSYH2PahJayBoiSsgj4xRO4q/gjOSTQHImMfUoOAwRIFIXfsmP4Rj/RoLkIvqylcSoBBIrHY5oEwjsyUwwROjSrrfeeusFj4LcrVr4AhA8q5+T0v1MBlY87glPztq0lSEQAl4ZXuvy6OZw5DjzUY9q6h4gUCFqrFiZcN3GQmYVijgQjYDQu5YRUiEl0IEVw99xxx3rR42AFURCgGQLJN8agjjkkENqlpl7Ox9xtMaSY4nTnV1j77333vg7/XEe/ZcVzBHnGVjYrsVSVEuapY7Y9fnQQw9dNgpCoR73QnIs86Wy30gx+qC2hpjycTLlWPEmBGStXyYlz7zNNttUC14mp0mMM5MFK/ROCr7iSTRtmrMY7b4ljNhF9hgHYXP2VRRCZ0J1DWPar+YmKceYIljSDonHOSYt/yceHDkbO9dLWxkCIeCV4bUuj7bDiBhaBDHKSmNpySC0jHasCJH+0hVZsmpdAwmTNdoxrDdE54OlASOVrpXmo+YoVZ2Ow6otk1W+47xCsMiDRNAlMZKHDx8Rub5QOQ2pqw/CIrbrB8L3fMgcyYjiQFCOUxtE9IR7sJbFf4+KfBHXLD7Z75E6629UY2UidVXVkKbVxXLyAIuSxEO2sORHsvorOgOpakiRVWzVImuPhAJnxE2jNzmoUNe9l7ExfiZFBE33NjmSYDg2rVRMfE2Tb88ED7q4JBN9cz6cTSycnaQjlrDU9KXqr6zLD2cCDxUCngCIs34JWVwsJ44vpMi6saxmdfnokC7ryvIVce2yyy6LEpQP0YdNs0WU/u7jtcynGSM4xMBKZc11m3PJCAh6n332qdowOcM5xxxzTF0akz2QTbcdffTRlYw4EJE+ErEUFrGBLFn3wtAOOuigaj0iYoTeDQFDlFKvTRz6rt9iii3lXQsRWobTmi3XWYImi/5yvf8e0MFNCCYMUsSowkYmABKFhiid15yRyJIk0yYMfYWRMWOxkkzaJGdyMZk6vl+utVUSVCNbmGXTosVFI1nX56zsTzwmL7q8ZzDZmQhgheRdy8Tsdyaicaz7Wf9WJt3/EPCkEZ2x67WqX8jLB4W4xMYizeZ0oZsqTYmQJLCMciTRRS1LHYsEkB/CasXc6cLbb7/9oiFYLFEfM0JwPCLwQSNgy21yBaurm0QBauSBDFit+o+I6ZMmEo41xOCZTj311FonxDGLWe/6SZ447rjjas0RMgmyQ26I07Xg4BkQ+TjlSzn9yB7Ilcbd12XJDJb/dNZ99913kzeHvmwSMYE08qbBklRo28i2LfuRo3vpM23aGLQG22OPPbZOBvDqxkmL9WbRInPRGktZ6CYK1QjhwEpP5t/qP/YQ8OoxnOkrtOwzxIZYWbzIxweNCOmQiItFxhpc6gNttRQs9S13kQWSQaSsxVbQfCnAEKE+6BeSQ+SW1eKCWX19EmOptwgH5EqP1DiKHOvedF7kjkyRxyhHmHvSlMklCFv//Z/JgMXuZyUF8E0YHH8sa+TXJW3PaWI4/PDDKyn2tVe40bZNaK7RLNMWZWKS4eRs1xRRQm4h7dgPkVQg3rolndD3bcGFOJtMw8EnvprMQ2tumXsqDrbntGIw9uQGMpFrkxtaeKGVAaz4DsatnzHTH8yEOx8CnjCg83w5DinLWxbYSmosI02OHsv+bhowKxz5cpqxctsyvGHMqSSBgjOQljlNFpnVg+QQS3jWZ7eGNSkHTvRTkorwt/6kwBKnlSNn5S7b71np9GFE23VWmqhcj9RionB9+nCTeqxq4Ccig9TQwugkG7HqSR2iTTjnkGmTHESemFBNJiQg46BP/AAmKgRN2yYDjbMqmOfvY7FnDwHnjZgYAkiGNWR5TGoYt3FUsQaRAStXYyGy8HzsLEHOvX7UBauOFut8GvM0NJMGLZv8IG7Zc0i+aHHN/s26NemwLFm3/cw9z+F5SA1IlezTHIb0eBYsB2d3H8Pjjz++kigr1qREGzYeTZdFuCYCffN7/49crQqsXPypFgaybXKHvsLXn86hfVsN8QcYC9fgL0C+3ciUaRiHWelDCHhWRmrK+4l4ecHpo6IPxgnub49E32WhIQhLccRF90U+rGKapdjfvvxB87SkpmGuxOJeSygRIF29m9be73dLh/f/cFosiYH8wzHZd24hQ5Y/kuye1zLzyC3OsRro35fWTHZA/uSmJin5t/uRifr6PkmmyTfIV3N86xtpJEkYm/9GhYA3H7uc2UEAAQuLQorjJjO00yUQcEaREXzwiIB1JvSJM2kUmdMtWYqW+Y0cMihBYJYQCAHP0mhNeV+XKkyzVl0f4p5r9Sy57vwhEAKevzHPEweBIDAlCISAp2Qg0o0gEATmD4EQ8PyNeZ44CASBKUEgBDwlA5FuBIEgMH8IhIDnb8zzxEEgCEwJAiHgKRmIdCMIBIH5QyAEPH9jnicOAkFgShAIAU/JQKQbQSAIzB8CIeD5G/M8cRAIAlOCQAh4SgYi3QgCQWD+EAgBz9+Y54mDQBCYEgRCwFMyEOlGEAgC84dACHj+xjxPHASCwJQgEAKekoFIN4JAEJg/BELA8zfmeeIgEASmBIEQ8JQMRLoRBILA/CEQAp6/Mc8TB4EgMCUIhICnZCDSjSAQBOYPgRDw/I15njgIBIEpQSAEPCUDkW4EgSAwfwiEgOdvzPPEQSAITAkCIeApGYh0IwgEgflDIAQ8f2OeJw4CQWBKEAgBT8lApBtBIAjMHwIh4Pkb8zxxEAgCU4LA/wAowhOh1DcY8wAAAABJRU5ErkJggg==">
          <a:extLst>
            <a:ext uri="{FF2B5EF4-FFF2-40B4-BE49-F238E27FC236}">
              <a16:creationId xmlns:a16="http://schemas.microsoft.com/office/drawing/2014/main" id="{54D02776-58AA-4DAA-AB1D-3FA5E06AB7B7}"/>
            </a:ext>
          </a:extLst>
        </xdr:cNvPr>
        <xdr:cNvSpPr>
          <a:spLocks noChangeAspect="1" noChangeArrowheads="1"/>
        </xdr:cNvSpPr>
      </xdr:nvSpPr>
      <xdr:spPr bwMode="auto">
        <a:xfrm>
          <a:off x="4060371" y="925286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0</xdr:row>
      <xdr:rowOff>0</xdr:rowOff>
    </xdr:from>
    <xdr:to>
      <xdr:col>5</xdr:col>
      <xdr:colOff>304800</xdr:colOff>
      <xdr:row>1</xdr:row>
      <xdr:rowOff>119743</xdr:rowOff>
    </xdr:to>
    <xdr:sp macro="" textlink="">
      <xdr:nvSpPr>
        <xdr:cNvPr id="7170" name="AutoShape 2" descr="data:image/png;base64,iVBORw0KGgoAAAANSUhEUgAAAWAAAAB6CAYAAACBW4kFAAAfYElEQVR4Xu3dBZRtVR0G8I3dYiB2dyAWWICtSIiK3YLYjS2KoqKCHdhii1jYIpgYWNgJBgaK3e1z/bZrv3XmvLkzd97ceefeud9ea9aLObHPt8/59n9//9hbbdiwYUNJCwJBIAgEgS2OwFYh4C2OeW4YBIJAEKgIhIDzIgSBIBAEBkIgBDwQ8LltEAgCQSAEnHcgCASBIDAQAiHggYDPbYNAEAgCIeC8A0EgCASBgRAIAQ8EfG4bBIJAEAgB5x0IAkEgCAyEQAh4IOBz2yAQBIJACDjvQBAIAkFgIARCwAMBn9sGgSAQBELAeQeCQBAIAgMhEAIeCPjcNggEgSAQAs47EASCQBAYCIEQ8EDA57ZBIAgEgRBw3oEgEASCwEAIhIAHAj63DQJBIAiEgPMOBIEgEAQGQiAEPBDwuW0QCAJBIAScdyAIBIEgMBACIeCBgM9tg0AQCAIh4LwDQSAIBIGBEAgBDwR8bhsEgkAQCAHnHQgCQSAIDIRACHgg4HPbIBAEgkAIOO9AEAgCQWAgBELAAwGf2waBIBAEQsB5B4JAEAgCAyEQAh4I+Nw2CASBIBACzjsQBIJAEBgIgRDwQMDntkEgCASBEHDegSAQBILAQAiEgAcCPrcNAkEgCISA8w4EgSAQBAZCIAQ8EPC5bRAIAkEgBJx3IAgEgSAwEAIh4IGAz22DQBAIAiHgvANBIAgEgYEQCAEPBHxuGwSCQBAIAecdCAJBIAgMhEAIeCDgc9sgEASCQAg470AQCAJBYCAEQsADAZ/bBoEgEARCwHkHgkAQCAIDIRACHgj43HZ2EdiwYUPxs9VWW218iPbv/v/1j3OC/zvNaU6zAIB2Tf/ZvUb370sh5vy//vWv5de//nU5/elPX8597nOXM57xjAuuNbuIr9+eh4DX79jOxJMhjlNOOaWc//zn34SUNvcBXPNf//pX+f3vf1/+8pe/lK233rqc4xznKKc97WlHXvK///1vJbDf/OY3tR/nOc95ypnPfOZFCeyrX/1q+cQnPlGJtNsueMELlutd73rFn9rXvva18vnPf778+c9/XnAd191tt93KhS50oY2nf+Mb3yif/OQnyz//+c+Nx2677bZl9913L2c729mWhOJ3v/td+dznPlf+9re/lXOe85y1Xz/4wQ9qP25+85tXQk6bTgRCwNM5Luu6VwjiP//5TyXIt73tbeVLX/pSeeYzn1m22WabVT+3ayLH7373u+WiF71oJa/f/va3ldj23HPPcr7znW8Ty/MXv/hF7Yd+XeISl6jH/vjHPy4Xu9jFyo1vfONqTXbbF77whfK+972vvP/97699v/jFL17ueMc7lstf/vLlRje6UbnIRS5SD//iF79YjjvuuHLkkUdWIkaE+++/f50Qbnvb29brt/blL3+5HHHEEeW9731v7e8ee+xRdtxxx3L729++Th6j2s9+9rP6vP680pWuVHbYYYc6kbz97W+vz3TggQeWW9ziFqvGNRdYGwRCwGuDa646AoFjjz22+GEVIpbXvva1BQF+61vfKpe73OVWhdtPf/rT8vKXv7z489rXvna5+tWvXgn3Ix/5SHnFK15RHvjAB1ZCY4FqCPfkk0+uJPXLX/6y7LPPPuWqV71q+cc//lE++tGP1p9ddtml3O1ud6sWcbexNp337Gc/u9zwhjcs73jHO8q5znWuRft/0EEHlWc961n1vqz9053udIsed+KJJ9brXfjCFy777bdfYQEvJUEgapMAC3ivvfaqE05r+ned61ynTijvete7VoVrTl47BELAa4dtrrwIAt/5zneKH1YmwkJuv/rVr1ZNwLRPJHf88ceXxzzmMeWmN71pOcMZzlB7cOihh5ZDDjmk3PrWty7PeMYzNlq0LMX73ve+den/nOc8p+y9994be/ynP/2pPO1pTysf/OAHKyne5CY3WUCc+o/UH/zgB5eddtqpvPWtb90oPfQf+9GPfnR58YtfXMgcJp7FCNhkwGL9yU9+Uq1pJLxUs4L4+Mc/XieJ+9znPtUK7zbXu+Y1r1knE/JG2nQiEAKeznGZm16x2iyfV2MBI0Pk9eQnP7nc4Q53KE960pPKmc50po0YItHDDjuskr2lffsdy5jlSDqwjO9rrazaJzzhCdXCfcpTnrJAvvj3v/9djjrqqEra17rWtcqrXvWqst12220ybl//+tfLgx70oPKZz3ymOOfnP/95ucAFLrDJcd/+9rer/EBC2HnnnZfVwxH1W97ylnKZy1ymPkPfUj7ppJOqHKJv5Ii06UQgBDyd4zI3vZoEAXOc3epWt6oRAC972cvKDW5wgwX4WY6zsskIZznLWTaSFcJm5bJgWZP99tnPfrY89KEPrZoszRdRt8aapeta5l/5ylcuL3zhCytRdxsr1fk04YMPPrj84Q9/qOcgxW77+9//Xt70pjdVJ9q9733v2selGuv205/+dJVvWO405b71e8ABB9RJx+SD1NOmE4EQ8HSOy9z0arUEjIzIDqxGmi/CoS1beiNJji8//bAvAJMfXv3qV1d54UMf+tCi1uv973//GmHwsY99rEY4dK/zve99r2rG5AIE25UwXIzlKRrB9Xfddddy6qmnVq34Nre5zYJ7cdSZAG53u9uNpYOL7GB907of+chH1uv+6Ec/qs+J7N2D7EJ7ds0mxczNSzVDDxoCnqHBWo9dXS0BW9Y/73nPK4997GMr0dF66bzIl9OLpSjkiy7cwsMajuQFujHypqX2mwgH8gECttxHnF0yQ3rONQmwODnOWmONs7Dvda97VWmCRssB9/znP79axa0hT0RN/rjrXe+6rPTgPE5L1q8JB+k+97nPrSFtLOxPfepT1SlHkqGDiwVOm14EQsDTOzZz0bPVErB4X6FdL33pS8tlL3vZaoXe/e53L5e61KUqfjRXxIgQDz/88AUyAnJGoKxY0kDfOfbOd76zPP7xj68hbRxuNOSutswCRcqs3Ec84hH1WA0hmwgQPn0WuW6//fY1LpjF6nftuA9/+MPV+haG1732UoP//e9/v1q4CN49YEAmQcbkCNa4aJBjjjmmasTjJnPMxQs3ZQ8ZAp6yAZm37kyCgPfdd9/y+te/vlqZyK0vBbBen/jEJ1aNlsXbQsqa5krCEKVAJmhkZZnP8UZTFhGB4O95z3tuDGEzTkLXRCCwnu93v/tVUtRox8gPOYvN1VjhiJYkIGKiJUvQfmnWJoJxmvPEDLP63/jGNy56CgedBAyhePo9LrGPc/8cM1kEQsCTxTNXWyECkyDghz3sYZVoOJs4y/oJHTLXkLRIC2SLFBvRItF73OMe1XokI9CP/Y4my6pkBUuosKTn6OtKEJx/pA9yAOv4Na95TSVrkgCr2vFNM0bUjpNcwfIWAifqQUgeS3bcZtLQJ3IGy3+xRn7h6JOU8pWvfKWc/exnH/fyOW4LIxAC3sKA53YLEVgtAdOAOZue+tSnVisScfaX3JbsZAlarmwzlmlXbvjjH/9Y3vzmN1ctlmbqR6baJS95ySoZnHDCCTV5hEXZdcI5j8UtksI1haJx1rFAnd+N5ZW08fSnP71KBiQL4WkIW4zwcjG/XcRMCixtercws8UaLVhkh8gPjsIQ8PR+dSHg6R2buejZagmYtYc4xf9e//rXrwTY13IRHgtVLO7rXve6cqc73Wms+ggkg0c96lFVwyUVIORuY8WyajnqpPsia9YyK7cfkkZDdpy+/fCHP6zShvA1RL2SJmb6IQ95SD1/VOo2CYRDjyTDyl4urG0l98+xk0UgBDxZPHO1FSKwWgKmiXKSIV9pt+95z3s2SXT45je/WeNrLcclXziWJStOF2GyWEUMKGTTmuuKsWVtIjzk2a/JwPnlfjRnTjZarlhh5HfWs551ARJShlv42Qte8IKanSYiYlRa8ihpQR0Kk4LsvcWaZ2JtI2jRIHTrFONZ4Uu5BQ8PAW9BsHOrTREYl4BZfhxbQrDUc1DIpskBpAChXbTVl7zkJZVMu+0DH/hAtU5ZjN2UYRasayHoV77ylXVZ3xorVWSDZTwHHU23L22wvsXwkgIQLmsWOV7hClfY5EGRPwkDaXOQSW9mAa+kyfjzfJxvoifOe97zbnI6hyBNXB9e9KIXbVJ8aCX3y7Frj0AIeO0xzh1GIMByldwgbpUGK0JgsYQJpyNR5MaRJuKB5NAcYnRgRCjWl/NJ9EKLdECg/s1iFPfLMdaiAkQ6IEPEynHWMtSQPAuSZsx5d8tb3nLkMl5EAuIW/sXyJHUsFvYl3tekwUJl+T7gAQ9Y8XvBASfaQllN5C2RpFnasumOPvro2m+asgmJNb5UCc4VdyAnTByBEPDEIc0Fl0LAkt+yndUqAgFxsiRFJlzxilesS3KkrHBOt6mVIOJA7K0QLMd0yQWZWuar/MWJ5loa65bVSaNFvl2ZAXHLGmP9SmpAkPplYuC4cg5n1lLlIF0f6Sp8w8k2SpfVBzWPkbywuFGV05bCjnONjIHAWbpinFnx5BLP7JruYUKwshg1meUNnR4EZpaAvXQykThBeHp9xCwPOiCPtyVYAtCn50VrPSElIFOpwggU4RonZMg69HdE2Ai0ned3dFOW3lWucpVFLVK/c23yQSs56f84o1iD7f+6qCAwTit/clZZ5vuR1HHpS196Wf0UKZpUFNjp97mPvvAxjjx68eY091FzQkKJxBKJHaqr+RY8m6QLqchJPd4cdIc5ZyYJ2AdiSSqMR8Fs+pyPGQmzkKRjqu3KKgkJD/NiDXlX74EfjRW4nCWIwBzfdrgY55z2fN3tiZZ710wirr3ccaOw47xj6ZIhtP6OHJt73SHHat7vPXME7KVjCSBY3mY6WAue9zv6Hc2PDqaQSr+Q9hADzkphYU2ysXjof8uRyyTvmWsNiwCNXNLGSp13w/Y6d18KgZkjYNavgtW0NzpYd18tmUlqwYr1vPOd71yJeLHaq1vyldAXzqFmkU3q3ojXswqvSqrppFCd3uuQaK5xjWvULZBWEro2vU+UnkFg5ghYeqXwG9vXsIS7up59vIQOccQgvq6nvDvctDPSRdMc+8tJcZ9CeTbHUdJ/rThfpKf2l4urff0QMM0y1a5Wi+RsnE//FlamyE7a+kFg5ghYVhPnCNnBdjBCk1gEgs39ifBYmxwRo5bnyJATSJgRwub1FqJkzzDntWutn2HOk6wHBBbb4n49PNc8P8PMEbBYSBEOrF0EK1yI91l6aduR1v8t55DwMiveLVNIyI4qWazieWrCwCatTc8TfnnWxREQ6tffSTpYLY7AzBEw2UBevgIoUkiFGbUmZ1+AO/lgOe0X8YiiYEXLYFKPlWU9T43UonZCWhCYJAKK0D/84Q9f1gia5D1n9VozR8CA5pCg40oRFQssyoBFLOuJLsqa9RIsVYREPConnThihK2a1mJxorM6sOP0m55OikkLApNEwHeXCmzjITpTBCwCQmuB5rRekoTYX3VgpbMq87fnnnsua9E6To1WxC20p8VWjgfb+EfRrDkL18IJJ/7Zzg9JNx1/PHJkEJgmBGaGgIXf2DpcE2Im5bLbSBMiH1i1NGG5/YsVRXEO4hbCJq6S7EB+WCv9V1KIYuGTtjSFnsn40++1qnZF3hHup2h4y1xD+IifhaMugygM2YfrNR6ZU5eTVoaddGfvGbxh4KetyE4++eQqhy2XDTdNH3/6MjwCM0PAyFJ4mZcfedoOvN841R73uMfVcoOiGkbpwD4k0gP9V30A6Z0ccWvRfMCSQ9aCgCWZrIVsYoKS3q1mA7mnlW7k2PR3ESiSAWAo1E/tgfUWm0qeUdzdbhp8DRxLfAwtS04SjElQzQrSl8lfPYm73OUua/Ea5ZrrFIGZIGAkwMoiNSiQYivx/g63SEMlKLsS2GWgv4Ntd/wQog0USRakB6UBkz//f4RapqGyh+oWwFvtBQTL+jvppJPKkUceWRMCyDgKfiPj5aJOZuX78Yw26FQwh9XLolVA57rXvW4t7dhwsCpQsJ2EJQHIO8X3YPJPCwLjIjATBIxcLbUVaeEwW6w2q0LVqlEpSMID2yfoLiC2qGFRs1xs1ihlOe3/CCgNqboXrMk5i9WctSQXvscatFdaNxtxlnEUGaNgO/kKEZN49thjj7LttttuIrGYqBgEshztyKGsJcMASacFgXERmAkC9jC0VDsUKLCDIEgGPgLaG2lCRSuWGn14KU0Smdua5mY3u1mtkOVjs5PBqGYJ6sfHOA/N1jlSnBU7sqRerCEnS231Nkg9k8gYHBpbEhGL1vOQFyT4INWlvPlWZmQv76ONPb1LcYgOPZKzdf+ZIWAvO4eQqAKEKIzMcpCli3A5hzjU6KJLOYRETbBU6L8+MNodC2dUE1e8++6716Lc89A8pyLjdnDoOzq7z49w4CLiZNbToU3KsiL322+/mpiCfD3fOHupCYe0gjJBKwyVFgRWgsDMELCHainEaisISaM70m59KBwi43ji7SprtwCFuC2jxRKPOo/eqfCP6ItxPsaVAD+tx3Juim5Q+hA+o5qwv6td7Wp1Apx1/Vdhc1sWqddrBWWlNW4mF6wkBdkzjk6cFgRWgsBMEfBKHmzUsT42koNIiAMOOGBk/C+rSHoz61qY2rw0+jnyRUAsXFbdDjvssMnS2orEcns58uWos4ODqIpWd9fOFlYfoyxnTi0rE84+UR7uw1lKGmCh2vOtLw3QY9XyoFmbVPvRIYcddlh1rh188MELLHsT+VFHHVVLmxprG1m2zTPHGXN+BNe1C/K8TNLj4JJjxkNgrggYqUqKsDmiLXBETdjaptuQBHKRposELE2322678dBcB0chP15/GYawsDoQfmWHCI5LFiKn23LES1O1yhBhwpK2vLdKQYRtt2EOrm4Ms/uJLnCsUDfETVayw4XwQkRpdwtbD5GcWqNJW6WI2LDJ5hve8IYF/VPzQrjciSeeWH0JiLY1z0tm4kzcbbfd6rmT0rRbsfZuEZ3293FWa+vgdcojLIPAXBCwD5T0wOqV9WZTRyQjjrV5rZGzbV7e/e5314+Q/ICcfez9LcbX+1uFsBAlnOyRJpaZdu5PW94g0L322mtkAgirUngaSxeZsqpbnDASROKsRaTX8EdM9H3aq/EyObZEB3izalmnwrxY6N0Yb1YxsrZX3P77718jE7rNDsKq3iFt+791NX8Tjfu4Py1XKNmkGn1YZI6oEUkaTSoTU+zdW0pjn1Qfcp3pRmAuCJjDTsA8Au6mBFvaNksEAfvwW/M7IWoK9ay3JINxX0lWrPjWE044oVqzdhZGziQJhLjYygC+dFFESh/uE94pp5xSMVXf1k9LgEGirFxbrtNj/b1rZZMOEL8Yb0TZlSCEznGCidtVM3fXXXdd8IjOY4lzvNL/27nGXPQMUmfVi/4wYaykLVUi0vvEX0Ejlg0prA8uVgLjVOxbST9y7GwiMBcEPJtDs2V7bXNJFtqotGayjGW+FQRC5rASyteXIljKkmEUN2L5SnjpNufaxaOl94o31li/wt5YtkjY7g+tsR6R7hFHHFEnAvfthnvRf8lKCN/vWemtsdpJDBIrnE97bhNqS0mnKZM6ELWojnEa4kWufArCGUc196Apiy8WvTNvFffGwXKejwkBz/Pod54daSK2pVKyWXQcl6xfWYRC1vpaJqcUKw+hkgoQXrchQqRM1kFKCBeZIV1a8c4771zjcbsOOpYtTd5KxvldaQLBNf2XpkzW6PaJfsyBR/ogL4kVb819kSKLnraMgF1jnIbYyVN8BEs5aa0YOH31SfbguNtHmfCabNGeR3+t4kx6XVmsFaUyKcFtOX3e87Xdn/VnnBWe/lilcG6apPWllYJ1z2ja47w1mx4TAt483NbVWT6unXbaqeqSy1lzBx54YE18GeXARHSW9Jx2LM5uRqL70GfJEqIrkDlnm4+ZVkrjRd70527jfJMgQfJAdt1JwjWd1/Rfx3WbRAlaNP2XTkz/FZHR0qdZsCYeMgYJYtxYXglA7mvSYH2PahJayBoiSsgj4xRO4q/gjOSTQHImMfUoOAwRIFIXfsmP4Rj/RoLkIvqylcSoBBIrHY5oEwjsyUwwROjSrrfeeusFj4LcrVr4AhA8q5+T0v1MBlY87glPztq0lSEQAl4ZXuvy6OZw5DjzUY9q6h4gUCFqrFiZcN3GQmYVijgQjYDQu5YRUiEl0IEVw99xxx3rR42AFURCgGQLJN8agjjkkENqlpl7Ox9xtMaSY4nTnV1j77333vg7/XEe/ZcVzBHnGVjYrsVSVEuapY7Y9fnQQw9dNgpCoR73QnIs86Wy30gx+qC2hpjycTLlWPEmBGStXyYlz7zNNttUC14mp0mMM5MFK/ROCr7iSTRtmrMY7b4ljNhF9hgHYXP2VRRCZ0J1DWPar+YmKceYIljSDonHOSYt/yceHDkbO9dLWxkCIeCV4bUuj7bDiBhaBDHKSmNpySC0jHasCJH+0hVZsmpdAwmTNdoxrDdE54OlASOVrpXmo+YoVZ2Ow6otk1W+47xCsMiDRNAlMZKHDx8Rub5QOQ2pqw/CIrbrB8L3fMgcyYjiQFCOUxtE9IR7sJbFf4+KfBHXLD7Z75E6629UY2UidVXVkKbVxXLyAIuSxEO2sORHsvorOgOpakiRVWzVImuPhAJnxE2jNzmoUNe9l7ExfiZFBE33NjmSYDg2rVRMfE2Tb88ED7q4JBN9cz6cTSycnaQjlrDU9KXqr6zLD2cCDxUCngCIs34JWVwsJ44vpMi6saxmdfnokC7ryvIVce2yyy6LEpQP0YdNs0WU/u7jtcynGSM4xMBKZc11m3PJCAh6n332qdowOcM5xxxzTF0akz2QTbcdffTRlYw4EJE+ErEUFrGBLFn3wtAOOuigaj0iYoTeDQFDlFKvTRz6rt9iii3lXQsRWobTmi3XWYImi/5yvf8e0MFNCCYMUsSowkYmABKFhiid15yRyJIk0yYMfYWRMWOxkkzaJGdyMZk6vl+utVUSVCNbmGXTosVFI1nX56zsTzwmL7q8ZzDZmQhgheRdy8Tsdyaicaz7Wf9WJt3/EPCkEZ2x67WqX8jLB4W4xMYizeZ0oZsqTYmQJLCMciTRRS1LHYsEkB/CasXc6cLbb7/9oiFYLFEfM0JwPCLwQSNgy21yBaurm0QBauSBDFit+o+I6ZMmEo41xOCZTj311FonxDGLWe/6SZ447rjjas0RMgmyQ26I07Xg4BkQ+TjlSzn9yB7Ilcbd12XJDJb/dNZ99913kzeHvmwSMYE08qbBklRo28i2LfuRo3vpM23aGLQG22OPPbZOBvDqxkmL9WbRInPRGktZ6CYK1QjhwEpP5t/qP/YQ8OoxnOkrtOwzxIZYWbzIxweNCOmQiItFxhpc6gNttRQs9S13kQWSQaSsxVbQfCnAEKE+6BeSQ+SW1eKCWX19EmOptwgH5EqP1DiKHOvedF7kjkyRxyhHmHvSlMklCFv//Z/JgMXuZyUF8E0YHH8sa+TXJW3PaWI4/PDDKyn2tVe40bZNaK7RLNMWZWKS4eRs1xRRQm4h7dgPkVQg3rolndD3bcGFOJtMw8EnvprMQ2tumXsqDrbntGIw9uQGMpFrkxtaeKGVAaz4DsatnzHTH8yEOx8CnjCg83w5DinLWxbYSmosI02OHsv+bhowKxz5cpqxctsyvGHMqSSBgjOQljlNFpnVg+QQS3jWZ7eGNSkHTvRTkorwt/6kwBKnlSNn5S7b71np9GFE23VWmqhcj9RionB9+nCTeqxq4Ccig9TQwugkG7HqSR2iTTjnkGmTHESemFBNJiQg46BP/AAmKgRN2yYDjbMqmOfvY7FnDwHnjZgYAkiGNWR5TGoYt3FUsQaRAStXYyGy8HzsLEHOvX7UBauOFut8GvM0NJMGLZv8IG7Zc0i+aHHN/s26NemwLFm3/cw9z+F5SA1IlezTHIb0eBYsB2d3H8Pjjz++kigr1qREGzYeTZdFuCYCffN7/49crQqsXPypFgaybXKHvsLXn86hfVsN8QcYC9fgL0C+3ciUaRiHWelDCHhWRmrK+4l4ecHpo6IPxgnub49E32WhIQhLccRF90U+rGKapdjfvvxB87SkpmGuxOJeSygRIF29m9be73dLh/f/cFosiYH8wzHZd24hQ5Y/kuye1zLzyC3OsRro35fWTHZA/uSmJin5t/uRifr6PkmmyTfIV3N86xtpJEkYm/9GhYA3H7uc2UEAAQuLQorjJjO00yUQcEaREXzwiIB1JvSJM2kUmdMtWYqW+Y0cMihBYJYQCAHP0mhNeV+XKkyzVl0f4p5r9Sy57vwhEAKevzHPEweBIDAlCISAp2Qg0o0gEATmD4EQ8PyNeZ44CASBKUEgBDwlA5FuBIEgMH8IhIDnb8zzxEEgCEwJAiHgKRmIdCMIBIH5QyAEPH9jnicOAkFgShAIAU/JQKQbQSAIzB8CIeD5G/M8cRAIAlOCQAh4SgYi3QgCQWD+EAgBz9+Y54mDQBCYEgRCwFMyEOlGEAgC84dACHj+xjxPHASCwJQgEAKekoFIN4JAEJg/BELA8zfmeeIgEASmBIEQ8JQMRLoRBILA/CEQAp6/Mc8TB4EgMCUIhICnZCDSjSAQBOYPgRDw/I15njgIBIEpQSAEPCUDkW4EgSAwfwiEgOdvzPPEQSAITAkCIeApGYh0IwgEgflDIAQ8f2OeJw4CQWBKEAgBT8lApBtBIAjMHwIh4Pkb8zxxEAgCU4LA/wAowhOh1DcY8wAAAABJRU5ErkJggg==">
          <a:extLst>
            <a:ext uri="{FF2B5EF4-FFF2-40B4-BE49-F238E27FC236}">
              <a16:creationId xmlns:a16="http://schemas.microsoft.com/office/drawing/2014/main" id="{F17D7770-44B4-46FD-BEFC-9573209F7F92}"/>
            </a:ext>
          </a:extLst>
        </xdr:cNvPr>
        <xdr:cNvSpPr>
          <a:spLocks noChangeAspect="1" noChangeArrowheads="1"/>
        </xdr:cNvSpPr>
      </xdr:nvSpPr>
      <xdr:spPr bwMode="auto">
        <a:xfrm>
          <a:off x="4060371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0</xdr:row>
      <xdr:rowOff>0</xdr:rowOff>
    </xdr:from>
    <xdr:to>
      <xdr:col>5</xdr:col>
      <xdr:colOff>304800</xdr:colOff>
      <xdr:row>1</xdr:row>
      <xdr:rowOff>119743</xdr:rowOff>
    </xdr:to>
    <xdr:sp macro="" textlink="">
      <xdr:nvSpPr>
        <xdr:cNvPr id="7171" name="AutoShape 3" descr="data:image/png;base64,iVBORw0KGgoAAAANSUhEUgAAAWAAAAB6CAYAAACBW4kFAAAfYElEQVR4Xu3dBZRtVR0G8I3dYiB2dyAWWICtSIiK3YLYjS2KoqKCHdhii1jYIpgYWNgJBgaK3e1z/bZrv3XmvLkzd97ceefeud9ea9aLObHPt8/59n9//9hbbdiwYUNJCwJBIAgEgS2OwFYh4C2OeW4YBIJAEKgIhIDzIgSBIBAEBkIgBDwQ8LltEAgCQSAEnHcgCASBIDAQAiHggYDPbYNAEAgCIeC8A0EgCASBgRAIAQ8EfG4bBIJAEAgB5x0IAkEgCAyEQAh4IOBz2yAQBIJACDjvQBAIAkFgIARCwAMBn9sGgSAQBELAeQeCQBAIAgMhEAIeCPjcNggEgSAQAs47EASCQBAYCIEQ8EDA57ZBIAgEgRBw3oEgEASCwEAIhIAHAj63DQJBIAiEgPMOBIEgEAQGQiAEPBDwuW0QCAJBIAScdyAIBIEgMBACIeCBgM9tg0AQCAIh4LwDQSAIBIGBEAgBDwR8bhsEgkAQCAHnHQgCQSAIDIRACHgg4HPbIBAEgkAIOO9AEAgCQWAgBELAAwGf2waBIBAEQsB5B4JAEAgCAyEQAh4I+Nw2CASBIBACzjsQBIJAEBgIgRDwQMDntkEgCASBEHDegSAQBILAQAiEgAcCPrcNAkEgCISA8w4EgSAQBAZCIAQ8EPC5bRAIAkEgBJx3IAgEgSAwEAIh4IGAz22DQBAIAiHgvANBIAgEgYEQCAEPBHxuGwSCQBAIAecdCAJBIAgMhEAIeCDgc9sgEASCQAg470AQCAJBYCAEQsADAZ/bBoEgEARCwHkHgkAQCAIDIRACHgj43HZ2EdiwYUPxs9VWW218iPbv/v/1j3OC/zvNaU6zAIB2Tf/ZvUb370sh5vy//vWv5de//nU5/elPX8597nOXM57xjAuuNbuIr9+eh4DX79jOxJMhjlNOOaWc//zn34SUNvcBXPNf//pX+f3vf1/+8pe/lK233rqc4xznKKc97WlHXvK///1vJbDf/OY3tR/nOc95ypnPfOZFCeyrX/1q+cQnPlGJtNsueMELlutd73rFn9rXvva18vnPf778+c9/XnAd191tt93KhS50oY2nf+Mb3yif/OQnyz//+c+Nx2677bZl9913L2c729mWhOJ3v/td+dznPlf+9re/lXOe85y1Xz/4wQ9qP25+85tXQk6bTgRCwNM5Luu6VwjiP//5TyXIt73tbeVLX/pSeeYzn1m22WabVT+3ayLH7373u+WiF71oJa/f/va3ldj23HPPcr7znW8Ty/MXv/hF7Yd+XeISl6jH/vjHPy4Xu9jFyo1vfONqTXbbF77whfK+972vvP/97699v/jFL17ueMc7lstf/vLlRje6UbnIRS5SD//iF79YjjvuuHLkkUdWIkaE+++/f50Qbnvb29brt/blL3+5HHHEEeW9731v7e8ee+xRdtxxx3L729++Th6j2s9+9rP6vP680pWuVHbYYYc6kbz97W+vz3TggQeWW9ziFqvGNRdYGwRCwGuDa646AoFjjz22+GEVIpbXvva1BQF+61vfKpe73OVWhdtPf/rT8vKXv7z489rXvna5+tWvXgn3Ix/5SHnFK15RHvjAB1ZCY4FqCPfkk0+uJPXLX/6y7LPPPuWqV71q+cc//lE++tGP1p9ddtml3O1ud6sWcbexNp337Gc/u9zwhjcs73jHO8q5znWuRft/0EEHlWc961n1vqz9053udIsed+KJJ9brXfjCFy777bdfYQEvJUEgapMAC3ivvfaqE05r+ned61ynTijvete7VoVrTl47BELAa4dtrrwIAt/5zneKH1YmwkJuv/rVr1ZNwLRPJHf88ceXxzzmMeWmN71pOcMZzlB7cOihh5ZDDjmk3PrWty7PeMYzNlq0LMX73ve+den/nOc8p+y9994be/ynP/2pPO1pTysf/OAHKyne5CY3WUCc+o/UH/zgB5eddtqpvPWtb90oPfQf+9GPfnR58YtfXMgcJp7FCNhkwGL9yU9+Uq1pJLxUs4L4+Mc/XieJ+9znPtUK7zbXu+Y1r1knE/JG2nQiEAKeznGZm16x2iyfV2MBI0Pk9eQnP7nc4Q53KE960pPKmc50po0YItHDDjuskr2lffsdy5jlSDqwjO9rrazaJzzhCdXCfcpTnrJAvvj3v/9djjrqqEra17rWtcqrXvWqst12220ybl//+tfLgx70oPKZz3ymOOfnP/95ucAFLrDJcd/+9rer/EBC2HnnnZfVwxH1W97ylnKZy1ymPkPfUj7ppJOqHKJv5Ii06UQgBDyd4zI3vZoEAXOc3epWt6oRAC972cvKDW5wgwX4WY6zsskIZznLWTaSFcJm5bJgWZP99tnPfrY89KEPrZoszRdRt8aapeta5l/5ylcuL3zhCytRdxsr1fk04YMPPrj84Q9/qOcgxW77+9//Xt70pjdVJ9q9733v2selGuv205/+dJVvWO405b71e8ABB9RJx+SD1NOmE4EQ8HSOy9z0arUEjIzIDqxGmi/CoS1beiNJji8//bAvAJMfXv3qV1d54UMf+tCi1uv973//GmHwsY99rEY4dK/zve99r2rG5AIE25UwXIzlKRrB9Xfddddy6qmnVq34Nre5zYJ7cdSZAG53u9uNpYOL7GB907of+chH1uv+6Ec/qs+J7N2D7EJ7ds0mxczNSzVDDxoCnqHBWo9dXS0BW9Y/73nPK4997GMr0dF66bzIl9OLpSjkiy7cwsMajuQFujHypqX2mwgH8gECttxHnF0yQ3rONQmwODnOWmONs7Dvda97VWmCRssB9/znP79axa0hT0RN/rjrXe+6rPTgPE5L1q8JB+k+97nPrSFtLOxPfepT1SlHkqGDiwVOm14EQsDTOzZz0bPVErB4X6FdL33pS8tlL3vZaoXe/e53L5e61KUqfjRXxIgQDz/88AUyAnJGoKxY0kDfOfbOd76zPP7xj68hbRxuNOSutswCRcqs3Ec84hH1WA0hmwgQPn0WuW6//fY1LpjF6nftuA9/+MPV+haG1732UoP//e9/v1q4CN49YEAmQcbkCNa4aJBjjjmmasTjJnPMxQs3ZQ8ZAp6yAZm37kyCgPfdd9/y+te/vlqZyK0vBbBen/jEJ1aNlsXbQsqa5krCEKVAJmhkZZnP8UZTFhGB4O95z3tuDGEzTkLXRCCwnu93v/tVUtRox8gPOYvN1VjhiJYkIGKiJUvQfmnWJoJxmvPEDLP63/jGNy56CgedBAyhePo9LrGPc/8cM1kEQsCTxTNXWyECkyDghz3sYZVoOJs4y/oJHTLXkLRIC2SLFBvRItF73OMe1XokI9CP/Y4my6pkBUuosKTn6OtKEJx/pA9yAOv4Na95TSVrkgCr2vFNM0bUjpNcwfIWAifqQUgeS3bcZtLQJ3IGy3+xRn7h6JOU8pWvfKWc/exnH/fyOW4LIxAC3sKA53YLEVgtAdOAOZue+tSnVisScfaX3JbsZAlarmwzlmlXbvjjH/9Y3vzmN1ctlmbqR6baJS95ySoZnHDCCTV5hEXZdcI5j8UtksI1haJx1rFAnd+N5ZW08fSnP71KBiQL4WkIW4zwcjG/XcRMCixtercws8UaLVhkh8gPjsIQ8PR+dSHg6R2buejZagmYtYc4xf9e//rXrwTY13IRHgtVLO7rXve6cqc73Wms+ggkg0c96lFVwyUVIORuY8WyajnqpPsia9YyK7cfkkZDdpy+/fCHP6zShvA1RL2SJmb6IQ95SD1/VOo2CYRDjyTDyl4urG0l98+xk0UgBDxZPHO1FSKwWgKmiXKSIV9pt+95z3s2SXT45je/WeNrLcclXziWJStOF2GyWEUMKGTTmuuKsWVtIjzk2a/JwPnlfjRnTjZarlhh5HfWs551ARJShlv42Qte8IKanSYiYlRa8ihpQR0Kk4LsvcWaZ2JtI2jRIHTrFONZ4Uu5BQ8PAW9BsHOrTREYl4BZfhxbQrDUc1DIpskBpAChXbTVl7zkJZVMu+0DH/hAtU5ZjN2UYRasayHoV77ylXVZ3xorVWSDZTwHHU23L22wvsXwkgIQLmsWOV7hClfY5EGRPwkDaXOQSW9mAa+kyfjzfJxvoifOe97zbnI6hyBNXB9e9KIXbVJ8aCX3y7Frj0AIeO0xzh1GIMByldwgbpUGK0JgsYQJpyNR5MaRJuKB5NAcYnRgRCjWl/NJ9EKLdECg/s1iFPfLMdaiAkQ6IEPEynHWMtSQPAuSZsx5d8tb3nLkMl5EAuIW/sXyJHUsFvYl3tekwUJl+T7gAQ9Y8XvBASfaQllN5C2RpFnasumOPvro2m+asgmJNb5UCc4VdyAnTByBEPDEIc0Fl0LAkt+yndUqAgFxsiRFJlzxilesS3KkrHBOt6mVIOJA7K0QLMd0yQWZWuar/MWJ5loa65bVSaNFvl2ZAXHLGmP9SmpAkPplYuC4cg5n1lLlIF0f6Sp8w8k2SpfVBzWPkbywuFGV05bCjnONjIHAWbpinFnx5BLP7JruYUKwshg1meUNnR4EZpaAvXQykThBeHp9xCwPOiCPtyVYAtCn50VrPSElIFOpwggU4RonZMg69HdE2Ai0ned3dFOW3lWucpVFLVK/c23yQSs56f84o1iD7f+6qCAwTit/clZZ5vuR1HHpS196Wf0UKZpUFNjp97mPvvAxjjx68eY091FzQkKJxBKJHaqr+RY8m6QLqchJPd4cdIc5ZyYJ2AdiSSqMR8Fs+pyPGQmzkKRjqu3KKgkJD/NiDXlX74EfjRW4nCWIwBzfdrgY55z2fN3tiZZ710wirr3ccaOw47xj6ZIhtP6OHJt73SHHat7vPXME7KVjCSBY3mY6WAue9zv6Hc2PDqaQSr+Q9hADzkphYU2ysXjof8uRyyTvmWsNiwCNXNLGSp13w/Y6d18KgZkjYNavgtW0NzpYd18tmUlqwYr1vPOd71yJeLHaq1vyldAXzqFmkU3q3ojXswqvSqrppFCd3uuQaK5xjWvULZBWEro2vU+UnkFg5ghYeqXwG9vXsIS7up59vIQOccQgvq6nvDvctDPSRdMc+8tJcZ9CeTbHUdJ/rThfpKf2l4urff0QMM0y1a5Wi+RsnE//FlamyE7a+kFg5ghYVhPnCNnBdjBCk1gEgs39ifBYmxwRo5bnyJATSJgRwub1FqJkzzDntWutn2HOk6wHBBbb4n49PNc8P8PMEbBYSBEOrF0EK1yI91l6aduR1v8t55DwMiveLVNIyI4qWazieWrCwCatTc8TfnnWxREQ6tffSTpYLY7AzBEw2UBevgIoUkiFGbUmZ1+AO/lgOe0X8YiiYEXLYFKPlWU9T43UonZCWhCYJAKK0D/84Q9f1gia5D1n9VozR8CA5pCg40oRFQssyoBFLOuJLsqa9RIsVYREPConnThihK2a1mJxorM6sOP0m55OikkLApNEwHeXCmzjITpTBCwCQmuB5rRekoTYX3VgpbMq87fnnnsua9E6To1WxC20p8VWjgfb+EfRrDkL18IJJ/7Zzg9JNx1/PHJkEJgmBGaGgIXf2DpcE2Im5bLbSBMiH1i1NGG5/YsVRXEO4hbCJq6S7EB+WCv9V1KIYuGTtjSFnsn40++1qnZF3hHup2h4y1xD+IifhaMugygM2YfrNR6ZU5eTVoaddGfvGbxh4KetyE4++eQqhy2XDTdNH3/6MjwCM0PAyFJ4mZcfedoOvN841R73uMfVcoOiGkbpwD4k0gP9V30A6Z0ccWvRfMCSQ9aCgCWZrIVsYoKS3q1mA7mnlW7k2PR3ESiSAWAo1E/tgfUWm0qeUdzdbhp8DRxLfAwtS04SjElQzQrSl8lfPYm73OUua/Ea5ZrrFIGZIGAkwMoiNSiQYivx/g63SEMlKLsS2GWgv4Ntd/wQog0USRakB6UBkz//f4RapqGyh+oWwFvtBQTL+jvppJPKkUceWRMCyDgKfiPj5aJOZuX78Yw26FQwh9XLolVA57rXvW4t7dhwsCpQsJ2EJQHIO8X3YPJPCwLjIjATBIxcLbUVaeEwW6w2q0LVqlEpSMID2yfoLiC2qGFRs1xs1ihlOe3/CCgNqboXrMk5i9WctSQXvscatFdaNxtxlnEUGaNgO/kKEZN49thjj7LttttuIrGYqBgEshztyKGsJcMASacFgXERmAkC9jC0VDsUKLCDIEgGPgLaG2lCRSuWGn14KU0Smdua5mY3u1mtkOVjs5PBqGYJ6sfHOA/N1jlSnBU7sqRerCEnS231Nkg9k8gYHBpbEhGL1vOQFyT4INWlvPlWZmQv76ONPb1LcYgOPZKzdf+ZIWAvO4eQqAKEKIzMcpCli3A5hzjU6KJLOYRETbBU6L8+MNodC2dUE1e8++6716Lc89A8pyLjdnDoOzq7z49w4CLiZNbToU3KsiL322+/mpiCfD3fOHupCYe0gjJBKwyVFgRWgsDMELCHainEaisISaM70m59KBwi43ji7SprtwCFuC2jxRKPOo/eqfCP6ItxPsaVAD+tx3Juim5Q+hA+o5qwv6td7Wp1Apx1/Vdhc1sWqddrBWWlNW4mF6wkBdkzjk6cFgRWgsBMEfBKHmzUsT42koNIiAMOOGBk/C+rSHoz61qY2rw0+jnyRUAsXFbdDjvssMnS2orEcns58uWos4ODqIpWd9fOFlYfoyxnTi0rE84+UR7uw1lKGmCh2vOtLw3QY9XyoFmbVPvRIYcddlh1rh188MELLHsT+VFHHVVLmxprG1m2zTPHGXN+BNe1C/K8TNLj4JJjxkNgrggYqUqKsDmiLXBETdjaptuQBHKRposELE2322678dBcB0chP15/GYawsDoQfmWHCI5LFiKn23LES1O1yhBhwpK2vLdKQYRtt2EOrm4Ms/uJLnCsUDfETVayw4XwQkRpdwtbD5GcWqNJW6WI2LDJ5hve8IYF/VPzQrjciSeeWH0JiLY1z0tm4kzcbbfd6rmT0rRbsfZuEZ3293FWa+vgdcojLIPAXBCwD5T0wOqV9WZTRyQjjrV5rZGzbV7e/e5314+Q/ICcfez9LcbX+1uFsBAlnOyRJpaZdu5PW94g0L322mtkAgirUngaSxeZsqpbnDASROKsRaTX8EdM9H3aq/EyObZEB3izalmnwrxY6N0Yb1YxsrZX3P77718jE7rNDsKq3iFt+791NX8Tjfu4Py1XKNmkGn1YZI6oEUkaTSoTU+zdW0pjn1Qfcp3pRmAuCJjDTsA8Au6mBFvaNksEAfvwW/M7IWoK9ay3JINxX0lWrPjWE044oVqzdhZGziQJhLjYygC+dFFESh/uE94pp5xSMVXf1k9LgEGirFxbrtNj/b1rZZMOEL8Yb0TZlSCEznGCidtVM3fXXXdd8IjOY4lzvNL/27nGXPQMUmfVi/4wYaykLVUi0vvEX0Ejlg0prA8uVgLjVOxbST9y7GwiMBcEPJtDs2V7bXNJFtqotGayjGW+FQRC5rASyteXIljKkmEUN2L5SnjpNufaxaOl94o31li/wt5YtkjY7g+tsR6R7hFHHFEnAvfthnvRf8lKCN/vWemtsdpJDBIrnE97bhNqS0mnKZM6ELWojnEa4kWufArCGUc196Apiy8WvTNvFffGwXKejwkBz/Pod54daSK2pVKyWXQcl6xfWYRC1vpaJqcUKw+hkgoQXrchQqRM1kFKCBeZIV1a8c4771zjcbsOOpYtTd5KxvldaQLBNf2XpkzW6PaJfsyBR/ogL4kVb819kSKLnraMgF1jnIbYyVN8BEs5aa0YOH31SfbguNtHmfCabNGeR3+t4kx6XVmsFaUyKcFtOX3e87Xdn/VnnBWe/lilcG6apPWllYJ1z2ja47w1mx4TAt483NbVWT6unXbaqeqSy1lzBx54YE18GeXARHSW9Jx2LM5uRqL70GfJEqIrkDlnm4+ZVkrjRd70527jfJMgQfJAdt1JwjWd1/Rfx3WbRAlaNP2XTkz/FZHR0qdZsCYeMgYJYtxYXglA7mvSYH2PahJayBoiSsgj4xRO4q/gjOSTQHImMfUoOAwRIFIXfsmP4Rj/RoLkIvqylcSoBBIrHY5oEwjsyUwwROjSrrfeeusFj4LcrVr4AhA8q5+T0v1MBlY87glPztq0lSEQAl4ZXuvy6OZw5DjzUY9q6h4gUCFqrFiZcN3GQmYVijgQjYDQu5YRUiEl0IEVw99xxx3rR42AFURCgGQLJN8agjjkkENqlpl7Ox9xtMaSY4nTnV1j77333vg7/XEe/ZcVzBHnGVjYrsVSVEuapY7Y9fnQQw9dNgpCoR73QnIs86Wy30gx+qC2hpjycTLlWPEmBGStXyYlz7zNNttUC14mp0mMM5MFK/ROCr7iSTRtmrMY7b4ljNhF9hgHYXP2VRRCZ0J1DWPar+YmKceYIljSDonHOSYt/yceHDkbO9dLWxkCIeCV4bUuj7bDiBhaBDHKSmNpySC0jHasCJH+0hVZsmpdAwmTNdoxrDdE54OlASOVrpXmo+YoVZ2Ow6otk1W+47xCsMiDRNAlMZKHDx8Rub5QOQ2pqw/CIrbrB8L3fMgcyYjiQFCOUxtE9IR7sJbFf4+KfBHXLD7Z75E6629UY2UidVXVkKbVxXLyAIuSxEO2sORHsvorOgOpakiRVWzVImuPhAJnxE2jNzmoUNe9l7ExfiZFBE33NjmSYDg2rVRMfE2Tb88ED7q4JBN9cz6cTSycnaQjlrDU9KXqr6zLD2cCDxUCngCIs34JWVwsJ44vpMi6saxmdfnokC7ryvIVce2yyy6LEpQP0YdNs0WU/u7jtcynGSM4xMBKZc11m3PJCAh6n332qdowOcM5xxxzTF0akz2QTbcdffTRlYw4EJE+ErEUFrGBLFn3wtAOOuigaj0iYoTeDQFDlFKvTRz6rt9iii3lXQsRWobTmi3XWYImi/5yvf8e0MFNCCYMUsSowkYmABKFhiid15yRyJIk0yYMfYWRMWOxkkzaJGdyMZk6vl+utVUSVCNbmGXTosVFI1nX56zsTzwmL7q8ZzDZmQhgheRdy8Tsdyaicaz7Wf9WJt3/EPCkEZ2x67WqX8jLB4W4xMYizeZ0oZsqTYmQJLCMciTRRS1LHYsEkB/CasXc6cLbb7/9oiFYLFEfM0JwPCLwQSNgy21yBaurm0QBauSBDFit+o+I6ZMmEo41xOCZTj311FonxDGLWe/6SZ447rjjas0RMgmyQ26I07Xg4BkQ+TjlSzn9yB7Ilcbd12XJDJb/dNZ99913kzeHvmwSMYE08qbBklRo28i2LfuRo3vpM23aGLQG22OPPbZOBvDqxkmL9WbRInPRGktZ6CYK1QjhwEpP5t/qP/YQ8OoxnOkrtOwzxIZYWbzIxweNCOmQiItFxhpc6gNttRQs9S13kQWSQaSsxVbQfCnAEKE+6BeSQ+SW1eKCWX19EmOptwgH5EqP1DiKHOvedF7kjkyRxyhHmHvSlMklCFv//Z/JgMXuZyUF8E0YHH8sa+TXJW3PaWI4/PDDKyn2tVe40bZNaK7RLNMWZWKS4eRs1xRRQm4h7dgPkVQg3rolndD3bcGFOJtMw8EnvprMQ2tumXsqDrbntGIw9uQGMpFrkxtaeKGVAaz4DsatnzHTH8yEOx8CnjCg83w5DinLWxbYSmosI02OHsv+bhowKxz5cpqxctsyvGHMqSSBgjOQljlNFpnVg+QQS3jWZ7eGNSkHTvRTkorwt/6kwBKnlSNn5S7b71np9GFE23VWmqhcj9RionB9+nCTeqxq4Ccig9TQwugkG7HqSR2iTTjnkGmTHESemFBNJiQg46BP/AAmKgRN2yYDjbMqmOfvY7FnDwHnjZgYAkiGNWR5TGoYt3FUsQaRAStXYyGy8HzsLEHOvX7UBauOFut8GvM0NJMGLZv8IG7Zc0i+aHHN/s26NemwLFm3/cw9z+F5SA1IlezTHIb0eBYsB2d3H8Pjjz++kigr1qREGzYeTZdFuCYCffN7/49crQqsXPypFgaybXKHvsLXn86hfVsN8QcYC9fgL0C+3ciUaRiHWelDCHhWRmrK+4l4ecHpo6IPxgnub49E32WhIQhLccRF90U+rGKapdjfvvxB87SkpmGuxOJeSygRIF29m9be73dLh/f/cFosiYH8wzHZd24hQ5Y/kuye1zLzyC3OsRro35fWTHZA/uSmJin5t/uRifr6PkmmyTfIV3N86xtpJEkYm/9GhYA3H7uc2UEAAQuLQorjJjO00yUQcEaREXzwiIB1JvSJM2kUmdMtWYqW+Y0cMihBYJYQCAHP0mhNeV+XKkyzVl0f4p5r9Sy57vwhEAKevzHPEweBIDAlCISAp2Qg0o0gEATmD4EQ8PyNeZ44CASBKUEgBDwlA5FuBIEgMH8IhIDnb8zzxEEgCEwJAiHgKRmIdCMIBIH5QyAEPH9jnicOAkFgShAIAU/JQKQbQSAIzB8CIeD5G/M8cRAIAlOCQAh4SgYi3QgCQWD+EAgBz9+Y54mDQBCYEgRCwFMyEOlGEAgC84dACHj+xjxPHASCwJQgEAKekoFIN4JAEJg/BELA8zfmeeIgEASmBIEQ8JQMRLoRBILA/CEQAp6/Mc8TB4EgMCUIhICnZCDSjSAQBOYPgRDw/I15njgIBIEpQSAEPCUDkW4EgSAwfwiEgOdvzPPEQSAITAkCIeApGYh0IwgEgflDIAQ8f2OeJw4CQWBKEAgBT8lApBtBIAjMHwIh4Pkb8zxxEAgCU4LA/wAowhOh1DcY8wAAAABJRU5ErkJggg==">
          <a:extLst>
            <a:ext uri="{FF2B5EF4-FFF2-40B4-BE49-F238E27FC236}">
              <a16:creationId xmlns:a16="http://schemas.microsoft.com/office/drawing/2014/main" id="{DBDFCB23-7F08-431A-B350-60AC9FCC99BE}"/>
            </a:ext>
          </a:extLst>
        </xdr:cNvPr>
        <xdr:cNvSpPr>
          <a:spLocks noChangeAspect="1" noChangeArrowheads="1"/>
        </xdr:cNvSpPr>
      </xdr:nvSpPr>
      <xdr:spPr bwMode="auto">
        <a:xfrm>
          <a:off x="4060371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593272</xdr:colOff>
      <xdr:row>2</xdr:row>
      <xdr:rowOff>5444</xdr:rowOff>
    </xdr:from>
    <xdr:to>
      <xdr:col>10</xdr:col>
      <xdr:colOff>164477</xdr:colOff>
      <xdr:row>7</xdr:row>
      <xdr:rowOff>70758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32F9E61-8A09-4703-81F4-891B167A39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00501" y="375558"/>
          <a:ext cx="3490062" cy="990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thunderpowerrc.com/air_batteries/5000-mAhE/TP5000-4SE55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N62"/>
  <sheetViews>
    <sheetView workbookViewId="0">
      <selection activeCell="B21" sqref="B21"/>
    </sheetView>
  </sheetViews>
  <sheetFormatPr defaultRowHeight="14.6" x14ac:dyDescent="0.4"/>
  <cols>
    <col min="1" max="1" width="33.84375" customWidth="1"/>
    <col min="3" max="3" width="15.84375" customWidth="1"/>
    <col min="4" max="4" width="9.53515625" bestFit="1" customWidth="1"/>
    <col min="8" max="8" width="23" bestFit="1" customWidth="1"/>
    <col min="9" max="9" width="12.69140625" customWidth="1"/>
    <col min="10" max="10" width="6.07421875" customWidth="1"/>
    <col min="11" max="11" width="14.07421875" bestFit="1" customWidth="1"/>
    <col min="12" max="12" width="5.69140625" customWidth="1"/>
    <col min="13" max="13" width="11.765625" bestFit="1" customWidth="1"/>
  </cols>
  <sheetData>
    <row r="1" spans="1:14" ht="20.6" x14ac:dyDescent="0.55000000000000004">
      <c r="C1" s="1" t="s">
        <v>0</v>
      </c>
      <c r="D1" s="1" t="s">
        <v>1</v>
      </c>
      <c r="E1" s="1" t="s">
        <v>2</v>
      </c>
      <c r="H1" s="7" t="s">
        <v>58</v>
      </c>
    </row>
    <row r="2" spans="1:14" x14ac:dyDescent="0.4">
      <c r="B2" t="s">
        <v>3</v>
      </c>
      <c r="C2" s="6">
        <v>2.72</v>
      </c>
      <c r="D2">
        <f>9.80665*C2</f>
        <v>26.674088000000001</v>
      </c>
      <c r="E2" s="2">
        <f>2.20462*C2</f>
        <v>5.9965663999999999</v>
      </c>
      <c r="H2" s="5" t="s">
        <v>47</v>
      </c>
      <c r="I2" s="12" t="s">
        <v>47</v>
      </c>
      <c r="J2" s="5"/>
      <c r="K2" s="5" t="s">
        <v>92</v>
      </c>
      <c r="L2" s="5"/>
      <c r="M2" s="5"/>
      <c r="N2" s="5"/>
    </row>
    <row r="3" spans="1:14" x14ac:dyDescent="0.4">
      <c r="H3" s="5" t="s">
        <v>78</v>
      </c>
      <c r="I3" s="13">
        <f>'take off'!B9</f>
        <v>3.6465877527360759E-4</v>
      </c>
      <c r="J3" s="5"/>
      <c r="K3" s="13">
        <f>$I$12*I3</f>
        <v>3.7353609425460718E-2</v>
      </c>
      <c r="L3" s="5" t="s">
        <v>12</v>
      </c>
      <c r="M3" s="5"/>
      <c r="N3" s="5"/>
    </row>
    <row r="4" spans="1:14" x14ac:dyDescent="0.4">
      <c r="A4" t="s">
        <v>4</v>
      </c>
      <c r="B4">
        <v>9.8000000000000007</v>
      </c>
      <c r="C4" t="s">
        <v>5</v>
      </c>
      <c r="H4" s="5" t="s">
        <v>91</v>
      </c>
      <c r="I4" s="13">
        <f>'Best range cruise'!B11</f>
        <v>0.23872028943223866</v>
      </c>
      <c r="J4" s="5"/>
      <c r="K4" s="13">
        <f>$I$12*I4</f>
        <v>24.453173920452642</v>
      </c>
      <c r="L4" s="5" t="s">
        <v>12</v>
      </c>
      <c r="M4" s="5"/>
      <c r="N4" s="5"/>
    </row>
    <row r="5" spans="1:14" x14ac:dyDescent="0.4">
      <c r="A5" t="s">
        <v>6</v>
      </c>
      <c r="H5" s="5" t="s">
        <v>103</v>
      </c>
      <c r="I5" s="13">
        <f>loiter!B11</f>
        <v>0</v>
      </c>
      <c r="J5" s="5"/>
      <c r="K5" s="13">
        <f>$I$12*I5</f>
        <v>0</v>
      </c>
      <c r="L5" s="5" t="s">
        <v>12</v>
      </c>
      <c r="M5" s="5"/>
      <c r="N5" s="5"/>
    </row>
    <row r="6" spans="1:14" x14ac:dyDescent="0.4">
      <c r="A6" t="s">
        <v>7</v>
      </c>
      <c r="B6" s="6">
        <v>8.57</v>
      </c>
      <c r="H6" s="5" t="s">
        <v>104</v>
      </c>
      <c r="I6" s="13">
        <f>Cruise!B11</f>
        <v>0.25352927061345221</v>
      </c>
      <c r="J6" s="5"/>
      <c r="K6" s="13">
        <f>$I$12*I6</f>
        <v>25.970123289398991</v>
      </c>
      <c r="L6" s="5" t="s">
        <v>12</v>
      </c>
      <c r="M6" s="5"/>
      <c r="N6" s="5"/>
    </row>
    <row r="7" spans="1:14" x14ac:dyDescent="0.4">
      <c r="A7" t="s">
        <v>95</v>
      </c>
      <c r="B7" s="6">
        <v>2.5000000000000001E-2</v>
      </c>
      <c r="D7">
        <f>B10*B9</f>
        <v>0.48</v>
      </c>
      <c r="H7" s="5" t="s">
        <v>79</v>
      </c>
      <c r="I7" s="13">
        <f>Turns!B9</f>
        <v>0</v>
      </c>
      <c r="J7" s="5"/>
      <c r="K7" s="13">
        <f>$I$12*I7</f>
        <v>0</v>
      </c>
      <c r="L7" s="5" t="s">
        <v>12</v>
      </c>
      <c r="M7" s="5"/>
      <c r="N7" s="5"/>
    </row>
    <row r="8" spans="1:14" x14ac:dyDescent="0.4">
      <c r="A8" t="s">
        <v>8</v>
      </c>
      <c r="B8" s="6">
        <v>0.79500000000000004</v>
      </c>
      <c r="H8" s="5"/>
      <c r="I8" s="13"/>
      <c r="J8" s="5"/>
      <c r="K8" s="13"/>
      <c r="L8" s="5"/>
      <c r="M8" s="5"/>
      <c r="N8" s="5"/>
    </row>
    <row r="9" spans="1:14" x14ac:dyDescent="0.4">
      <c r="A9" t="s">
        <v>9</v>
      </c>
      <c r="B9" s="6">
        <v>0.6</v>
      </c>
      <c r="H9" s="5"/>
      <c r="I9" s="13"/>
      <c r="J9" s="5"/>
      <c r="K9" s="13"/>
      <c r="L9" s="5"/>
      <c r="M9" s="5"/>
      <c r="N9" s="5"/>
    </row>
    <row r="10" spans="1:14" x14ac:dyDescent="0.4">
      <c r="A10" t="s">
        <v>10</v>
      </c>
      <c r="B10" s="6">
        <v>0.8</v>
      </c>
      <c r="H10" s="5" t="s">
        <v>48</v>
      </c>
      <c r="I10" s="13">
        <f>SUM(I3:I7)</f>
        <v>0.49261421882096446</v>
      </c>
      <c r="J10" s="5"/>
      <c r="K10" s="13">
        <f>SUM(K3:K7)</f>
        <v>50.460650819277092</v>
      </c>
      <c r="L10" s="5" t="s">
        <v>12</v>
      </c>
      <c r="M10" s="5"/>
      <c r="N10" s="5"/>
    </row>
    <row r="11" spans="1:14" x14ac:dyDescent="0.4">
      <c r="A11" t="s">
        <v>72</v>
      </c>
      <c r="B11" s="6">
        <v>98.71</v>
      </c>
      <c r="C11" t="s">
        <v>17</v>
      </c>
      <c r="D11">
        <f>B11*3.59694/10.7639</f>
        <v>32.985622999098837</v>
      </c>
      <c r="E11" t="s">
        <v>18</v>
      </c>
      <c r="F11">
        <f>D11/16</f>
        <v>2.0616014374436773</v>
      </c>
      <c r="G11" t="s">
        <v>96</v>
      </c>
      <c r="H11" s="5"/>
      <c r="I11" s="13"/>
      <c r="J11" s="5"/>
      <c r="K11" s="13"/>
      <c r="L11" s="5"/>
      <c r="M11" s="5"/>
      <c r="N11" s="5"/>
    </row>
    <row r="12" spans="1:14" x14ac:dyDescent="0.4">
      <c r="A12" t="s">
        <v>19</v>
      </c>
      <c r="B12" s="6">
        <v>10</v>
      </c>
      <c r="C12" t="s">
        <v>35</v>
      </c>
      <c r="D12">
        <f>B12/0.224809</f>
        <v>44.482204893932177</v>
      </c>
      <c r="E12" t="s">
        <v>20</v>
      </c>
      <c r="F12">
        <f>D12/16</f>
        <v>2.7801378058707611</v>
      </c>
      <c r="G12" t="s">
        <v>70</v>
      </c>
      <c r="H12" s="5" t="s">
        <v>49</v>
      </c>
      <c r="I12" s="14">
        <f>B15/(1-B14-I10)</f>
        <v>102.43441803212849</v>
      </c>
      <c r="J12" s="5" t="s">
        <v>12</v>
      </c>
      <c r="K12" s="13">
        <f>I12*0.101972</f>
        <v>10.445442475572206</v>
      </c>
      <c r="L12" s="5" t="s">
        <v>0</v>
      </c>
      <c r="M12" s="5">
        <f>I12*0.224809</f>
        <v>23.028179083384774</v>
      </c>
      <c r="N12" s="5" t="s">
        <v>2</v>
      </c>
    </row>
    <row r="13" spans="1:14" x14ac:dyDescent="0.4">
      <c r="A13" t="s">
        <v>21</v>
      </c>
      <c r="B13" s="6">
        <f>E27*0.9</f>
        <v>48317.620399918596</v>
      </c>
      <c r="C13" t="s">
        <v>36</v>
      </c>
      <c r="D13" s="2">
        <f>B13/0.224</f>
        <v>215703.66249963659</v>
      </c>
      <c r="E13" t="s">
        <v>59</v>
      </c>
      <c r="H13" s="5" t="s">
        <v>50</v>
      </c>
      <c r="I13" s="14">
        <f>I12*B14</f>
        <v>40.973767212851399</v>
      </c>
      <c r="J13" s="5" t="s">
        <v>12</v>
      </c>
      <c r="K13" s="13">
        <f>I13*0.101972</f>
        <v>4.1781769902288826</v>
      </c>
      <c r="L13" s="5" t="s">
        <v>0</v>
      </c>
      <c r="M13" s="5">
        <f>I13*0.224809</f>
        <v>9.2112716333539097</v>
      </c>
      <c r="N13" s="5" t="s">
        <v>2</v>
      </c>
    </row>
    <row r="14" spans="1:14" x14ac:dyDescent="0.4">
      <c r="A14" t="s">
        <v>22</v>
      </c>
      <c r="B14" s="6">
        <v>0.4</v>
      </c>
      <c r="D14" s="2"/>
      <c r="H14" s="5" t="s">
        <v>51</v>
      </c>
      <c r="I14" s="14">
        <f>I12*I10</f>
        <v>50.460650819277092</v>
      </c>
      <c r="J14" s="5" t="s">
        <v>12</v>
      </c>
      <c r="K14" s="13">
        <f>I14*0.101972</f>
        <v>5.1455734853433235</v>
      </c>
      <c r="L14" s="5" t="s">
        <v>0</v>
      </c>
      <c r="M14" s="5">
        <f>I14*0.224809</f>
        <v>11.344008450030865</v>
      </c>
      <c r="N14" s="5" t="s">
        <v>2</v>
      </c>
    </row>
    <row r="15" spans="1:14" x14ac:dyDescent="0.4">
      <c r="A15" t="s">
        <v>11</v>
      </c>
      <c r="B15" s="6">
        <v>11</v>
      </c>
      <c r="C15" t="s">
        <v>12</v>
      </c>
      <c r="D15" s="2">
        <f>0.224809*B15</f>
        <v>2.472899</v>
      </c>
      <c r="E15" t="s">
        <v>2</v>
      </c>
      <c r="H15" s="5"/>
      <c r="I15" s="13"/>
      <c r="J15" s="5"/>
      <c r="K15" s="13"/>
      <c r="L15" s="5"/>
      <c r="M15" s="5"/>
      <c r="N15" s="5"/>
    </row>
    <row r="16" spans="1:14" x14ac:dyDescent="0.4">
      <c r="B16" s="9"/>
      <c r="D16" s="2"/>
      <c r="H16" s="5"/>
      <c r="I16" s="13"/>
      <c r="J16" s="5"/>
      <c r="K16" s="13"/>
      <c r="L16" s="5"/>
      <c r="M16" s="5"/>
      <c r="N16" s="5"/>
    </row>
    <row r="17" spans="1:14" x14ac:dyDescent="0.4">
      <c r="H17" s="5" t="s">
        <v>53</v>
      </c>
      <c r="I17" s="14">
        <f>I12/B11</f>
        <v>1.0377309090480042</v>
      </c>
      <c r="J17" s="5" t="s">
        <v>54</v>
      </c>
      <c r="K17" s="13">
        <f>3.28084^2*I17</f>
        <v>11.170043256526197</v>
      </c>
      <c r="L17" s="5" t="s">
        <v>57</v>
      </c>
      <c r="M17" s="5"/>
      <c r="N17" s="5"/>
    </row>
    <row r="18" spans="1:14" x14ac:dyDescent="0.4">
      <c r="A18" t="s">
        <v>13</v>
      </c>
      <c r="B18">
        <f>1/(PI()*B6*B8)</f>
        <v>4.6719929281432322E-2</v>
      </c>
      <c r="D18" t="s">
        <v>14</v>
      </c>
      <c r="H18" s="5" t="s">
        <v>55</v>
      </c>
      <c r="I18" s="14">
        <f>SQRT(I17*B6)</f>
        <v>2.982172679531049</v>
      </c>
      <c r="J18" s="5" t="s">
        <v>33</v>
      </c>
      <c r="K18" s="13">
        <f>3.28084*I18</f>
        <v>9.784031413912647</v>
      </c>
      <c r="L18" s="5" t="s">
        <v>56</v>
      </c>
      <c r="M18" s="5"/>
      <c r="N18" s="5"/>
    </row>
    <row r="19" spans="1:14" x14ac:dyDescent="0.4">
      <c r="A19" t="s">
        <v>15</v>
      </c>
      <c r="B19">
        <f>1/(2*SQRT(B18*B7))</f>
        <v>14.63015447211864</v>
      </c>
      <c r="D19" t="s">
        <v>16</v>
      </c>
      <c r="H19" s="10" t="s">
        <v>68</v>
      </c>
      <c r="I19" s="15">
        <f>B12*I12</f>
        <v>1024.344180321285</v>
      </c>
      <c r="J19" s="10" t="s">
        <v>69</v>
      </c>
    </row>
    <row r="21" spans="1:14" x14ac:dyDescent="0.4">
      <c r="A21" t="s">
        <v>24</v>
      </c>
      <c r="B21" s="18">
        <v>1.1116999999999999</v>
      </c>
      <c r="C21" t="s">
        <v>25</v>
      </c>
      <c r="H21" s="11"/>
    </row>
    <row r="22" spans="1:14" x14ac:dyDescent="0.4">
      <c r="A22" t="s">
        <v>94</v>
      </c>
      <c r="B22" s="3">
        <v>1.4</v>
      </c>
      <c r="G22" s="16" t="s">
        <v>93</v>
      </c>
      <c r="I22" s="4"/>
    </row>
    <row r="23" spans="1:14" x14ac:dyDescent="0.4">
      <c r="G23" s="16">
        <v>8</v>
      </c>
    </row>
    <row r="26" spans="1:14" x14ac:dyDescent="0.4">
      <c r="A26" t="s">
        <v>97</v>
      </c>
      <c r="B26" t="s">
        <v>98</v>
      </c>
      <c r="C26" t="s">
        <v>99</v>
      </c>
      <c r="D26" t="s">
        <v>100</v>
      </c>
      <c r="E26" t="s">
        <v>101</v>
      </c>
    </row>
    <row r="27" spans="1:14" x14ac:dyDescent="0.4">
      <c r="A27" s="17" t="s">
        <v>102</v>
      </c>
      <c r="B27">
        <f>0.506*9.80665</f>
        <v>4.9621648999999994</v>
      </c>
      <c r="C27" s="16">
        <f>14.8*5</f>
        <v>74</v>
      </c>
      <c r="D27" s="16">
        <f>C27*3600</f>
        <v>266400</v>
      </c>
      <c r="E27" s="16">
        <f>D27/B27</f>
        <v>53686.244888798443</v>
      </c>
    </row>
    <row r="29" spans="1:14" x14ac:dyDescent="0.4">
      <c r="E29" s="4"/>
    </row>
    <row r="30" spans="1:14" x14ac:dyDescent="0.4">
      <c r="E30" s="4"/>
    </row>
    <row r="31" spans="1:14" x14ac:dyDescent="0.4">
      <c r="E31" s="4"/>
    </row>
    <row r="32" spans="1:14" x14ac:dyDescent="0.4">
      <c r="E32" s="4"/>
    </row>
    <row r="33" spans="5:5" x14ac:dyDescent="0.4">
      <c r="E33" s="4"/>
    </row>
    <row r="34" spans="5:5" x14ac:dyDescent="0.4">
      <c r="E34" s="4"/>
    </row>
    <row r="35" spans="5:5" x14ac:dyDescent="0.4">
      <c r="E35" s="4"/>
    </row>
    <row r="36" spans="5:5" x14ac:dyDescent="0.4">
      <c r="E36" s="4"/>
    </row>
    <row r="37" spans="5:5" x14ac:dyDescent="0.4">
      <c r="E37" s="4"/>
    </row>
    <row r="42" spans="5:5" x14ac:dyDescent="0.4">
      <c r="E42" s="4"/>
    </row>
    <row r="43" spans="5:5" x14ac:dyDescent="0.4">
      <c r="E43" s="4"/>
    </row>
    <row r="44" spans="5:5" x14ac:dyDescent="0.4">
      <c r="E44" s="4"/>
    </row>
    <row r="45" spans="5:5" x14ac:dyDescent="0.4">
      <c r="E45" s="4"/>
    </row>
    <row r="46" spans="5:5" x14ac:dyDescent="0.4">
      <c r="E46" s="4"/>
    </row>
    <row r="47" spans="5:5" x14ac:dyDescent="0.4">
      <c r="E47" s="4"/>
    </row>
    <row r="48" spans="5:5" x14ac:dyDescent="0.4">
      <c r="E48" s="4"/>
    </row>
    <row r="49" spans="5:5" x14ac:dyDescent="0.4">
      <c r="E49" s="4"/>
    </row>
    <row r="55" spans="5:5" x14ac:dyDescent="0.4">
      <c r="E55" s="4"/>
    </row>
    <row r="56" spans="5:5" x14ac:dyDescent="0.4">
      <c r="E56" s="4"/>
    </row>
    <row r="57" spans="5:5" x14ac:dyDescent="0.4">
      <c r="E57" s="4"/>
    </row>
    <row r="58" spans="5:5" x14ac:dyDescent="0.4">
      <c r="E58" s="4"/>
    </row>
    <row r="59" spans="5:5" x14ac:dyDescent="0.4">
      <c r="E59" s="4"/>
    </row>
    <row r="60" spans="5:5" x14ac:dyDescent="0.4">
      <c r="E60" s="4"/>
    </row>
    <row r="61" spans="5:5" x14ac:dyDescent="0.4">
      <c r="E61" s="4"/>
    </row>
    <row r="62" spans="5:5" x14ac:dyDescent="0.4">
      <c r="E62" s="4"/>
    </row>
  </sheetData>
  <hyperlinks>
    <hyperlink ref="A27" r:id="rId1" xr:uid="{00000000-0004-0000-0000-000000000000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Q21"/>
  <sheetViews>
    <sheetView workbookViewId="0">
      <selection activeCell="B13" sqref="B13"/>
    </sheetView>
  </sheetViews>
  <sheetFormatPr defaultRowHeight="14.6" x14ac:dyDescent="0.4"/>
  <cols>
    <col min="1" max="1" width="21.3046875" customWidth="1"/>
  </cols>
  <sheetData>
    <row r="1" spans="1:17" x14ac:dyDescent="0.4">
      <c r="A1" t="s">
        <v>23</v>
      </c>
      <c r="P1" t="s">
        <v>66</v>
      </c>
    </row>
    <row r="2" spans="1:17" x14ac:dyDescent="0.4">
      <c r="P2">
        <v>3.280839895013</v>
      </c>
      <c r="Q2" t="s">
        <v>60</v>
      </c>
    </row>
    <row r="3" spans="1:17" x14ac:dyDescent="0.4">
      <c r="A3" t="s">
        <v>24</v>
      </c>
      <c r="B3" s="3">
        <v>1.2250000000000001</v>
      </c>
      <c r="C3" t="s">
        <v>25</v>
      </c>
      <c r="P3">
        <v>1.9438444924410001</v>
      </c>
      <c r="Q3" t="s">
        <v>64</v>
      </c>
    </row>
    <row r="4" spans="1:17" x14ac:dyDescent="0.4">
      <c r="A4" t="s">
        <v>26</v>
      </c>
      <c r="B4" s="3">
        <v>1.4</v>
      </c>
    </row>
    <row r="5" spans="1:17" x14ac:dyDescent="0.4">
      <c r="A5" t="s">
        <v>27</v>
      </c>
      <c r="B5">
        <f>1.2*SQRT(2*airplane!B11/(B3*B4))</f>
        <v>12.874926476622134</v>
      </c>
      <c r="C5" t="s">
        <v>28</v>
      </c>
      <c r="D5">
        <f>B5*P$2</f>
        <v>42.240572429861054</v>
      </c>
      <c r="E5" t="s">
        <v>60</v>
      </c>
      <c r="F5">
        <f>B5*P$3</f>
        <v>25.026854922164745</v>
      </c>
      <c r="G5" t="s">
        <v>64</v>
      </c>
      <c r="H5">
        <f>B5*P$5</f>
        <v>28.800390293082987</v>
      </c>
      <c r="I5" t="s">
        <v>65</v>
      </c>
      <c r="P5">
        <v>2.2369362920540001</v>
      </c>
      <c r="Q5" t="s">
        <v>67</v>
      </c>
    </row>
    <row r="6" spans="1:17" x14ac:dyDescent="0.4">
      <c r="A6" t="s">
        <v>30</v>
      </c>
      <c r="B6">
        <f>1/2*B5^2/(airplane!B4*airplane!B12*airplane!B9*airplane!B10)</f>
        <v>1.7619444279169392</v>
      </c>
      <c r="C6" t="s">
        <v>31</v>
      </c>
    </row>
    <row r="7" spans="1:17" x14ac:dyDescent="0.4">
      <c r="A7" t="s">
        <v>32</v>
      </c>
      <c r="B7">
        <f>1/3*B5^3/(airplane!B4*airplane!B9*airplane!B10*airplane!B12)</f>
        <v>15.123269976883092</v>
      </c>
      <c r="C7" t="s">
        <v>33</v>
      </c>
    </row>
    <row r="9" spans="1:17" x14ac:dyDescent="0.4">
      <c r="A9" t="s">
        <v>37</v>
      </c>
      <c r="B9">
        <f>B6*airplane!B12/airplane!B13</f>
        <v>3.6465877527360759E-4</v>
      </c>
    </row>
    <row r="13" spans="1:17" x14ac:dyDescent="0.4">
      <c r="A13" t="s">
        <v>62</v>
      </c>
      <c r="B13">
        <f>B5/1.2</f>
        <v>10.729105397185112</v>
      </c>
      <c r="C13" t="s">
        <v>28</v>
      </c>
      <c r="D13">
        <f>B13*P$2</f>
        <v>35.200477024884215</v>
      </c>
      <c r="E13" t="s">
        <v>60</v>
      </c>
      <c r="F13">
        <f>B13*P$3</f>
        <v>20.855712435137288</v>
      </c>
      <c r="G13" t="s">
        <v>64</v>
      </c>
      <c r="H13">
        <f>B13*P$5</f>
        <v>24.000325244235825</v>
      </c>
      <c r="I13" t="s">
        <v>65</v>
      </c>
    </row>
    <row r="17" spans="5:5" x14ac:dyDescent="0.4">
      <c r="E17" t="s">
        <v>29</v>
      </c>
    </row>
    <row r="18" spans="5:5" x14ac:dyDescent="0.4">
      <c r="E18" t="s">
        <v>87</v>
      </c>
    </row>
    <row r="19" spans="5:5" x14ac:dyDescent="0.4">
      <c r="E19" t="s">
        <v>52</v>
      </c>
    </row>
    <row r="21" spans="5:5" x14ac:dyDescent="0.4">
      <c r="E21" t="s">
        <v>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Q18"/>
  <sheetViews>
    <sheetView workbookViewId="0">
      <selection activeCell="B1" sqref="B1"/>
    </sheetView>
  </sheetViews>
  <sheetFormatPr defaultRowHeight="14.6" x14ac:dyDescent="0.4"/>
  <cols>
    <col min="1" max="1" width="23.69140625" customWidth="1"/>
  </cols>
  <sheetData>
    <row r="1" spans="1:17" x14ac:dyDescent="0.4">
      <c r="A1" t="s">
        <v>61</v>
      </c>
      <c r="P1" t="s">
        <v>66</v>
      </c>
    </row>
    <row r="2" spans="1:17" x14ac:dyDescent="0.4">
      <c r="A2" t="s">
        <v>24</v>
      </c>
      <c r="B2" s="3">
        <v>1.2250000000000001</v>
      </c>
      <c r="C2" t="s">
        <v>25</v>
      </c>
      <c r="P2">
        <v>3.280839895013</v>
      </c>
      <c r="Q2" t="s">
        <v>60</v>
      </c>
    </row>
    <row r="3" spans="1:17" x14ac:dyDescent="0.4">
      <c r="A3" t="s">
        <v>38</v>
      </c>
      <c r="B3" s="8">
        <v>81</v>
      </c>
      <c r="C3" t="s">
        <v>39</v>
      </c>
      <c r="P3">
        <v>1.9438444924410001</v>
      </c>
      <c r="Q3" t="s">
        <v>64</v>
      </c>
    </row>
    <row r="4" spans="1:17" x14ac:dyDescent="0.4">
      <c r="A4" t="s">
        <v>88</v>
      </c>
      <c r="B4" s="3">
        <f>B3*1000/B5/3600</f>
        <v>1.5158786861931404</v>
      </c>
      <c r="C4" t="s">
        <v>89</v>
      </c>
    </row>
    <row r="5" spans="1:17" x14ac:dyDescent="0.4">
      <c r="A5" t="s">
        <v>40</v>
      </c>
      <c r="B5" s="8">
        <f>SQRT(2*airplane!B11/('Best range cruise'!B2*SQRT(airplane!B7/airplane!B18)))</f>
        <v>14.842876415463527</v>
      </c>
      <c r="C5" t="s">
        <v>28</v>
      </c>
      <c r="D5">
        <f>B5*P2</f>
        <v>48.697101100600293</v>
      </c>
      <c r="E5" t="s">
        <v>60</v>
      </c>
      <c r="F5">
        <f>B5*P3</f>
        <v>28.852243572181191</v>
      </c>
      <c r="G5" t="s">
        <v>64</v>
      </c>
      <c r="H5">
        <f>B5*P5</f>
        <v>33.202568932222754</v>
      </c>
      <c r="I5" t="s">
        <v>65</v>
      </c>
      <c r="P5">
        <v>2.2369362920540001</v>
      </c>
      <c r="Q5" t="s">
        <v>67</v>
      </c>
    </row>
    <row r="7" spans="1:17" x14ac:dyDescent="0.4">
      <c r="A7" t="s">
        <v>41</v>
      </c>
      <c r="B7">
        <f>B3*1000/B5</f>
        <v>5457.1632702953057</v>
      </c>
      <c r="C7" t="s">
        <v>31</v>
      </c>
      <c r="D7">
        <f>B7/60</f>
        <v>90.952721171588422</v>
      </c>
      <c r="E7" t="s">
        <v>63</v>
      </c>
    </row>
    <row r="8" spans="1:17" x14ac:dyDescent="0.4">
      <c r="A8" t="s">
        <v>42</v>
      </c>
      <c r="B8">
        <f>1/2*B2*B5^2</f>
        <v>134.9404754243931</v>
      </c>
      <c r="C8" t="s">
        <v>17</v>
      </c>
    </row>
    <row r="9" spans="1:17" x14ac:dyDescent="0.4">
      <c r="A9" t="s">
        <v>43</v>
      </c>
      <c r="B9">
        <f>airplane!B11/(airplane!B7*B8+airplane!B18*airplane!B11^2/B8)</f>
        <v>14.63015447211864</v>
      </c>
    </row>
    <row r="11" spans="1:17" x14ac:dyDescent="0.4">
      <c r="A11" t="s">
        <v>46</v>
      </c>
      <c r="B11">
        <f>B3/(airplane!B9*airplane!B10*airplane!B19*airplane!B13)*1000</f>
        <v>0.23872028943223866</v>
      </c>
    </row>
    <row r="18" spans="5:5" x14ac:dyDescent="0.4">
      <c r="E18" t="s">
        <v>44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Q11"/>
  <sheetViews>
    <sheetView workbookViewId="0">
      <selection activeCell="B5" sqref="B5"/>
    </sheetView>
  </sheetViews>
  <sheetFormatPr defaultRowHeight="14.6" x14ac:dyDescent="0.4"/>
  <cols>
    <col min="1" max="1" width="20.4609375" bestFit="1" customWidth="1"/>
  </cols>
  <sheetData>
    <row r="1" spans="1:17" x14ac:dyDescent="0.4">
      <c r="A1" t="s">
        <v>73</v>
      </c>
      <c r="P1" t="s">
        <v>66</v>
      </c>
    </row>
    <row r="2" spans="1:17" x14ac:dyDescent="0.4">
      <c r="A2" t="s">
        <v>24</v>
      </c>
      <c r="B2" s="3">
        <v>1.2250000000000001</v>
      </c>
      <c r="C2" t="s">
        <v>25</v>
      </c>
      <c r="P2">
        <v>3.280839895013</v>
      </c>
      <c r="Q2" t="s">
        <v>60</v>
      </c>
    </row>
    <row r="3" spans="1:17" x14ac:dyDescent="0.4">
      <c r="A3" t="s">
        <v>74</v>
      </c>
      <c r="B3" s="8">
        <f>B5*B4*3.6</f>
        <v>0</v>
      </c>
      <c r="C3" t="s">
        <v>39</v>
      </c>
      <c r="P3">
        <v>1.9438444924410001</v>
      </c>
      <c r="Q3" t="s">
        <v>64</v>
      </c>
    </row>
    <row r="4" spans="1:17" x14ac:dyDescent="0.4">
      <c r="A4" t="s">
        <v>90</v>
      </c>
      <c r="B4" s="3">
        <v>0</v>
      </c>
      <c r="C4" t="s">
        <v>89</v>
      </c>
    </row>
    <row r="5" spans="1:17" x14ac:dyDescent="0.4">
      <c r="A5" t="s">
        <v>75</v>
      </c>
      <c r="B5" s="3">
        <v>11</v>
      </c>
      <c r="C5" t="s">
        <v>28</v>
      </c>
      <c r="D5">
        <f>B5*P2</f>
        <v>36.089238845143001</v>
      </c>
      <c r="E5" t="s">
        <v>60</v>
      </c>
      <c r="F5">
        <f>B5*P3</f>
        <v>21.382289416851002</v>
      </c>
      <c r="G5" t="s">
        <v>64</v>
      </c>
      <c r="H5">
        <f>B5*P5</f>
        <v>24.606299212594003</v>
      </c>
      <c r="I5" t="s">
        <v>65</v>
      </c>
      <c r="P5">
        <v>2.2369362920540001</v>
      </c>
      <c r="Q5" t="s">
        <v>67</v>
      </c>
    </row>
    <row r="7" spans="1:17" x14ac:dyDescent="0.4">
      <c r="A7" t="s">
        <v>76</v>
      </c>
      <c r="B7">
        <f>B3*1000/B5</f>
        <v>0</v>
      </c>
      <c r="C7" t="s">
        <v>31</v>
      </c>
      <c r="D7">
        <f>B7/60</f>
        <v>0</v>
      </c>
      <c r="E7" t="s">
        <v>63</v>
      </c>
    </row>
    <row r="8" spans="1:17" x14ac:dyDescent="0.4">
      <c r="A8" t="s">
        <v>42</v>
      </c>
      <c r="B8">
        <f>1/2*B2*B5^2</f>
        <v>74.112500000000011</v>
      </c>
      <c r="C8" t="s">
        <v>17</v>
      </c>
    </row>
    <row r="9" spans="1:17" x14ac:dyDescent="0.4">
      <c r="A9" t="s">
        <v>77</v>
      </c>
      <c r="B9">
        <f>airplane!B11/(airplane!B7*B8+airplane!B18*airplane!B11^2/B8)</f>
        <v>12.346249287561703</v>
      </c>
      <c r="G9" t="s">
        <v>44</v>
      </c>
    </row>
    <row r="11" spans="1:17" x14ac:dyDescent="0.4">
      <c r="A11" t="s">
        <v>46</v>
      </c>
      <c r="B11">
        <f>B3/(airplane!B9*airplane!B10*airplane!B13*B9)*1000</f>
        <v>0</v>
      </c>
      <c r="G11" t="s">
        <v>45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Q11"/>
  <sheetViews>
    <sheetView workbookViewId="0">
      <selection activeCell="B4" sqref="B4"/>
    </sheetView>
  </sheetViews>
  <sheetFormatPr defaultRowHeight="14.6" x14ac:dyDescent="0.4"/>
  <cols>
    <col min="1" max="1" width="22.07421875" customWidth="1"/>
    <col min="2" max="2" width="11" bestFit="1" customWidth="1"/>
  </cols>
  <sheetData>
    <row r="1" spans="1:17" x14ac:dyDescent="0.4">
      <c r="A1" t="s">
        <v>71</v>
      </c>
      <c r="P1" t="s">
        <v>66</v>
      </c>
    </row>
    <row r="2" spans="1:17" x14ac:dyDescent="0.4">
      <c r="A2" t="s">
        <v>24</v>
      </c>
      <c r="B2" s="3">
        <v>1.2250000000000001</v>
      </c>
      <c r="C2" t="s">
        <v>25</v>
      </c>
      <c r="P2">
        <v>3.280839895013</v>
      </c>
      <c r="Q2" t="s">
        <v>60</v>
      </c>
    </row>
    <row r="3" spans="1:17" x14ac:dyDescent="0.4">
      <c r="A3" t="s">
        <v>38</v>
      </c>
      <c r="B3" s="8">
        <v>80</v>
      </c>
      <c r="C3" t="s">
        <v>39</v>
      </c>
      <c r="P3">
        <v>1.9438444924410001</v>
      </c>
      <c r="Q3" t="s">
        <v>64</v>
      </c>
    </row>
    <row r="4" spans="1:17" x14ac:dyDescent="0.4">
      <c r="A4" t="s">
        <v>90</v>
      </c>
      <c r="B4" s="3">
        <f>B3*1000/B5/3600</f>
        <v>1.2345679012345678</v>
      </c>
    </row>
    <row r="5" spans="1:17" x14ac:dyDescent="0.4">
      <c r="A5" t="s">
        <v>40</v>
      </c>
      <c r="B5" s="3">
        <v>18</v>
      </c>
      <c r="C5" t="s">
        <v>28</v>
      </c>
      <c r="D5">
        <f>B5*P2</f>
        <v>59.055118110233998</v>
      </c>
      <c r="E5" t="s">
        <v>60</v>
      </c>
      <c r="F5">
        <f>B5*P3</f>
        <v>34.989200863938002</v>
      </c>
      <c r="G5" t="s">
        <v>64</v>
      </c>
      <c r="H5">
        <f>B5*P5</f>
        <v>40.264853256972003</v>
      </c>
      <c r="I5" t="s">
        <v>65</v>
      </c>
      <c r="P5">
        <v>2.2369362920540001</v>
      </c>
      <c r="Q5" t="s">
        <v>67</v>
      </c>
    </row>
    <row r="7" spans="1:17" x14ac:dyDescent="0.4">
      <c r="A7" t="s">
        <v>41</v>
      </c>
      <c r="B7">
        <f>B3*1000/B5</f>
        <v>4444.4444444444443</v>
      </c>
      <c r="C7" t="s">
        <v>31</v>
      </c>
      <c r="D7">
        <f>B7/60</f>
        <v>74.074074074074076</v>
      </c>
      <c r="E7" t="s">
        <v>63</v>
      </c>
    </row>
    <row r="8" spans="1:17" x14ac:dyDescent="0.4">
      <c r="A8" t="s">
        <v>42</v>
      </c>
      <c r="B8">
        <f>1/2*B2*B5^2</f>
        <v>198.45000000000002</v>
      </c>
      <c r="C8" t="s">
        <v>17</v>
      </c>
    </row>
    <row r="9" spans="1:17" x14ac:dyDescent="0.4">
      <c r="A9" t="s">
        <v>43</v>
      </c>
      <c r="B9">
        <f>airplane!B11/(airplane!B7*B8+airplane!B18*airplane!B11^2/B8)</f>
        <v>13.605518747876145</v>
      </c>
      <c r="G9" t="s">
        <v>44</v>
      </c>
    </row>
    <row r="11" spans="1:17" x14ac:dyDescent="0.4">
      <c r="A11" t="s">
        <v>46</v>
      </c>
      <c r="B11">
        <f>B3/(airplane!B9*airplane!B10*airplane!B13*B9)*1000</f>
        <v>0.25352927061345221</v>
      </c>
      <c r="G11" t="s">
        <v>45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Q9"/>
  <sheetViews>
    <sheetView workbookViewId="0">
      <selection activeCell="E13" sqref="E13"/>
    </sheetView>
  </sheetViews>
  <sheetFormatPr defaultRowHeight="14.6" x14ac:dyDescent="0.4"/>
  <cols>
    <col min="1" max="1" width="25.69140625" bestFit="1" customWidth="1"/>
  </cols>
  <sheetData>
    <row r="1" spans="1:17" x14ac:dyDescent="0.4">
      <c r="P1" t="s">
        <v>66</v>
      </c>
    </row>
    <row r="2" spans="1:17" x14ac:dyDescent="0.4">
      <c r="A2" t="s">
        <v>85</v>
      </c>
      <c r="B2" s="3">
        <v>0</v>
      </c>
      <c r="P2">
        <v>3.280839895013</v>
      </c>
      <c r="Q2" t="s">
        <v>60</v>
      </c>
    </row>
    <row r="3" spans="1:17" x14ac:dyDescent="0.4">
      <c r="A3" t="s">
        <v>82</v>
      </c>
      <c r="B3" s="3">
        <v>1</v>
      </c>
      <c r="C3" t="s">
        <v>25</v>
      </c>
      <c r="P3">
        <v>1.9438444924410001</v>
      </c>
      <c r="Q3" t="s">
        <v>64</v>
      </c>
    </row>
    <row r="5" spans="1:17" x14ac:dyDescent="0.4">
      <c r="A5" t="s">
        <v>80</v>
      </c>
      <c r="B5">
        <f>1.2*SQRT(2*airplane!B11/(B3*airplane!B22))</f>
        <v>14.249932330666395</v>
      </c>
      <c r="C5" t="s">
        <v>81</v>
      </c>
      <c r="D5">
        <f>B5*P$2</f>
        <v>46.751746491685893</v>
      </c>
      <c r="E5" t="s">
        <v>60</v>
      </c>
      <c r="F5">
        <f>B5*P$3</f>
        <v>27.699652478622816</v>
      </c>
      <c r="G5" t="s">
        <v>64</v>
      </c>
      <c r="H5">
        <f>B5*P$5</f>
        <v>31.876190789781301</v>
      </c>
      <c r="I5" t="s">
        <v>65</v>
      </c>
      <c r="P5">
        <v>2.2369362920540001</v>
      </c>
      <c r="Q5" t="s">
        <v>67</v>
      </c>
    </row>
    <row r="6" spans="1:17" x14ac:dyDescent="0.4">
      <c r="A6" t="s">
        <v>83</v>
      </c>
      <c r="B6">
        <f>0.5*B3*B5^2</f>
        <v>101.5302857142857</v>
      </c>
      <c r="C6" t="s">
        <v>17</v>
      </c>
    </row>
    <row r="8" spans="1:17" x14ac:dyDescent="0.4">
      <c r="A8" t="s">
        <v>84</v>
      </c>
      <c r="B8">
        <f>SQRT(B6/(airplane!B18*airplane!B11)*(airplane!B12*airplane!B9*airplane!B10/Turns!B5 - Turns!B6*airplane!B7/(airplane!B11)))</f>
        <v>2.6171985976767256</v>
      </c>
    </row>
    <row r="9" spans="1:17" x14ac:dyDescent="0.4">
      <c r="A9" t="s">
        <v>86</v>
      </c>
      <c r="B9">
        <f>2*3.1416*B2*airplane!B12*Turns!B5/(airplane!B13*airplane!B4*SQRT((Turns!B8)^2-1))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E9B91-1BB8-44FA-BFE1-72E936E734B7}">
  <dimension ref="A1:C10"/>
  <sheetViews>
    <sheetView tabSelected="1" workbookViewId="0">
      <selection activeCell="E6" sqref="E6"/>
    </sheetView>
  </sheetViews>
  <sheetFormatPr defaultRowHeight="14.6" x14ac:dyDescent="0.4"/>
  <cols>
    <col min="1" max="1" width="20.4609375" bestFit="1" customWidth="1"/>
  </cols>
  <sheetData>
    <row r="1" spans="1:3" x14ac:dyDescent="0.4">
      <c r="A1" t="s">
        <v>105</v>
      </c>
    </row>
    <row r="3" spans="1:3" x14ac:dyDescent="0.4">
      <c r="A3" t="s">
        <v>106</v>
      </c>
      <c r="B3">
        <f>1.2*'take off'!B13</f>
        <v>12.874926476622134</v>
      </c>
      <c r="C3" t="s">
        <v>81</v>
      </c>
    </row>
    <row r="4" spans="1:3" x14ac:dyDescent="0.4">
      <c r="A4" t="s">
        <v>107</v>
      </c>
      <c r="B4">
        <f>airplane!B21</f>
        <v>1.1116999999999999</v>
      </c>
      <c r="C4" t="s">
        <v>25</v>
      </c>
    </row>
    <row r="5" spans="1:3" x14ac:dyDescent="0.4">
      <c r="A5" t="s">
        <v>108</v>
      </c>
      <c r="B5">
        <v>0.5</v>
      </c>
    </row>
    <row r="6" spans="1:3" x14ac:dyDescent="0.4">
      <c r="A6" t="s">
        <v>109</v>
      </c>
      <c r="B6">
        <v>1</v>
      </c>
    </row>
    <row r="7" spans="1:3" x14ac:dyDescent="0.4">
      <c r="A7" t="s">
        <v>110</v>
      </c>
      <c r="B7">
        <v>1.3</v>
      </c>
    </row>
    <row r="8" spans="1:3" x14ac:dyDescent="0.4">
      <c r="A8" t="s">
        <v>111</v>
      </c>
      <c r="B8">
        <f>airplane!B11</f>
        <v>98.71</v>
      </c>
      <c r="C8" t="s">
        <v>17</v>
      </c>
    </row>
    <row r="10" spans="1:3" x14ac:dyDescent="0.4">
      <c r="A10" t="s">
        <v>112</v>
      </c>
      <c r="B10">
        <f>(1.69*B8*B6)/(B4*9.805*B5*B7)</f>
        <v>23.545032606456466</v>
      </c>
      <c r="C10" t="s">
        <v>113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airplane</vt:lpstr>
      <vt:lpstr>take off</vt:lpstr>
      <vt:lpstr>Best range cruise</vt:lpstr>
      <vt:lpstr>loiter</vt:lpstr>
      <vt:lpstr>Cruise</vt:lpstr>
      <vt:lpstr>Turns</vt:lpstr>
      <vt:lpstr>landing</vt:lpstr>
    </vt:vector>
  </TitlesOfParts>
  <Company>Engineering Computer Network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localadmin</dc:creator>
  <cp:lastModifiedBy>Abby Gries</cp:lastModifiedBy>
  <dcterms:created xsi:type="dcterms:W3CDTF">2011-04-10T19:03:44Z</dcterms:created>
  <dcterms:modified xsi:type="dcterms:W3CDTF">2019-10-01T16:05:21Z</dcterms:modified>
</cp:coreProperties>
</file>