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nidhi\Documents\"/>
    </mc:Choice>
  </mc:AlternateContent>
  <bookViews>
    <workbookView xWindow="0" yWindow="0" windowWidth="19200" windowHeight="5000"/>
  </bookViews>
  <sheets>
    <sheet name="Heat loss _The Downtowner" sheetId="1" r:id="rId1"/>
  </sheets>
  <externalReferences>
    <externalReference r:id="rId2"/>
  </externalReferences>
  <definedNames>
    <definedName name="_xlnm.Print_Area" localSheetId="0">'Heat loss _The Downtowner'!$A$1:$AK$35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AG27" i="1"/>
  <c r="AE27" i="1"/>
  <c r="AF27" i="1" s="1"/>
  <c r="AH27" i="1" s="1"/>
  <c r="Z27" i="1"/>
  <c r="V27" i="1"/>
  <c r="X27" i="1" s="1"/>
  <c r="AB27" i="1" s="1"/>
  <c r="AJ27" i="1" s="1"/>
  <c r="S27" i="1"/>
  <c r="R27" i="1"/>
  <c r="Q27" i="1"/>
  <c r="P27" i="1"/>
  <c r="U27" i="1" s="1"/>
  <c r="N27" i="1"/>
  <c r="F27" i="1"/>
  <c r="D27" i="1"/>
  <c r="AG26" i="1"/>
  <c r="AE26" i="1"/>
  <c r="AF26" i="1" s="1"/>
  <c r="AH26" i="1" s="1"/>
  <c r="Z26" i="1"/>
  <c r="V26" i="1"/>
  <c r="X26" i="1" s="1"/>
  <c r="AB26" i="1" s="1"/>
  <c r="AJ26" i="1" s="1"/>
  <c r="S26" i="1"/>
  <c r="R26" i="1"/>
  <c r="Q26" i="1"/>
  <c r="P26" i="1"/>
  <c r="U26" i="1" s="1"/>
  <c r="N26" i="1"/>
  <c r="F26" i="1"/>
  <c r="D26" i="1"/>
  <c r="AG25" i="1"/>
  <c r="AE25" i="1"/>
  <c r="AF25" i="1" s="1"/>
  <c r="AH25" i="1" s="1"/>
  <c r="Z25" i="1"/>
  <c r="V25" i="1"/>
  <c r="X25" i="1" s="1"/>
  <c r="AB25" i="1" s="1"/>
  <c r="AJ25" i="1" s="1"/>
  <c r="S25" i="1"/>
  <c r="R25" i="1"/>
  <c r="Q25" i="1"/>
  <c r="P25" i="1"/>
  <c r="U25" i="1" s="1"/>
  <c r="N25" i="1"/>
  <c r="F25" i="1"/>
  <c r="D25" i="1"/>
  <c r="AG24" i="1"/>
  <c r="AE24" i="1"/>
  <c r="AF24" i="1" s="1"/>
  <c r="AH24" i="1" s="1"/>
  <c r="Z24" i="1"/>
  <c r="V24" i="1"/>
  <c r="X24" i="1" s="1"/>
  <c r="AB24" i="1" s="1"/>
  <c r="AJ24" i="1" s="1"/>
  <c r="S24" i="1"/>
  <c r="R24" i="1"/>
  <c r="Q24" i="1"/>
  <c r="P24" i="1"/>
  <c r="U24" i="1" s="1"/>
  <c r="N24" i="1"/>
  <c r="F24" i="1"/>
  <c r="D24" i="1"/>
  <c r="AG23" i="1"/>
  <c r="AE23" i="1"/>
  <c r="AF23" i="1" s="1"/>
  <c r="AH23" i="1" s="1"/>
  <c r="Z23" i="1"/>
  <c r="V23" i="1"/>
  <c r="X23" i="1" s="1"/>
  <c r="AB23" i="1" s="1"/>
  <c r="AJ23" i="1" s="1"/>
  <c r="S23" i="1"/>
  <c r="R23" i="1"/>
  <c r="Q23" i="1"/>
  <c r="P23" i="1"/>
  <c r="U23" i="1" s="1"/>
  <c r="N23" i="1"/>
  <c r="J23" i="1"/>
  <c r="F23" i="1"/>
  <c r="D23" i="1"/>
  <c r="AE22" i="1"/>
  <c r="AG22" i="1" s="1"/>
  <c r="Z22" i="1"/>
  <c r="AB22" i="1" s="1"/>
  <c r="X22" i="1"/>
  <c r="W22" i="1"/>
  <c r="Y22" i="1" s="1"/>
  <c r="V22" i="1"/>
  <c r="S22" i="1"/>
  <c r="R22" i="1"/>
  <c r="Q22" i="1"/>
  <c r="N22" i="1"/>
  <c r="F22" i="1"/>
  <c r="P22" i="1" s="1"/>
  <c r="U22" i="1" s="1"/>
  <c r="AA22" i="1" s="1"/>
  <c r="D22" i="1"/>
  <c r="AE21" i="1"/>
  <c r="AG21" i="1" s="1"/>
  <c r="Z21" i="1"/>
  <c r="AB21" i="1" s="1"/>
  <c r="X21" i="1"/>
  <c r="W21" i="1"/>
  <c r="Y21" i="1" s="1"/>
  <c r="V21" i="1"/>
  <c r="S21" i="1"/>
  <c r="R21" i="1"/>
  <c r="Q21" i="1"/>
  <c r="N21" i="1"/>
  <c r="F21" i="1"/>
  <c r="P21" i="1" s="1"/>
  <c r="U21" i="1" s="1"/>
  <c r="AA21" i="1" s="1"/>
  <c r="D21" i="1"/>
  <c r="AG20" i="1"/>
  <c r="AF20" i="1"/>
  <c r="AE20" i="1"/>
  <c r="Z20" i="1"/>
  <c r="V20" i="1"/>
  <c r="X20" i="1" s="1"/>
  <c r="AB20" i="1" s="1"/>
  <c r="R20" i="1"/>
  <c r="Q20" i="1"/>
  <c r="N20" i="1"/>
  <c r="S20" i="1" s="1"/>
  <c r="J20" i="1"/>
  <c r="F20" i="1"/>
  <c r="P20" i="1" s="1"/>
  <c r="U20" i="1" s="1"/>
  <c r="D20" i="1"/>
  <c r="AE19" i="1"/>
  <c r="AG19" i="1" s="1"/>
  <c r="Z19" i="1"/>
  <c r="AB19" i="1" s="1"/>
  <c r="AJ19" i="1" s="1"/>
  <c r="X19" i="1"/>
  <c r="W19" i="1"/>
  <c r="Y19" i="1" s="1"/>
  <c r="V19" i="1"/>
  <c r="S19" i="1"/>
  <c r="Q19" i="1"/>
  <c r="P19" i="1"/>
  <c r="U19" i="1" s="1"/>
  <c r="AA19" i="1" s="1"/>
  <c r="N19" i="1"/>
  <c r="J19" i="1"/>
  <c r="R19" i="1" s="1"/>
  <c r="F19" i="1"/>
  <c r="D19" i="1"/>
  <c r="AG18" i="1"/>
  <c r="AF18" i="1"/>
  <c r="AH18" i="1" s="1"/>
  <c r="AE18" i="1"/>
  <c r="Z18" i="1"/>
  <c r="X18" i="1"/>
  <c r="AB18" i="1" s="1"/>
  <c r="AJ18" i="1" s="1"/>
  <c r="V18" i="1"/>
  <c r="W18" i="1" s="1"/>
  <c r="Y18" i="1" s="1"/>
  <c r="R18" i="1"/>
  <c r="Q18" i="1"/>
  <c r="U18" i="1" s="1"/>
  <c r="P18" i="1"/>
  <c r="N18" i="1"/>
  <c r="S18" i="1" s="1"/>
  <c r="J18" i="1"/>
  <c r="F18" i="1"/>
  <c r="D18" i="1"/>
  <c r="AG16" i="1"/>
  <c r="AE16" i="1"/>
  <c r="AF16" i="1" s="1"/>
  <c r="AH16" i="1" s="1"/>
  <c r="Z16" i="1"/>
  <c r="V16" i="1"/>
  <c r="X16" i="1" s="1"/>
  <c r="AB16" i="1" s="1"/>
  <c r="AJ16" i="1" s="1"/>
  <c r="T16" i="1"/>
  <c r="S16" i="1"/>
  <c r="R16" i="1"/>
  <c r="Q16" i="1"/>
  <c r="F16" i="1"/>
  <c r="P16" i="1" s="1"/>
  <c r="U16" i="1" s="1"/>
  <c r="D16" i="1"/>
  <c r="AG15" i="1"/>
  <c r="AE15" i="1"/>
  <c r="AF15" i="1" s="1"/>
  <c r="AH15" i="1" s="1"/>
  <c r="Z15" i="1"/>
  <c r="V15" i="1"/>
  <c r="X15" i="1" s="1"/>
  <c r="AB15" i="1" s="1"/>
  <c r="AJ15" i="1" s="1"/>
  <c r="T15" i="1"/>
  <c r="S15" i="1"/>
  <c r="R15" i="1"/>
  <c r="Q15" i="1"/>
  <c r="P15" i="1"/>
  <c r="U15" i="1" s="1"/>
  <c r="D15" i="1"/>
  <c r="AG14" i="1"/>
  <c r="AF14" i="1"/>
  <c r="AH14" i="1" s="1"/>
  <c r="AE14" i="1"/>
  <c r="Z14" i="1"/>
  <c r="X14" i="1"/>
  <c r="AB14" i="1" s="1"/>
  <c r="AJ14" i="1" s="1"/>
  <c r="V14" i="1"/>
  <c r="W14" i="1" s="1"/>
  <c r="Y14" i="1" s="1"/>
  <c r="T14" i="1"/>
  <c r="S14" i="1"/>
  <c r="R14" i="1"/>
  <c r="Q14" i="1"/>
  <c r="P14" i="1"/>
  <c r="U14" i="1" s="1"/>
  <c r="F14" i="1"/>
  <c r="D14" i="1"/>
  <c r="AG13" i="1"/>
  <c r="AF13" i="1"/>
  <c r="AH13" i="1" s="1"/>
  <c r="AE13" i="1"/>
  <c r="Z13" i="1"/>
  <c r="T13" i="1"/>
  <c r="S13" i="1"/>
  <c r="R13" i="1"/>
  <c r="Q13" i="1"/>
  <c r="P13" i="1"/>
  <c r="U13" i="1" s="1"/>
  <c r="C13" i="1"/>
  <c r="D13" i="1" s="1"/>
  <c r="AG12" i="1"/>
  <c r="AF12" i="1"/>
  <c r="AH12" i="1" s="1"/>
  <c r="AE12" i="1"/>
  <c r="Z12" i="1"/>
  <c r="X12" i="1"/>
  <c r="AB12" i="1" s="1"/>
  <c r="AJ12" i="1" s="1"/>
  <c r="V12" i="1"/>
  <c r="W12" i="1" s="1"/>
  <c r="Y12" i="1" s="1"/>
  <c r="T12" i="1"/>
  <c r="S12" i="1"/>
  <c r="R12" i="1"/>
  <c r="Q12" i="1"/>
  <c r="P12" i="1"/>
  <c r="U12" i="1" s="1"/>
  <c r="F12" i="1"/>
  <c r="D12" i="1"/>
  <c r="AG11" i="1"/>
  <c r="AF11" i="1"/>
  <c r="AH11" i="1" s="1"/>
  <c r="AE11" i="1"/>
  <c r="Z11" i="1"/>
  <c r="X11" i="1"/>
  <c r="AB11" i="1" s="1"/>
  <c r="AJ11" i="1" s="1"/>
  <c r="V11" i="1"/>
  <c r="W11" i="1" s="1"/>
  <c r="Y11" i="1" s="1"/>
  <c r="T11" i="1"/>
  <c r="S11" i="1"/>
  <c r="R11" i="1"/>
  <c r="Q11" i="1"/>
  <c r="P11" i="1"/>
  <c r="U11" i="1" s="1"/>
  <c r="F11" i="1"/>
  <c r="D11" i="1"/>
  <c r="AG10" i="1"/>
  <c r="AF10" i="1"/>
  <c r="AH10" i="1" s="1"/>
  <c r="AE10" i="1"/>
  <c r="Z10" i="1"/>
  <c r="X10" i="1"/>
  <c r="AB10" i="1" s="1"/>
  <c r="AJ10" i="1" s="1"/>
  <c r="V10" i="1"/>
  <c r="W10" i="1" s="1"/>
  <c r="Y10" i="1" s="1"/>
  <c r="T10" i="1"/>
  <c r="S10" i="1"/>
  <c r="R10" i="1"/>
  <c r="Q10" i="1"/>
  <c r="P10" i="1"/>
  <c r="U10" i="1" s="1"/>
  <c r="J10" i="1"/>
  <c r="F10" i="1"/>
  <c r="D10" i="1"/>
  <c r="AG9" i="1"/>
  <c r="AE9" i="1"/>
  <c r="AF9" i="1" s="1"/>
  <c r="AH9" i="1" s="1"/>
  <c r="Z9" i="1"/>
  <c r="V9" i="1"/>
  <c r="X9" i="1" s="1"/>
  <c r="AB9" i="1" s="1"/>
  <c r="AJ9" i="1" s="1"/>
  <c r="T9" i="1"/>
  <c r="S9" i="1"/>
  <c r="R9" i="1"/>
  <c r="Q9" i="1"/>
  <c r="J9" i="1"/>
  <c r="F9" i="1"/>
  <c r="P9" i="1" s="1"/>
  <c r="U9" i="1" s="1"/>
  <c r="D9" i="1"/>
  <c r="AE8" i="1"/>
  <c r="AG8" i="1" s="1"/>
  <c r="Z8" i="1"/>
  <c r="AB8" i="1" s="1"/>
  <c r="X8" i="1"/>
  <c r="W8" i="1"/>
  <c r="Y8" i="1" s="1"/>
  <c r="V8" i="1"/>
  <c r="T8" i="1"/>
  <c r="S8" i="1"/>
  <c r="R8" i="1"/>
  <c r="U8" i="1" s="1"/>
  <c r="AA8" i="1" s="1"/>
  <c r="Q8" i="1"/>
  <c r="P8" i="1"/>
  <c r="J8" i="1"/>
  <c r="F8" i="1"/>
  <c r="D8" i="1"/>
  <c r="AG7" i="1"/>
  <c r="AF7" i="1"/>
  <c r="AH7" i="1" s="1"/>
  <c r="AE7" i="1"/>
  <c r="Z7" i="1"/>
  <c r="V7" i="1"/>
  <c r="X7" i="1" s="1"/>
  <c r="AB7" i="1" s="1"/>
  <c r="AJ7" i="1" s="1"/>
  <c r="T7" i="1"/>
  <c r="S7" i="1"/>
  <c r="U7" i="1" s="1"/>
  <c r="R7" i="1"/>
  <c r="Q7" i="1"/>
  <c r="P7" i="1"/>
  <c r="F7" i="1"/>
  <c r="AE6" i="1"/>
  <c r="AG6" i="1" s="1"/>
  <c r="Z6" i="1"/>
  <c r="AB6" i="1" s="1"/>
  <c r="X6" i="1"/>
  <c r="W6" i="1"/>
  <c r="Y6" i="1" s="1"/>
  <c r="V6" i="1"/>
  <c r="T6" i="1"/>
  <c r="S6" i="1"/>
  <c r="R6" i="1"/>
  <c r="U6" i="1" s="1"/>
  <c r="AA6" i="1" s="1"/>
  <c r="Q6" i="1"/>
  <c r="P6" i="1"/>
  <c r="J6" i="1"/>
  <c r="F6" i="1"/>
  <c r="D6" i="1"/>
  <c r="AG5" i="1"/>
  <c r="AF5" i="1"/>
  <c r="AH5" i="1" s="1"/>
  <c r="AE5" i="1"/>
  <c r="Z5" i="1"/>
  <c r="V5" i="1"/>
  <c r="X5" i="1" s="1"/>
  <c r="AB5" i="1" s="1"/>
  <c r="AJ5" i="1" s="1"/>
  <c r="T5" i="1"/>
  <c r="S5" i="1"/>
  <c r="R5" i="1"/>
  <c r="Q5" i="1"/>
  <c r="J5" i="1"/>
  <c r="F5" i="1"/>
  <c r="P5" i="1" s="1"/>
  <c r="U5" i="1" s="1"/>
  <c r="D5" i="1"/>
  <c r="AE4" i="1"/>
  <c r="AG4" i="1" s="1"/>
  <c r="Z4" i="1"/>
  <c r="W4" i="1"/>
  <c r="Y4" i="1" s="1"/>
  <c r="V4" i="1"/>
  <c r="X4" i="1" s="1"/>
  <c r="AB4" i="1" s="1"/>
  <c r="T4" i="1"/>
  <c r="S4" i="1"/>
  <c r="Q4" i="1"/>
  <c r="J4" i="1"/>
  <c r="R4" i="1" s="1"/>
  <c r="F4" i="1"/>
  <c r="P4" i="1" s="1"/>
  <c r="D4" i="1"/>
  <c r="AF3" i="1"/>
  <c r="AE3" i="1"/>
  <c r="AE28" i="1" s="1"/>
  <c r="Z3" i="1"/>
  <c r="X3" i="1"/>
  <c r="AB3" i="1" s="1"/>
  <c r="W3" i="1"/>
  <c r="V3" i="1"/>
  <c r="T3" i="1"/>
  <c r="T28" i="1" s="1"/>
  <c r="S3" i="1"/>
  <c r="S28" i="1" s="1"/>
  <c r="Q3" i="1"/>
  <c r="Q28" i="1" s="1"/>
  <c r="P3" i="1"/>
  <c r="J3" i="1"/>
  <c r="R3" i="1" s="1"/>
  <c r="F3" i="1"/>
  <c r="D3" i="1"/>
  <c r="AA23" i="1" l="1"/>
  <c r="AA14" i="1"/>
  <c r="AC8" i="1"/>
  <c r="AD8" i="1" s="1"/>
  <c r="AC19" i="1"/>
  <c r="AD19" i="1" s="1"/>
  <c r="AI19" i="1"/>
  <c r="AK19" i="1" s="1"/>
  <c r="R28" i="1"/>
  <c r="U3" i="1"/>
  <c r="AC6" i="1"/>
  <c r="AD6" i="1" s="1"/>
  <c r="AA12" i="1"/>
  <c r="P28" i="1"/>
  <c r="AJ4" i="1"/>
  <c r="AA11" i="1"/>
  <c r="AA15" i="1"/>
  <c r="AA18" i="1"/>
  <c r="AI21" i="1"/>
  <c r="AK21" i="1" s="1"/>
  <c r="AC21" i="1"/>
  <c r="AD21" i="1" s="1"/>
  <c r="AJ21" i="1"/>
  <c r="U4" i="1"/>
  <c r="AA4" i="1" s="1"/>
  <c r="AJ6" i="1"/>
  <c r="AJ8" i="1"/>
  <c r="AA10" i="1"/>
  <c r="AI22" i="1"/>
  <c r="AK22" i="1" s="1"/>
  <c r="AC22" i="1"/>
  <c r="AD22" i="1" s="1"/>
  <c r="AJ22" i="1"/>
  <c r="Y3" i="1"/>
  <c r="AG3" i="1"/>
  <c r="AG28" i="1" s="1"/>
  <c r="AF4" i="1"/>
  <c r="AH4" i="1" s="1"/>
  <c r="W5" i="1"/>
  <c r="Y5" i="1" s="1"/>
  <c r="W7" i="1"/>
  <c r="Y7" i="1" s="1"/>
  <c r="C28" i="1"/>
  <c r="AF6" i="1"/>
  <c r="AH6" i="1" s="1"/>
  <c r="AF8" i="1"/>
  <c r="AH8" i="1" s="1"/>
  <c r="W9" i="1"/>
  <c r="Y9" i="1" s="1"/>
  <c r="V13" i="1"/>
  <c r="W15" i="1"/>
  <c r="Y15" i="1" s="1"/>
  <c r="W16" i="1"/>
  <c r="Y16" i="1" s="1"/>
  <c r="AF21" i="1"/>
  <c r="AH21" i="1" s="1"/>
  <c r="AF22" i="1"/>
  <c r="AH22" i="1" s="1"/>
  <c r="W23" i="1"/>
  <c r="Y23" i="1" s="1"/>
  <c r="W24" i="1"/>
  <c r="Y24" i="1" s="1"/>
  <c r="W25" i="1"/>
  <c r="Y25" i="1" s="1"/>
  <c r="W26" i="1"/>
  <c r="Y26" i="1" s="1"/>
  <c r="W27" i="1"/>
  <c r="Y27" i="1" s="1"/>
  <c r="AF19" i="1"/>
  <c r="AH19" i="1" s="1"/>
  <c r="W20" i="1"/>
  <c r="Y20" i="1" s="1"/>
  <c r="AA25" i="1" l="1"/>
  <c r="AC14" i="1"/>
  <c r="AD14" i="1" s="1"/>
  <c r="AI14" i="1"/>
  <c r="AK14" i="1" s="1"/>
  <c r="AC4" i="1"/>
  <c r="AD4" i="1" s="1"/>
  <c r="AI4" i="1"/>
  <c r="AK4" i="1" s="1"/>
  <c r="AA3" i="1"/>
  <c r="U28" i="1"/>
  <c r="AA9" i="1"/>
  <c r="AF28" i="1"/>
  <c r="AA16" i="1"/>
  <c r="AJ3" i="1"/>
  <c r="AA26" i="1"/>
  <c r="AA20" i="1"/>
  <c r="AC20" i="1" s="1"/>
  <c r="AD20" i="1" s="1"/>
  <c r="AI15" i="1"/>
  <c r="AK15" i="1" s="1"/>
  <c r="AC15" i="1"/>
  <c r="AD15" i="1" s="1"/>
  <c r="AA7" i="1"/>
  <c r="AC11" i="1"/>
  <c r="AD11" i="1" s="1"/>
  <c r="AI11" i="1"/>
  <c r="AK11" i="1" s="1"/>
  <c r="AI23" i="1"/>
  <c r="AK23" i="1" s="1"/>
  <c r="AC23" i="1"/>
  <c r="AD23" i="1" s="1"/>
  <c r="AH3" i="1"/>
  <c r="AH28" i="1" s="1"/>
  <c r="AC12" i="1"/>
  <c r="AD12" i="1" s="1"/>
  <c r="AI12" i="1"/>
  <c r="AK12" i="1" s="1"/>
  <c r="AA5" i="1"/>
  <c r="AA27" i="1"/>
  <c r="AC10" i="1"/>
  <c r="AD10" i="1" s="1"/>
  <c r="AI10" i="1"/>
  <c r="AK10" i="1" s="1"/>
  <c r="AI6" i="1"/>
  <c r="AK6" i="1" s="1"/>
  <c r="AI8" i="1"/>
  <c r="AK8" i="1" s="1"/>
  <c r="X13" i="1"/>
  <c r="W13" i="1"/>
  <c r="AC18" i="1"/>
  <c r="AD18" i="1" s="1"/>
  <c r="AI18" i="1"/>
  <c r="AK18" i="1" s="1"/>
  <c r="W28" i="1"/>
  <c r="AA24" i="1"/>
  <c r="Y13" i="1" l="1"/>
  <c r="Y28" i="1" s="1"/>
  <c r="AA13" i="1"/>
  <c r="AC7" i="1"/>
  <c r="AD7" i="1" s="1"/>
  <c r="AI7" i="1"/>
  <c r="AK7" i="1" s="1"/>
  <c r="AI9" i="1"/>
  <c r="AK9" i="1" s="1"/>
  <c r="AC9" i="1"/>
  <c r="AD9" i="1" s="1"/>
  <c r="AB13" i="1"/>
  <c r="X28" i="1"/>
  <c r="AC3" i="1"/>
  <c r="AA28" i="1"/>
  <c r="AI3" i="1"/>
  <c r="AI26" i="1"/>
  <c r="AK26" i="1" s="1"/>
  <c r="AC26" i="1"/>
  <c r="AD26" i="1" s="1"/>
  <c r="AI24" i="1"/>
  <c r="AK24" i="1" s="1"/>
  <c r="AC24" i="1"/>
  <c r="AD24" i="1" s="1"/>
  <c r="AI27" i="1"/>
  <c r="AK27" i="1" s="1"/>
  <c r="AC27" i="1"/>
  <c r="AD27" i="1" s="1"/>
  <c r="AI16" i="1"/>
  <c r="AK16" i="1" s="1"/>
  <c r="AC16" i="1"/>
  <c r="AD16" i="1" s="1"/>
  <c r="AC5" i="1"/>
  <c r="AD5" i="1" s="1"/>
  <c r="AI5" i="1"/>
  <c r="AK5" i="1" s="1"/>
  <c r="AI25" i="1"/>
  <c r="AK25" i="1" s="1"/>
  <c r="AC25" i="1"/>
  <c r="AD25" i="1" s="1"/>
  <c r="AJ13" i="1" l="1"/>
  <c r="AJ28" i="1" s="1"/>
  <c r="AB28" i="1"/>
  <c r="AK3" i="1"/>
  <c r="AC13" i="1"/>
  <c r="AD13" i="1" s="1"/>
  <c r="AI13" i="1"/>
  <c r="AD3" i="1"/>
  <c r="AD28" i="1" l="1"/>
  <c r="AC28" i="1"/>
  <c r="AK13" i="1"/>
  <c r="AK28" i="1" s="1"/>
  <c r="AI28" i="1"/>
</calcChain>
</file>

<file path=xl/sharedStrings.xml><?xml version="1.0" encoding="utf-8"?>
<sst xmlns="http://schemas.openxmlformats.org/spreadsheetml/2006/main" count="83" uniqueCount="61">
  <si>
    <t>Level</t>
  </si>
  <si>
    <t>Space name</t>
  </si>
  <si>
    <t>Area (sq.ft )</t>
  </si>
  <si>
    <t>Volume ( cu.ft)</t>
  </si>
  <si>
    <t>Occupancy</t>
  </si>
  <si>
    <t>Exposed Wall</t>
  </si>
  <si>
    <t>window</t>
  </si>
  <si>
    <t>Partition wall</t>
  </si>
  <si>
    <t xml:space="preserve">Floor </t>
  </si>
  <si>
    <t>Roof exposed</t>
  </si>
  <si>
    <t>Heat loss by wall</t>
  </si>
  <si>
    <t>Heat loss by window</t>
  </si>
  <si>
    <t>Heat loss by partition wall</t>
  </si>
  <si>
    <t>Heat loss by Roof</t>
  </si>
  <si>
    <t>Heat loss by Floor</t>
  </si>
  <si>
    <t>Total Envelop Load</t>
  </si>
  <si>
    <t>Infiltration @ 0.035 cfm/sft</t>
  </si>
  <si>
    <t>Heat loss by Infiltration</t>
  </si>
  <si>
    <t>Safety</t>
  </si>
  <si>
    <t>Total Room SH with safety</t>
  </si>
  <si>
    <t>Total room LH with safety</t>
  </si>
  <si>
    <t>Room Total load</t>
  </si>
  <si>
    <t>Design Air Quantity</t>
  </si>
  <si>
    <t>Ventilation 7.5cfm/person</t>
  </si>
  <si>
    <t>Heat loss by Ventilation</t>
  </si>
  <si>
    <t>Total Sensible Load</t>
  </si>
  <si>
    <t>Total Latent Load</t>
  </si>
  <si>
    <t>Total Heat loss</t>
  </si>
  <si>
    <t>Nos</t>
  </si>
  <si>
    <t>Net Area (sq ft )</t>
  </si>
  <si>
    <t>U (Btu/h °F ft2)</t>
  </si>
  <si>
    <t>Area (sq ft )</t>
  </si>
  <si>
    <t>Btu/Hr</t>
  </si>
  <si>
    <t>CFm</t>
  </si>
  <si>
    <t>SH Btu/Hr</t>
  </si>
  <si>
    <t>LH Btu/Hr</t>
  </si>
  <si>
    <t>TH Btu/Hr</t>
  </si>
  <si>
    <t>CFM</t>
  </si>
  <si>
    <t>1st floor</t>
  </si>
  <si>
    <t>Bed Room 1</t>
  </si>
  <si>
    <t>Bed Room 2</t>
  </si>
  <si>
    <t>Bed Room 3</t>
  </si>
  <si>
    <t>Bed Room 4</t>
  </si>
  <si>
    <t>Bed Room 5</t>
  </si>
  <si>
    <t>Bed Room 6</t>
  </si>
  <si>
    <t>Corridor</t>
  </si>
  <si>
    <t>Toilet 1</t>
  </si>
  <si>
    <t>Toilet 2</t>
  </si>
  <si>
    <t>Toilet 3&amp;6</t>
  </si>
  <si>
    <t>Toilet 4</t>
  </si>
  <si>
    <t>Toilet 5</t>
  </si>
  <si>
    <t>2nd floor</t>
  </si>
  <si>
    <t>Bed Room 7</t>
  </si>
  <si>
    <t>Bed Room 8</t>
  </si>
  <si>
    <t>Storage</t>
  </si>
  <si>
    <t>Living area</t>
  </si>
  <si>
    <t>Dining 1</t>
  </si>
  <si>
    <t>Toilet 7</t>
  </si>
  <si>
    <t>Toilet 8</t>
  </si>
  <si>
    <t>Toilet storage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</si>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</sst>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9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207932</xdr:colOff>
      <xdr:row>29</xdr:row>
      <xdr:rowOff>29883</xdr:rowOff>
    </xdr:from>
    <xdr:ext cx="4072715" cy="13372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B1CD35-6369-452A-A2B4-203A24B8EB6E}"/>
            </a:ext>
          </a:extLst>
        </xdr:cNvPr>
        <xdr:cNvSpPr txBox="1"/>
      </xdr:nvSpPr>
      <xdr:spPr>
        <a:xfrm>
          <a:off x="207932" y="7383183"/>
          <a:ext cx="4072715" cy="133723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</a:t>
          </a:r>
          <a:r>
            <a:rPr lang="en-US" b="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Heating temperature of air is 90°F and room set point is 70°F</a:t>
          </a:r>
          <a:r>
            <a:rPr lang="en-US" b="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Occupancy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bedroom - 50 sft/person or actual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 per Wisconsin 364 ventilation rate shall be 7.5 cfm/person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persons are considered for each bedroom</a:t>
          </a:r>
          <a:endParaRPr lang="en-US" sz="11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02-Projects\Lake%20Geneva\Heating%20Load\70%2030%20HL%2028-11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conditions"/>
      <sheetName val="R1_Option1"/>
      <sheetName val="R2_Option 1"/>
      <sheetName val="R2_Option 1 COMPARISON"/>
      <sheetName val="R3_Option 1 COMPARISON "/>
      <sheetName val="Heat loss _The Downtowner"/>
    </sheetNames>
    <sheetDataSet>
      <sheetData sheetId="0">
        <row r="7">
          <cell r="C7">
            <v>-71.7</v>
          </cell>
          <cell r="G7">
            <v>-30.240000000000002</v>
          </cell>
        </row>
        <row r="11">
          <cell r="C11">
            <v>-30.700000000000003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view="pageBreakPreview" zoomScale="60" zoomScaleNormal="85" workbookViewId="0">
      <selection activeCell="F5" sqref="F5"/>
    </sheetView>
  </sheetViews>
  <sheetFormatPr defaultRowHeight="13" x14ac:dyDescent="0.35"/>
  <cols>
    <col min="1" max="1" width="8.08984375" style="11" customWidth="1"/>
    <col min="2" max="2" width="12.08984375" style="11" customWidth="1"/>
    <col min="3" max="3" width="11" style="11" customWidth="1"/>
    <col min="4" max="4" width="9.7265625" style="11" customWidth="1"/>
    <col min="5" max="5" width="10" style="11" customWidth="1"/>
    <col min="6" max="6" width="8.6328125" style="11" customWidth="1"/>
    <col min="7" max="7" width="14" style="11" customWidth="1"/>
    <col min="8" max="8" width="6.36328125" style="11" customWidth="1"/>
    <col min="9" max="9" width="8.1796875" style="11" customWidth="1"/>
    <col min="10" max="10" width="8" style="11" customWidth="1"/>
    <col min="11" max="11" width="8.1796875" style="11" customWidth="1"/>
    <col min="12" max="12" width="6.36328125" style="11" customWidth="1"/>
    <col min="13" max="13" width="8.1796875" style="11" customWidth="1"/>
    <col min="14" max="14" width="6.90625" style="11" customWidth="1"/>
    <col min="15" max="15" width="13.36328125" style="11" customWidth="1"/>
    <col min="16" max="16" width="15.26953125" style="11" customWidth="1"/>
    <col min="17" max="17" width="18.6328125" style="11" customWidth="1"/>
    <col min="18" max="18" width="23.36328125" style="11" customWidth="1"/>
    <col min="19" max="19" width="15.7265625" style="11" customWidth="1"/>
    <col min="20" max="20" width="16.08984375" style="11" customWidth="1"/>
    <col min="21" max="21" width="16.90625" style="11" customWidth="1"/>
    <col min="22" max="22" width="24.54296875" style="11" customWidth="1"/>
    <col min="23" max="23" width="9.54296875" style="11" customWidth="1"/>
    <col min="24" max="25" width="11.1796875" style="11" customWidth="1"/>
    <col min="26" max="26" width="6.26953125" style="11" customWidth="1"/>
    <col min="27" max="27" width="23.54296875" style="11" customWidth="1"/>
    <col min="28" max="28" width="23" style="11" customWidth="1"/>
    <col min="29" max="29" width="14.7265625" style="11" customWidth="1"/>
    <col min="30" max="30" width="17.7265625" style="11" customWidth="1"/>
    <col min="31" max="31" width="23.7265625" style="11" customWidth="1"/>
    <col min="32" max="33" width="10.1796875" style="11" customWidth="1"/>
    <col min="34" max="34" width="11.1796875" style="11" customWidth="1"/>
    <col min="35" max="35" width="17.26953125" style="11" customWidth="1"/>
    <col min="36" max="36" width="15.6328125" style="11" customWidth="1"/>
    <col min="37" max="37" width="13.453125" style="11" customWidth="1"/>
    <col min="38" max="38" width="15.1796875" style="11" customWidth="1"/>
    <col min="39" max="16384" width="8.7265625" style="11"/>
  </cols>
  <sheetData>
    <row r="1" spans="1:38" s="11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/>
      <c r="H1" s="2" t="s">
        <v>6</v>
      </c>
      <c r="I1" s="2"/>
      <c r="J1" s="2" t="s">
        <v>7</v>
      </c>
      <c r="K1" s="2"/>
      <c r="L1" s="2" t="s">
        <v>8</v>
      </c>
      <c r="M1" s="2"/>
      <c r="N1" s="2" t="s">
        <v>9</v>
      </c>
      <c r="O1" s="5"/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2" t="s">
        <v>17</v>
      </c>
      <c r="X1" s="2"/>
      <c r="Y1" s="2"/>
      <c r="Z1" s="4" t="s">
        <v>18</v>
      </c>
      <c r="AA1" s="4" t="s">
        <v>19</v>
      </c>
      <c r="AB1" s="4" t="s">
        <v>20</v>
      </c>
      <c r="AC1" s="4" t="s">
        <v>21</v>
      </c>
      <c r="AD1" s="6" t="s">
        <v>22</v>
      </c>
      <c r="AE1" s="7" t="s">
        <v>23</v>
      </c>
      <c r="AF1" s="8" t="s">
        <v>24</v>
      </c>
      <c r="AG1" s="8"/>
      <c r="AH1" s="8"/>
      <c r="AI1" s="9" t="s">
        <v>25</v>
      </c>
      <c r="AJ1" s="9" t="s">
        <v>26</v>
      </c>
      <c r="AK1" s="9" t="s">
        <v>27</v>
      </c>
      <c r="AL1" s="10"/>
    </row>
    <row r="2" spans="1:38" s="19" customFormat="1" ht="26" x14ac:dyDescent="0.35">
      <c r="A2" s="12"/>
      <c r="B2" s="8"/>
      <c r="C2" s="8"/>
      <c r="D2" s="13"/>
      <c r="E2" s="14" t="s">
        <v>28</v>
      </c>
      <c r="F2" s="14" t="s">
        <v>29</v>
      </c>
      <c r="G2" s="14" t="s">
        <v>30</v>
      </c>
      <c r="H2" s="14" t="s">
        <v>31</v>
      </c>
      <c r="I2" s="14" t="s">
        <v>30</v>
      </c>
      <c r="J2" s="14" t="s">
        <v>31</v>
      </c>
      <c r="K2" s="14" t="s">
        <v>30</v>
      </c>
      <c r="L2" s="14" t="s">
        <v>31</v>
      </c>
      <c r="M2" s="14" t="s">
        <v>30</v>
      </c>
      <c r="N2" s="14" t="s">
        <v>31</v>
      </c>
      <c r="O2" s="14" t="s">
        <v>30</v>
      </c>
      <c r="P2" s="14" t="s">
        <v>32</v>
      </c>
      <c r="Q2" s="14" t="s">
        <v>32</v>
      </c>
      <c r="R2" s="14" t="s">
        <v>32</v>
      </c>
      <c r="S2" s="14" t="s">
        <v>32</v>
      </c>
      <c r="T2" s="14" t="s">
        <v>32</v>
      </c>
      <c r="U2" s="14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5"/>
      <c r="AA2" s="15" t="s">
        <v>32</v>
      </c>
      <c r="AB2" s="15" t="s">
        <v>32</v>
      </c>
      <c r="AC2" s="15" t="s">
        <v>32</v>
      </c>
      <c r="AD2" s="16" t="s">
        <v>37</v>
      </c>
      <c r="AE2" s="17" t="s">
        <v>37</v>
      </c>
      <c r="AF2" s="14" t="s">
        <v>34</v>
      </c>
      <c r="AG2" s="14" t="s">
        <v>35</v>
      </c>
      <c r="AH2" s="14" t="s">
        <v>36</v>
      </c>
      <c r="AI2" s="15" t="s">
        <v>32</v>
      </c>
      <c r="AJ2" s="15" t="s">
        <v>32</v>
      </c>
      <c r="AK2" s="15" t="s">
        <v>32</v>
      </c>
      <c r="AL2" s="18"/>
    </row>
    <row r="3" spans="1:38" s="11" customFormat="1" ht="20.149999999999999" customHeight="1" x14ac:dyDescent="0.35">
      <c r="A3" s="20" t="s">
        <v>38</v>
      </c>
      <c r="B3" s="21" t="s">
        <v>39</v>
      </c>
      <c r="C3" s="21">
        <v>119</v>
      </c>
      <c r="D3" s="21">
        <f>C3*9.2</f>
        <v>1094.8</v>
      </c>
      <c r="E3" s="21">
        <v>2</v>
      </c>
      <c r="F3" s="21">
        <f>(12*9.2)-H3</f>
        <v>101.28999999999999</v>
      </c>
      <c r="G3" s="21">
        <v>5.2600000000000001E-2</v>
      </c>
      <c r="H3" s="21">
        <v>9.11</v>
      </c>
      <c r="I3" s="21">
        <v>0.3</v>
      </c>
      <c r="J3" s="21">
        <f>(12+6+3)*9.2</f>
        <v>193.2</v>
      </c>
      <c r="K3" s="21">
        <v>0.18</v>
      </c>
      <c r="L3" s="21">
        <v>102</v>
      </c>
      <c r="M3" s="21">
        <v>0.26569999999999999</v>
      </c>
      <c r="N3" s="21"/>
      <c r="O3" s="21"/>
      <c r="P3" s="21">
        <f>F3*G3*'[1]Design conditions'!$C$7</f>
        <v>-382.00713179999997</v>
      </c>
      <c r="Q3" s="21">
        <f>H3*I3*'[1]Design conditions'!$C$7</f>
        <v>-195.95609999999999</v>
      </c>
      <c r="R3" s="21">
        <f>J3*K3*'[1]Design conditions'!$C$11</f>
        <v>-1067.6232</v>
      </c>
      <c r="S3" s="21">
        <f>N3*O3*'[1]Design conditions'!$C$7</f>
        <v>0</v>
      </c>
      <c r="T3" s="21">
        <f>L3*M3*'[1]Design conditions'!$C$11</f>
        <v>-832.01297999999997</v>
      </c>
      <c r="U3" s="21">
        <f>P3+Q3+R3+S3+T3</f>
        <v>-2477.5994117999999</v>
      </c>
      <c r="V3" s="21">
        <f t="shared" ref="V3:V27" si="0">ROUND(0.035*C3,0)</f>
        <v>4</v>
      </c>
      <c r="W3" s="21">
        <f>ROUND(1.08*V3*'[1]Design conditions'!$C$7,2)</f>
        <v>-309.74</v>
      </c>
      <c r="X3" s="21">
        <f>0.68*V3*'[1]Design conditions'!$G$7</f>
        <v>-82.252800000000008</v>
      </c>
      <c r="Y3" s="21">
        <f t="shared" ref="Y3:Y27" si="1">W3+X3</f>
        <v>-391.99279999999999</v>
      </c>
      <c r="Z3" s="21">
        <f>20%</f>
        <v>0.2</v>
      </c>
      <c r="AA3" s="21">
        <f>(U3+W3)*(1+Z3)</f>
        <v>-3344.8072941599994</v>
      </c>
      <c r="AB3" s="21">
        <f>X3*(1+Z3)</f>
        <v>-98.703360000000004</v>
      </c>
      <c r="AC3" s="21">
        <f>AA3+AB3</f>
        <v>-3443.5106541599994</v>
      </c>
      <c r="AD3" s="22">
        <f t="shared" ref="AD3:AD27" si="2">ROUND(AC3/(-1.08*(90-70)),0)</f>
        <v>159</v>
      </c>
      <c r="AE3" s="23">
        <f>ROUND(7.5*E3,0)</f>
        <v>15</v>
      </c>
      <c r="AF3" s="21">
        <f>ROUND(1.08*AE3*'[1]Design conditions'!$C$7,2)</f>
        <v>-1161.54</v>
      </c>
      <c r="AG3" s="21">
        <f>0.68*MAX(AE3)*'[1]Design conditions'!$G$7</f>
        <v>-308.44800000000004</v>
      </c>
      <c r="AH3" s="21">
        <f>AF3+AG3</f>
        <v>-1469.9880000000001</v>
      </c>
      <c r="AI3" s="21">
        <f>ROUND(AA3+AF3,2)</f>
        <v>-4506.3500000000004</v>
      </c>
      <c r="AJ3" s="21">
        <f>ROUND(AB3+AG3,2)</f>
        <v>-407.15</v>
      </c>
      <c r="AK3" s="21">
        <f>ROUND(AI3+AJ3,2)</f>
        <v>-4913.5</v>
      </c>
      <c r="AL3" s="24"/>
    </row>
    <row r="4" spans="1:38" s="11" customFormat="1" ht="20.149999999999999" customHeight="1" x14ac:dyDescent="0.35">
      <c r="A4" s="25"/>
      <c r="B4" s="21" t="s">
        <v>40</v>
      </c>
      <c r="C4" s="21">
        <v>127</v>
      </c>
      <c r="D4" s="21">
        <f>C4*9.2</f>
        <v>1168.3999999999999</v>
      </c>
      <c r="E4" s="21">
        <v>2</v>
      </c>
      <c r="F4" s="21">
        <f t="shared" ref="F4:F9" si="3">(12*9.2)-H4</f>
        <v>101.28999999999999</v>
      </c>
      <c r="G4" s="21">
        <v>5.2600000000000001E-2</v>
      </c>
      <c r="H4" s="21">
        <v>9.11</v>
      </c>
      <c r="I4" s="21">
        <v>0.3</v>
      </c>
      <c r="J4" s="21">
        <f>0</f>
        <v>0</v>
      </c>
      <c r="K4" s="21">
        <v>0.18</v>
      </c>
      <c r="L4" s="21"/>
      <c r="M4" s="21">
        <v>0.26569999999999999</v>
      </c>
      <c r="N4" s="21"/>
      <c r="O4" s="21"/>
      <c r="P4" s="21">
        <f>F4*G4*'[1]Design conditions'!$C$7</f>
        <v>-382.00713179999997</v>
      </c>
      <c r="Q4" s="21">
        <f>H4*I4*'[1]Design conditions'!$C$7</f>
        <v>-195.95609999999999</v>
      </c>
      <c r="R4" s="21">
        <f>J4*K4*'[1]Design conditions'!$C$11</f>
        <v>0</v>
      </c>
      <c r="S4" s="21">
        <f>N4*O4*'[1]Design conditions'!$C$7</f>
        <v>0</v>
      </c>
      <c r="T4" s="21">
        <f>L4*M4*'[1]Design conditions'!$C$11</f>
        <v>0</v>
      </c>
      <c r="U4" s="21">
        <f t="shared" ref="U4:U27" si="4">P4+Q4+R4+S4+T4</f>
        <v>-577.9632317999999</v>
      </c>
      <c r="V4" s="21">
        <f t="shared" si="0"/>
        <v>4</v>
      </c>
      <c r="W4" s="21">
        <f>ROUND(1.08*V4*'[1]Design conditions'!$C$7,2)</f>
        <v>-309.74</v>
      </c>
      <c r="X4" s="21">
        <f>0.68*V4*'[1]Design conditions'!$G$7</f>
        <v>-82.252800000000008</v>
      </c>
      <c r="Y4" s="21">
        <f t="shared" si="1"/>
        <v>-391.99279999999999</v>
      </c>
      <c r="Z4" s="21">
        <f>20%</f>
        <v>0.2</v>
      </c>
      <c r="AA4" s="21">
        <f>(U4+W4)*(1+Z4)</f>
        <v>-1065.2438781599999</v>
      </c>
      <c r="AB4" s="21">
        <f>X4*(1+Z4)</f>
        <v>-98.703360000000004</v>
      </c>
      <c r="AC4" s="21">
        <f>AA4+AB4</f>
        <v>-1163.9472381599999</v>
      </c>
      <c r="AD4" s="22">
        <f t="shared" si="2"/>
        <v>54</v>
      </c>
      <c r="AE4" s="23">
        <f>ROUND(7.5*E4,0)</f>
        <v>15</v>
      </c>
      <c r="AF4" s="21">
        <f>ROUND(1.08*AE4*'[1]Design conditions'!$C$7,2)</f>
        <v>-1161.54</v>
      </c>
      <c r="AG4" s="21">
        <f>0.68*MAX(AE4)*'[1]Design conditions'!$G$7</f>
        <v>-308.44800000000004</v>
      </c>
      <c r="AH4" s="21">
        <f t="shared" ref="AH4:AH27" si="5">AF4+AG4</f>
        <v>-1469.9880000000001</v>
      </c>
      <c r="AI4" s="21">
        <f>ROUND(AA4+AF4,2)</f>
        <v>-2226.7800000000002</v>
      </c>
      <c r="AJ4" s="21">
        <f>ROUND(AB4+AG4,2)</f>
        <v>-407.15</v>
      </c>
      <c r="AK4" s="21">
        <f t="shared" ref="AK4:AK27" si="6">ROUND(AI4+AJ4,2)</f>
        <v>-2633.93</v>
      </c>
      <c r="AL4" s="24"/>
    </row>
    <row r="5" spans="1:38" s="11" customFormat="1" ht="20.149999999999999" customHeight="1" x14ac:dyDescent="0.35">
      <c r="A5" s="25"/>
      <c r="B5" s="21" t="s">
        <v>41</v>
      </c>
      <c r="C5" s="21">
        <v>111</v>
      </c>
      <c r="D5" s="21">
        <f>C5*9.2</f>
        <v>1021.1999999999999</v>
      </c>
      <c r="E5" s="21">
        <v>2</v>
      </c>
      <c r="F5" s="21">
        <f t="shared" si="3"/>
        <v>101.28999999999999</v>
      </c>
      <c r="G5" s="21">
        <v>5.2600000000000001E-2</v>
      </c>
      <c r="H5" s="26">
        <v>9.11</v>
      </c>
      <c r="I5" s="21">
        <v>0.3</v>
      </c>
      <c r="J5" s="21">
        <f>0</f>
        <v>0</v>
      </c>
      <c r="K5" s="21">
        <v>0.18</v>
      </c>
      <c r="L5" s="21"/>
      <c r="M5" s="21">
        <v>0.26569999999999999</v>
      </c>
      <c r="N5" s="21"/>
      <c r="O5" s="21"/>
      <c r="P5" s="21">
        <f>F5*G5*'[1]Design conditions'!$C$7</f>
        <v>-382.00713179999997</v>
      </c>
      <c r="Q5" s="21">
        <f>H5*I5*'[1]Design conditions'!$C$7</f>
        <v>-195.95609999999999</v>
      </c>
      <c r="R5" s="21">
        <f>J5*K5*'[1]Design conditions'!$C$11</f>
        <v>0</v>
      </c>
      <c r="S5" s="21">
        <f>N5*O5*'[1]Design conditions'!$C$7</f>
        <v>0</v>
      </c>
      <c r="T5" s="21">
        <f>L5*M5*'[1]Design conditions'!$C$11</f>
        <v>0</v>
      </c>
      <c r="U5" s="21">
        <f t="shared" si="4"/>
        <v>-577.9632317999999</v>
      </c>
      <c r="V5" s="21">
        <f t="shared" si="0"/>
        <v>4</v>
      </c>
      <c r="W5" s="21">
        <f>ROUND(1.08*V5*'[1]Design conditions'!$C$7,2)</f>
        <v>-309.74</v>
      </c>
      <c r="X5" s="21">
        <f>0.68*V5*'[1]Design conditions'!$G$7</f>
        <v>-82.252800000000008</v>
      </c>
      <c r="Y5" s="21">
        <f t="shared" si="1"/>
        <v>-391.99279999999999</v>
      </c>
      <c r="Z5" s="21">
        <f>20%</f>
        <v>0.2</v>
      </c>
      <c r="AA5" s="21">
        <f>(U5+W5)*(1+Z5)</f>
        <v>-1065.2438781599999</v>
      </c>
      <c r="AB5" s="21">
        <f>X5*(1+Z5)</f>
        <v>-98.703360000000004</v>
      </c>
      <c r="AC5" s="21">
        <f>AA5+AB5</f>
        <v>-1163.9472381599999</v>
      </c>
      <c r="AD5" s="22">
        <f t="shared" si="2"/>
        <v>54</v>
      </c>
      <c r="AE5" s="23">
        <f>ROUND(7.5*E5,0)</f>
        <v>15</v>
      </c>
      <c r="AF5" s="21">
        <f>ROUND(1.08*AE5*'[1]Design conditions'!$C$7,2)</f>
        <v>-1161.54</v>
      </c>
      <c r="AG5" s="21">
        <f>0.68*MAX(AE5)*'[1]Design conditions'!$G$7</f>
        <v>-308.44800000000004</v>
      </c>
      <c r="AH5" s="21">
        <f t="shared" si="5"/>
        <v>-1469.9880000000001</v>
      </c>
      <c r="AI5" s="21">
        <f>ROUND(AA5+AF5,2)</f>
        <v>-2226.7800000000002</v>
      </c>
      <c r="AJ5" s="21">
        <f>ROUND(AB5+AG5,2)</f>
        <v>-407.15</v>
      </c>
      <c r="AK5" s="21">
        <f t="shared" si="6"/>
        <v>-2633.93</v>
      </c>
      <c r="AL5" s="24"/>
    </row>
    <row r="6" spans="1:38" s="11" customFormat="1" ht="20.149999999999999" customHeight="1" x14ac:dyDescent="0.35">
      <c r="A6" s="25"/>
      <c r="B6" s="27" t="s">
        <v>42</v>
      </c>
      <c r="C6" s="21">
        <v>132</v>
      </c>
      <c r="D6" s="21">
        <f>C6*9.2</f>
        <v>1214.3999999999999</v>
      </c>
      <c r="E6" s="21">
        <v>2</v>
      </c>
      <c r="F6" s="21">
        <f t="shared" si="3"/>
        <v>110.39999999999999</v>
      </c>
      <c r="G6" s="21">
        <v>5.2600000000000001E-2</v>
      </c>
      <c r="H6" s="21">
        <v>0</v>
      </c>
      <c r="I6" s="21">
        <v>0.3</v>
      </c>
      <c r="J6" s="21">
        <f>0</f>
        <v>0</v>
      </c>
      <c r="K6" s="21">
        <v>0.18</v>
      </c>
      <c r="L6" s="21">
        <v>132</v>
      </c>
      <c r="M6" s="21">
        <v>0.26569999999999999</v>
      </c>
      <c r="N6" s="21"/>
      <c r="O6" s="21"/>
      <c r="P6" s="21">
        <f>F6*G6*'[1]Design conditions'!$C$7</f>
        <v>-416.36476800000003</v>
      </c>
      <c r="Q6" s="21">
        <f>H6*I6*'[1]Design conditions'!$C$7</f>
        <v>0</v>
      </c>
      <c r="R6" s="21">
        <f>J6*K6*'[1]Design conditions'!$C$11</f>
        <v>0</v>
      </c>
      <c r="S6" s="21">
        <f>N6*O6*'[1]Design conditions'!$C$7</f>
        <v>0</v>
      </c>
      <c r="T6" s="21">
        <f>L6*M6*'[1]Design conditions'!$C$11</f>
        <v>-1076.7226800000001</v>
      </c>
      <c r="U6" s="21">
        <f t="shared" si="4"/>
        <v>-1493.0874480000002</v>
      </c>
      <c r="V6" s="21">
        <f t="shared" si="0"/>
        <v>5</v>
      </c>
      <c r="W6" s="21">
        <f>ROUND(1.08*V6*'[1]Design conditions'!$C$7,2)</f>
        <v>-387.18</v>
      </c>
      <c r="X6" s="21">
        <f>0.68*V6*'[1]Design conditions'!$G$7</f>
        <v>-102.81600000000002</v>
      </c>
      <c r="Y6" s="21">
        <f t="shared" si="1"/>
        <v>-489.99600000000004</v>
      </c>
      <c r="Z6" s="21">
        <f>20%</f>
        <v>0.2</v>
      </c>
      <c r="AA6" s="21">
        <f>(U6+W6)*(1+Z6)</f>
        <v>-2256.3209376000004</v>
      </c>
      <c r="AB6" s="21">
        <f>X6*(1+Z6)</f>
        <v>-123.37920000000001</v>
      </c>
      <c r="AC6" s="21">
        <f>AA6+AB6</f>
        <v>-2379.7001376000003</v>
      </c>
      <c r="AD6" s="22">
        <f t="shared" si="2"/>
        <v>110</v>
      </c>
      <c r="AE6" s="23">
        <f>ROUND(7.5*E6,0)</f>
        <v>15</v>
      </c>
      <c r="AF6" s="21">
        <f>ROUND(1.08*AE6*'[1]Design conditions'!$C$7,2)</f>
        <v>-1161.54</v>
      </c>
      <c r="AG6" s="21">
        <f>0.68*MAX(AE6)*'[1]Design conditions'!$G$7</f>
        <v>-308.44800000000004</v>
      </c>
      <c r="AH6" s="21">
        <f t="shared" si="5"/>
        <v>-1469.9880000000001</v>
      </c>
      <c r="AI6" s="21">
        <f>ROUND(AA6+AF6,2)</f>
        <v>-3417.86</v>
      </c>
      <c r="AJ6" s="21">
        <f>ROUND(AB6+AG6,2)</f>
        <v>-431.83</v>
      </c>
      <c r="AK6" s="21">
        <f t="shared" si="6"/>
        <v>-3849.69</v>
      </c>
      <c r="AL6" s="24"/>
    </row>
    <row r="7" spans="1:38" s="11" customFormat="1" ht="20.149999999999999" customHeight="1" x14ac:dyDescent="0.35">
      <c r="A7" s="25"/>
      <c r="B7" s="28"/>
      <c r="C7" s="21"/>
      <c r="D7" s="21"/>
      <c r="E7" s="21"/>
      <c r="F7" s="21">
        <f t="shared" si="3"/>
        <v>110.39999999999999</v>
      </c>
      <c r="G7" s="21">
        <v>0.22</v>
      </c>
      <c r="H7" s="21">
        <v>0</v>
      </c>
      <c r="I7" s="21">
        <v>0.3</v>
      </c>
      <c r="J7" s="21"/>
      <c r="K7" s="21">
        <v>0.18</v>
      </c>
      <c r="L7" s="21"/>
      <c r="M7" s="21">
        <v>0.26569999999999999</v>
      </c>
      <c r="N7" s="21"/>
      <c r="O7" s="21"/>
      <c r="P7" s="21">
        <f>F7*G7*'[1]Design conditions'!$C$7</f>
        <v>-1741.4495999999999</v>
      </c>
      <c r="Q7" s="21">
        <f>H7*I7*'[1]Design conditions'!$C$7</f>
        <v>0</v>
      </c>
      <c r="R7" s="21">
        <f>J7*K7*'[1]Design conditions'!$C$11</f>
        <v>0</v>
      </c>
      <c r="S7" s="21">
        <f>N7*O7*'[1]Design conditions'!$C$7</f>
        <v>0</v>
      </c>
      <c r="T7" s="21">
        <f>L7*M7*'[1]Design conditions'!$C$11</f>
        <v>0</v>
      </c>
      <c r="U7" s="21">
        <f t="shared" si="4"/>
        <v>-1741.4495999999999</v>
      </c>
      <c r="V7" s="21">
        <f t="shared" si="0"/>
        <v>0</v>
      </c>
      <c r="W7" s="21">
        <f>ROUND(1.08*V7*'[1]Design conditions'!$C$7,2)</f>
        <v>0</v>
      </c>
      <c r="X7" s="21">
        <f>0.68*V7*'[1]Design conditions'!$G$7</f>
        <v>0</v>
      </c>
      <c r="Y7" s="21">
        <f t="shared" si="1"/>
        <v>0</v>
      </c>
      <c r="Z7" s="21">
        <f>20%</f>
        <v>0.2</v>
      </c>
      <c r="AA7" s="21">
        <f>(U7+W7)*(1+Z7)</f>
        <v>-2089.7395199999996</v>
      </c>
      <c r="AB7" s="21">
        <f>X7*(1+Z7)</f>
        <v>0</v>
      </c>
      <c r="AC7" s="21">
        <f>AA7+AB7</f>
        <v>-2089.7395199999996</v>
      </c>
      <c r="AD7" s="22">
        <f t="shared" si="2"/>
        <v>97</v>
      </c>
      <c r="AE7" s="23">
        <f>ROUND(7.5*E7,0)</f>
        <v>0</v>
      </c>
      <c r="AF7" s="21">
        <f>ROUND(1.08*AE7*'[1]Design conditions'!$C$7,2)</f>
        <v>0</v>
      </c>
      <c r="AG7" s="21">
        <f>0.68*MAX(AE7)*'[1]Design conditions'!$G$7</f>
        <v>0</v>
      </c>
      <c r="AH7" s="21">
        <f t="shared" si="5"/>
        <v>0</v>
      </c>
      <c r="AI7" s="21">
        <f>ROUND(AA7+AF7,2)</f>
        <v>-2089.7399999999998</v>
      </c>
      <c r="AJ7" s="21">
        <f>ROUND(AB7+AG7,2)</f>
        <v>0</v>
      </c>
      <c r="AK7" s="21">
        <f t="shared" si="6"/>
        <v>-2089.7399999999998</v>
      </c>
      <c r="AL7" s="24"/>
    </row>
    <row r="8" spans="1:38" s="11" customFormat="1" ht="20.149999999999999" customHeight="1" x14ac:dyDescent="0.35">
      <c r="A8" s="25"/>
      <c r="B8" s="21" t="s">
        <v>43</v>
      </c>
      <c r="C8" s="21">
        <v>117</v>
      </c>
      <c r="D8" s="21">
        <f>C8*9.2</f>
        <v>1076.3999999999999</v>
      </c>
      <c r="E8" s="21">
        <v>2</v>
      </c>
      <c r="F8" s="21">
        <f t="shared" si="3"/>
        <v>110.39999999999999</v>
      </c>
      <c r="G8" s="21">
        <v>0.22</v>
      </c>
      <c r="H8" s="21">
        <v>0</v>
      </c>
      <c r="I8" s="21">
        <v>0.3</v>
      </c>
      <c r="J8" s="21">
        <f>0</f>
        <v>0</v>
      </c>
      <c r="K8" s="21">
        <v>0.18</v>
      </c>
      <c r="L8" s="21"/>
      <c r="M8" s="21">
        <v>0.26569999999999999</v>
      </c>
      <c r="N8" s="21"/>
      <c r="O8" s="21"/>
      <c r="P8" s="21">
        <f>F8*G8*'[1]Design conditions'!$C$7</f>
        <v>-1741.4495999999999</v>
      </c>
      <c r="Q8" s="21">
        <f>H8*I8*'[1]Design conditions'!$C$7</f>
        <v>0</v>
      </c>
      <c r="R8" s="21">
        <f>J8*K8*'[1]Design conditions'!$C$11</f>
        <v>0</v>
      </c>
      <c r="S8" s="21">
        <f>N8*O8*'[1]Design conditions'!$C$7</f>
        <v>0</v>
      </c>
      <c r="T8" s="21">
        <f>L8*M8*'[1]Design conditions'!$C$11</f>
        <v>0</v>
      </c>
      <c r="U8" s="21">
        <f t="shared" si="4"/>
        <v>-1741.4495999999999</v>
      </c>
      <c r="V8" s="21">
        <f t="shared" si="0"/>
        <v>4</v>
      </c>
      <c r="W8" s="21">
        <f>ROUND(1.08*V8*'[1]Design conditions'!$C$7,2)</f>
        <v>-309.74</v>
      </c>
      <c r="X8" s="21">
        <f>0.68*V8*'[1]Design conditions'!$G$7</f>
        <v>-82.252800000000008</v>
      </c>
      <c r="Y8" s="21">
        <f t="shared" si="1"/>
        <v>-391.99279999999999</v>
      </c>
      <c r="Z8" s="21">
        <f>20%</f>
        <v>0.2</v>
      </c>
      <c r="AA8" s="21">
        <f>(U8+W8)*(1+Z8)</f>
        <v>-2461.4275199999997</v>
      </c>
      <c r="AB8" s="21">
        <f>X8*(1+Z8)</f>
        <v>-98.703360000000004</v>
      </c>
      <c r="AC8" s="21">
        <f>AA8+AB8</f>
        <v>-2560.1308799999997</v>
      </c>
      <c r="AD8" s="22">
        <f t="shared" si="2"/>
        <v>119</v>
      </c>
      <c r="AE8" s="23">
        <f>ROUND(7.5*E8,0)</f>
        <v>15</v>
      </c>
      <c r="AF8" s="21">
        <f>ROUND(1.08*AE8*'[1]Design conditions'!$C$7,2)</f>
        <v>-1161.54</v>
      </c>
      <c r="AG8" s="21">
        <f>0.68*MAX(AE8)*'[1]Design conditions'!$G$7</f>
        <v>-308.44800000000004</v>
      </c>
      <c r="AH8" s="21">
        <f t="shared" si="5"/>
        <v>-1469.9880000000001</v>
      </c>
      <c r="AI8" s="21">
        <f>ROUND(AA8+AF8,2)</f>
        <v>-3622.97</v>
      </c>
      <c r="AJ8" s="21">
        <f>ROUND(AB8+AG8,2)</f>
        <v>-407.15</v>
      </c>
      <c r="AK8" s="21">
        <f t="shared" si="6"/>
        <v>-4030.12</v>
      </c>
      <c r="AL8" s="24"/>
    </row>
    <row r="9" spans="1:38" s="11" customFormat="1" ht="20.149999999999999" customHeight="1" x14ac:dyDescent="0.35">
      <c r="A9" s="25"/>
      <c r="B9" s="21" t="s">
        <v>44</v>
      </c>
      <c r="C9" s="21">
        <v>142</v>
      </c>
      <c r="D9" s="21">
        <f>C9*9.2</f>
        <v>1306.3999999999999</v>
      </c>
      <c r="E9" s="21">
        <v>2</v>
      </c>
      <c r="F9" s="21">
        <f t="shared" si="3"/>
        <v>110.39999999999999</v>
      </c>
      <c r="G9" s="21">
        <v>0.22</v>
      </c>
      <c r="H9" s="21">
        <v>0</v>
      </c>
      <c r="I9" s="21">
        <v>0.3</v>
      </c>
      <c r="J9" s="21">
        <f>0</f>
        <v>0</v>
      </c>
      <c r="K9" s="21">
        <v>0.18</v>
      </c>
      <c r="L9" s="21"/>
      <c r="M9" s="21">
        <v>0.26569999999999999</v>
      </c>
      <c r="N9" s="21"/>
      <c r="O9" s="21"/>
      <c r="P9" s="21">
        <f>F9*G9*'[1]Design conditions'!$C$7</f>
        <v>-1741.4495999999999</v>
      </c>
      <c r="Q9" s="21">
        <f>H9*I9*'[1]Design conditions'!$C$7</f>
        <v>0</v>
      </c>
      <c r="R9" s="21">
        <f>J9*K9*'[1]Design conditions'!$C$11</f>
        <v>0</v>
      </c>
      <c r="S9" s="21">
        <f>N9*O9*'[1]Design conditions'!$C$7</f>
        <v>0</v>
      </c>
      <c r="T9" s="21">
        <f>L9*M9*'[1]Design conditions'!$C$11</f>
        <v>0</v>
      </c>
      <c r="U9" s="21">
        <f t="shared" si="4"/>
        <v>-1741.4495999999999</v>
      </c>
      <c r="V9" s="21">
        <f t="shared" si="0"/>
        <v>5</v>
      </c>
      <c r="W9" s="21">
        <f>ROUND(1.08*V9*'[1]Design conditions'!$C$7,2)</f>
        <v>-387.18</v>
      </c>
      <c r="X9" s="21">
        <f>0.68*V9*'[1]Design conditions'!$G$7</f>
        <v>-102.81600000000002</v>
      </c>
      <c r="Y9" s="21">
        <f t="shared" si="1"/>
        <v>-489.99600000000004</v>
      </c>
      <c r="Z9" s="21">
        <f>20%</f>
        <v>0.2</v>
      </c>
      <c r="AA9" s="21">
        <f>(U9+W9)*(1+Z9)</f>
        <v>-2554.3555199999996</v>
      </c>
      <c r="AB9" s="21">
        <f>X9*(1+Z9)</f>
        <v>-123.37920000000001</v>
      </c>
      <c r="AC9" s="21">
        <f>AA9+AB9</f>
        <v>-2677.7347199999995</v>
      </c>
      <c r="AD9" s="22">
        <f t="shared" si="2"/>
        <v>124</v>
      </c>
      <c r="AE9" s="23">
        <f>ROUND(7.5*E9,0)</f>
        <v>15</v>
      </c>
      <c r="AF9" s="21">
        <f>ROUND(1.08*AE9*'[1]Design conditions'!$C$7,2)</f>
        <v>-1161.54</v>
      </c>
      <c r="AG9" s="21">
        <f>0.68*MAX(AE9)*'[1]Design conditions'!$G$7</f>
        <v>-308.44800000000004</v>
      </c>
      <c r="AH9" s="21">
        <f t="shared" si="5"/>
        <v>-1469.9880000000001</v>
      </c>
      <c r="AI9" s="21">
        <f>ROUND(AA9+AF9,2)</f>
        <v>-3715.9</v>
      </c>
      <c r="AJ9" s="21">
        <f>ROUND(AB9+AG9,2)</f>
        <v>-431.83</v>
      </c>
      <c r="AK9" s="21">
        <f t="shared" si="6"/>
        <v>-4147.7299999999996</v>
      </c>
      <c r="AL9" s="24"/>
    </row>
    <row r="10" spans="1:38" s="11" customFormat="1" ht="20.149999999999999" customHeight="1" x14ac:dyDescent="0.35">
      <c r="A10" s="25"/>
      <c r="B10" s="27" t="s">
        <v>45</v>
      </c>
      <c r="C10" s="21">
        <v>208</v>
      </c>
      <c r="D10" s="21">
        <f>C10*9.2</f>
        <v>1913.6</v>
      </c>
      <c r="E10" s="21">
        <v>0</v>
      </c>
      <c r="F10" s="21">
        <f>(3*9.2)-H10</f>
        <v>27.599999999999998</v>
      </c>
      <c r="G10" s="21">
        <v>5.2600000000000001E-2</v>
      </c>
      <c r="H10" s="21">
        <v>0</v>
      </c>
      <c r="I10" s="21">
        <v>0.3</v>
      </c>
      <c r="J10" s="21">
        <f>(7.8+6)*9.2</f>
        <v>126.96</v>
      </c>
      <c r="K10" s="21">
        <v>0.18</v>
      </c>
      <c r="L10" s="21">
        <v>69</v>
      </c>
      <c r="M10" s="21">
        <v>0.26569999999999999</v>
      </c>
      <c r="N10" s="21"/>
      <c r="O10" s="21"/>
      <c r="P10" s="21">
        <f>F10*G10*'[1]Design conditions'!$C$7</f>
        <v>-104.09119200000001</v>
      </c>
      <c r="Q10" s="21">
        <f>H10*I10*'[1]Design conditions'!$C$7</f>
        <v>0</v>
      </c>
      <c r="R10" s="21">
        <f>J10*K10*'[1]Design conditions'!$C$11</f>
        <v>-701.58096</v>
      </c>
      <c r="S10" s="21">
        <f>N10*O10*'[1]Design conditions'!$C$7</f>
        <v>0</v>
      </c>
      <c r="T10" s="21">
        <f>L10*M10*'[1]Design conditions'!$C$11</f>
        <v>-562.83231000000001</v>
      </c>
      <c r="U10" s="21">
        <f t="shared" si="4"/>
        <v>-1368.5044619999999</v>
      </c>
      <c r="V10" s="21">
        <f t="shared" si="0"/>
        <v>7</v>
      </c>
      <c r="W10" s="21">
        <f>ROUND(1.08*V10*'[1]Design conditions'!$C$7,2)</f>
        <v>-542.04999999999995</v>
      </c>
      <c r="X10" s="21">
        <f>0.68*V10*'[1]Design conditions'!$G$7</f>
        <v>-143.94240000000002</v>
      </c>
      <c r="Y10" s="21">
        <f t="shared" si="1"/>
        <v>-685.99239999999998</v>
      </c>
      <c r="Z10" s="21">
        <f>20%</f>
        <v>0.2</v>
      </c>
      <c r="AA10" s="21">
        <f>(U10+W10)*(1+Z10)</f>
        <v>-2292.6653543999996</v>
      </c>
      <c r="AB10" s="21">
        <f>X10*(1+Z10)</f>
        <v>-172.73088000000001</v>
      </c>
      <c r="AC10" s="21">
        <f>AA10+AB10</f>
        <v>-2465.3962343999997</v>
      </c>
      <c r="AD10" s="22">
        <f t="shared" si="2"/>
        <v>114</v>
      </c>
      <c r="AE10" s="23">
        <f>ROUND(7.5*E10,0)</f>
        <v>0</v>
      </c>
      <c r="AF10" s="21">
        <f>ROUND(1.08*AE10*'[1]Design conditions'!$C$7,2)</f>
        <v>0</v>
      </c>
      <c r="AG10" s="21">
        <f>0.68*MAX(AE10)*'[1]Design conditions'!$G$7</f>
        <v>0</v>
      </c>
      <c r="AH10" s="21">
        <f t="shared" si="5"/>
        <v>0</v>
      </c>
      <c r="AI10" s="21">
        <f>ROUND(AA10+AF10,2)</f>
        <v>-2292.67</v>
      </c>
      <c r="AJ10" s="21">
        <f>ROUND(AB10+AG10,2)</f>
        <v>-172.73</v>
      </c>
      <c r="AK10" s="21">
        <f t="shared" si="6"/>
        <v>-2465.4</v>
      </c>
      <c r="AL10" s="24"/>
    </row>
    <row r="11" spans="1:38" s="11" customFormat="1" ht="20.149999999999999" customHeight="1" x14ac:dyDescent="0.35">
      <c r="A11" s="25"/>
      <c r="B11" s="28"/>
      <c r="C11" s="21"/>
      <c r="D11" s="21">
        <f t="shared" ref="D11:D27" si="7">C11*9</f>
        <v>0</v>
      </c>
      <c r="E11" s="21"/>
      <c r="F11" s="21">
        <f>(2*9.2)-H11</f>
        <v>18.399999999999999</v>
      </c>
      <c r="G11" s="21">
        <v>0.22</v>
      </c>
      <c r="H11" s="21">
        <v>0</v>
      </c>
      <c r="I11" s="21">
        <v>0.3</v>
      </c>
      <c r="J11" s="21"/>
      <c r="K11" s="21"/>
      <c r="L11" s="21"/>
      <c r="M11" s="21">
        <v>0.26569999999999999</v>
      </c>
      <c r="N11" s="21"/>
      <c r="O11" s="21"/>
      <c r="P11" s="21">
        <f>F11*G11*'[1]Design conditions'!$C$7</f>
        <v>-290.24160000000001</v>
      </c>
      <c r="Q11" s="21">
        <f>H11*I11*'[1]Design conditions'!$C$7</f>
        <v>0</v>
      </c>
      <c r="R11" s="21">
        <f>J11*K11*'[1]Design conditions'!$C$11</f>
        <v>0</v>
      </c>
      <c r="S11" s="21">
        <f>N11*O11*'[1]Design conditions'!$C$7</f>
        <v>0</v>
      </c>
      <c r="T11" s="21">
        <f>L11*M11*'[1]Design conditions'!$C$11</f>
        <v>0</v>
      </c>
      <c r="U11" s="21">
        <f t="shared" si="4"/>
        <v>-290.24160000000001</v>
      </c>
      <c r="V11" s="21">
        <f t="shared" si="0"/>
        <v>0</v>
      </c>
      <c r="W11" s="21">
        <f>ROUND(1.08*V11*'[1]Design conditions'!$C$7,2)</f>
        <v>0</v>
      </c>
      <c r="X11" s="21">
        <f>0.68*V11*'[1]Design conditions'!$G$7</f>
        <v>0</v>
      </c>
      <c r="Y11" s="21">
        <f t="shared" si="1"/>
        <v>0</v>
      </c>
      <c r="Z11" s="21">
        <f>20%</f>
        <v>0.2</v>
      </c>
      <c r="AA11" s="21">
        <f>(U11+W11)*(1+Z11)</f>
        <v>-348.28992</v>
      </c>
      <c r="AB11" s="21">
        <f>X11*(1+Z11)</f>
        <v>0</v>
      </c>
      <c r="AC11" s="21">
        <f>AA11+AB11</f>
        <v>-348.28992</v>
      </c>
      <c r="AD11" s="22">
        <f t="shared" si="2"/>
        <v>16</v>
      </c>
      <c r="AE11" s="23">
        <f>ROUND(7.5*E11,0)</f>
        <v>0</v>
      </c>
      <c r="AF11" s="21">
        <f>ROUND(1.08*AE11*'[1]Design conditions'!$C$7,2)</f>
        <v>0</v>
      </c>
      <c r="AG11" s="21">
        <f>0.68*MAX(AE11)*'[1]Design conditions'!$G$7</f>
        <v>0</v>
      </c>
      <c r="AH11" s="21">
        <f t="shared" si="5"/>
        <v>0</v>
      </c>
      <c r="AI11" s="21">
        <f>ROUND(AA11+AF11,2)</f>
        <v>-348.29</v>
      </c>
      <c r="AJ11" s="21">
        <f>ROUND(AB11+AG11,2)</f>
        <v>0</v>
      </c>
      <c r="AK11" s="21">
        <f t="shared" si="6"/>
        <v>-348.29</v>
      </c>
      <c r="AL11" s="24"/>
    </row>
    <row r="12" spans="1:38" s="11" customFormat="1" ht="20.149999999999999" customHeight="1" x14ac:dyDescent="0.35">
      <c r="A12" s="25"/>
      <c r="B12" s="21" t="s">
        <v>46</v>
      </c>
      <c r="C12" s="21">
        <v>38</v>
      </c>
      <c r="D12" s="21">
        <f t="shared" ref="D12:D16" si="8">C12*9.2</f>
        <v>349.59999999999997</v>
      </c>
      <c r="E12" s="21">
        <v>0</v>
      </c>
      <c r="F12" s="21">
        <f>(8.5*9.2)</f>
        <v>78.199999999999989</v>
      </c>
      <c r="G12" s="21">
        <v>5.2600000000000001E-2</v>
      </c>
      <c r="H12" s="21">
        <v>0</v>
      </c>
      <c r="I12" s="21">
        <v>0</v>
      </c>
      <c r="J12" s="21"/>
      <c r="K12" s="21"/>
      <c r="L12" s="21"/>
      <c r="M12" s="21"/>
      <c r="N12" s="21"/>
      <c r="O12" s="21"/>
      <c r="P12" s="21">
        <f>F12*G12*'[1]Design conditions'!$C$7</f>
        <v>-294.92504400000001</v>
      </c>
      <c r="Q12" s="21">
        <f>H12*I12*'[1]Design conditions'!$C$7</f>
        <v>0</v>
      </c>
      <c r="R12" s="21">
        <f>J12*K12*'[1]Design conditions'!$C$11</f>
        <v>0</v>
      </c>
      <c r="S12" s="21">
        <f>N12*O12*'[1]Design conditions'!$C$7</f>
        <v>0</v>
      </c>
      <c r="T12" s="21">
        <f>L12*M12*'[1]Design conditions'!$C$11</f>
        <v>0</v>
      </c>
      <c r="U12" s="21">
        <f t="shared" si="4"/>
        <v>-294.92504400000001</v>
      </c>
      <c r="V12" s="21">
        <f t="shared" si="0"/>
        <v>1</v>
      </c>
      <c r="W12" s="21">
        <f>ROUND(1.08*V12*'[1]Design conditions'!$C$7,2)</f>
        <v>-77.44</v>
      </c>
      <c r="X12" s="21">
        <f>0.68*V12*'[1]Design conditions'!$G$7</f>
        <v>-20.563200000000002</v>
      </c>
      <c r="Y12" s="21">
        <f t="shared" si="1"/>
        <v>-98.003199999999993</v>
      </c>
      <c r="Z12" s="21">
        <f>20%</f>
        <v>0.2</v>
      </c>
      <c r="AA12" s="21">
        <f>(U12+W12)*(1+Z12)</f>
        <v>-446.83805280000001</v>
      </c>
      <c r="AB12" s="21">
        <f>X12*(1+Z12)</f>
        <v>-24.675840000000001</v>
      </c>
      <c r="AC12" s="21">
        <f>AA12+AB12</f>
        <v>-471.51389280000001</v>
      </c>
      <c r="AD12" s="22">
        <f t="shared" si="2"/>
        <v>22</v>
      </c>
      <c r="AE12" s="23">
        <f>ROUND(7.5*E12,0)</f>
        <v>0</v>
      </c>
      <c r="AF12" s="21">
        <f>ROUND(1.08*AE12*'[1]Design conditions'!$C$7,2)</f>
        <v>0</v>
      </c>
      <c r="AG12" s="21">
        <f>0.68*MAX(AE12)*'[1]Design conditions'!$G$7</f>
        <v>0</v>
      </c>
      <c r="AH12" s="21">
        <f t="shared" si="5"/>
        <v>0</v>
      </c>
      <c r="AI12" s="21">
        <f>ROUND(AA12+AF12,2)</f>
        <v>-446.84</v>
      </c>
      <c r="AJ12" s="21">
        <f>ROUND(AB12+AG12,2)</f>
        <v>-24.68</v>
      </c>
      <c r="AK12" s="21">
        <f t="shared" si="6"/>
        <v>-471.52</v>
      </c>
      <c r="AL12" s="24"/>
    </row>
    <row r="13" spans="1:38" s="11" customFormat="1" ht="20.149999999999999" customHeight="1" x14ac:dyDescent="0.35">
      <c r="A13" s="25"/>
      <c r="B13" s="21" t="s">
        <v>47</v>
      </c>
      <c r="C13" s="21">
        <f>38</f>
        <v>38</v>
      </c>
      <c r="D13" s="21">
        <f t="shared" si="8"/>
        <v>349.59999999999997</v>
      </c>
      <c r="E13" s="21">
        <v>0</v>
      </c>
      <c r="F13" s="21">
        <v>0</v>
      </c>
      <c r="G13" s="21">
        <v>5.2600000000000001E-2</v>
      </c>
      <c r="H13" s="21">
        <v>0</v>
      </c>
      <c r="I13" s="21">
        <v>0</v>
      </c>
      <c r="J13" s="21"/>
      <c r="K13" s="21"/>
      <c r="L13" s="21"/>
      <c r="M13" s="21"/>
      <c r="N13" s="21"/>
      <c r="O13" s="21"/>
      <c r="P13" s="21">
        <f>F13*G13*'[1]Design conditions'!$C$7</f>
        <v>0</v>
      </c>
      <c r="Q13" s="21">
        <f>H13*I13*'[1]Design conditions'!$C$7</f>
        <v>0</v>
      </c>
      <c r="R13" s="21">
        <f>J13*K13*'[1]Design conditions'!$C$11</f>
        <v>0</v>
      </c>
      <c r="S13" s="21">
        <f>N13*O13*'[1]Design conditions'!$C$7</f>
        <v>0</v>
      </c>
      <c r="T13" s="21">
        <f>L13*M13*'[1]Design conditions'!$C$11</f>
        <v>0</v>
      </c>
      <c r="U13" s="21">
        <f t="shared" si="4"/>
        <v>0</v>
      </c>
      <c r="V13" s="21">
        <f t="shared" si="0"/>
        <v>1</v>
      </c>
      <c r="W13" s="21">
        <f>ROUND(1.08*V13*'[1]Design conditions'!$C$7,2)</f>
        <v>-77.44</v>
      </c>
      <c r="X13" s="21">
        <f>0.68*V13*'[1]Design conditions'!$G$7</f>
        <v>-20.563200000000002</v>
      </c>
      <c r="Y13" s="21">
        <f t="shared" si="1"/>
        <v>-98.003199999999993</v>
      </c>
      <c r="Z13" s="21">
        <f>20%</f>
        <v>0.2</v>
      </c>
      <c r="AA13" s="21">
        <f>(U13+W13)*(1+Z13)</f>
        <v>-92.927999999999997</v>
      </c>
      <c r="AB13" s="21">
        <f>X13*(1+Z13)</f>
        <v>-24.675840000000001</v>
      </c>
      <c r="AC13" s="21">
        <f>AA13+AB13</f>
        <v>-117.60383999999999</v>
      </c>
      <c r="AD13" s="22">
        <f t="shared" si="2"/>
        <v>5</v>
      </c>
      <c r="AE13" s="23">
        <f>ROUND(7.5*E13,0)</f>
        <v>0</v>
      </c>
      <c r="AF13" s="21">
        <f>ROUND(1.08*AE13*'[1]Design conditions'!$C$7,2)</f>
        <v>0</v>
      </c>
      <c r="AG13" s="21">
        <f>0.68*MAX(AE13)*'[1]Design conditions'!$G$7</f>
        <v>0</v>
      </c>
      <c r="AH13" s="21">
        <f t="shared" si="5"/>
        <v>0</v>
      </c>
      <c r="AI13" s="21">
        <f>ROUND(AA13+AF13,2)</f>
        <v>-92.93</v>
      </c>
      <c r="AJ13" s="21">
        <f>ROUND(AB13+AG13,2)</f>
        <v>-24.68</v>
      </c>
      <c r="AK13" s="21">
        <f t="shared" si="6"/>
        <v>-117.61</v>
      </c>
      <c r="AL13" s="24"/>
    </row>
    <row r="14" spans="1:38" s="11" customFormat="1" ht="20.149999999999999" customHeight="1" x14ac:dyDescent="0.35">
      <c r="A14" s="25"/>
      <c r="B14" s="21" t="s">
        <v>48</v>
      </c>
      <c r="C14" s="21">
        <v>55</v>
      </c>
      <c r="D14" s="21">
        <f t="shared" si="8"/>
        <v>505.99999999999994</v>
      </c>
      <c r="E14" s="21">
        <v>0</v>
      </c>
      <c r="F14" s="21">
        <f>(11.3*9.2)</f>
        <v>103.96</v>
      </c>
      <c r="G14" s="21">
        <v>5.2600000000000001E-2</v>
      </c>
      <c r="H14" s="21">
        <v>0</v>
      </c>
      <c r="I14" s="21">
        <v>0</v>
      </c>
      <c r="J14" s="21"/>
      <c r="K14" s="21"/>
      <c r="L14" s="21"/>
      <c r="M14" s="21"/>
      <c r="N14" s="21"/>
      <c r="O14" s="21"/>
      <c r="P14" s="21">
        <f>F14*G14*'[1]Design conditions'!$C$7</f>
        <v>-392.07682319999998</v>
      </c>
      <c r="Q14" s="21">
        <f>H14*I14*'[1]Design conditions'!$C$7</f>
        <v>0</v>
      </c>
      <c r="R14" s="21">
        <f>J14*K14*'[1]Design conditions'!$C$11</f>
        <v>0</v>
      </c>
      <c r="S14" s="21">
        <f>N14*O14*'[1]Design conditions'!$C$7</f>
        <v>0</v>
      </c>
      <c r="T14" s="21">
        <f>L14*M14*'[1]Design conditions'!$C$11</f>
        <v>0</v>
      </c>
      <c r="U14" s="21">
        <f t="shared" si="4"/>
        <v>-392.07682319999998</v>
      </c>
      <c r="V14" s="21">
        <f t="shared" si="0"/>
        <v>2</v>
      </c>
      <c r="W14" s="21">
        <f>ROUND(1.08*V14*'[1]Design conditions'!$C$7,2)</f>
        <v>-154.87</v>
      </c>
      <c r="X14" s="21">
        <f>0.68*V14*'[1]Design conditions'!$G$7</f>
        <v>-41.126400000000004</v>
      </c>
      <c r="Y14" s="21">
        <f t="shared" si="1"/>
        <v>-195.99639999999999</v>
      </c>
      <c r="Z14" s="21">
        <f>20%</f>
        <v>0.2</v>
      </c>
      <c r="AA14" s="21">
        <f>(U14+W14)*(1+Z14)</f>
        <v>-656.33618783999987</v>
      </c>
      <c r="AB14" s="21">
        <f>X14*(1+Z14)</f>
        <v>-49.351680000000002</v>
      </c>
      <c r="AC14" s="21">
        <f>AA14+AB14</f>
        <v>-705.68786783999985</v>
      </c>
      <c r="AD14" s="22">
        <f t="shared" si="2"/>
        <v>33</v>
      </c>
      <c r="AE14" s="23">
        <f>ROUND(7.5*E14,0)</f>
        <v>0</v>
      </c>
      <c r="AF14" s="21">
        <f>ROUND(1.08*AE14*'[1]Design conditions'!$C$7,2)</f>
        <v>0</v>
      </c>
      <c r="AG14" s="21">
        <f>0.68*MAX(AE14)*'[1]Design conditions'!$G$7</f>
        <v>0</v>
      </c>
      <c r="AH14" s="21">
        <f t="shared" si="5"/>
        <v>0</v>
      </c>
      <c r="AI14" s="21">
        <f>ROUND(AA14+AF14,2)</f>
        <v>-656.34</v>
      </c>
      <c r="AJ14" s="21">
        <f>ROUND(AB14+AG14,2)</f>
        <v>-49.35</v>
      </c>
      <c r="AK14" s="21">
        <f t="shared" si="6"/>
        <v>-705.69</v>
      </c>
      <c r="AL14" s="24"/>
    </row>
    <row r="15" spans="1:38" s="11" customFormat="1" ht="20.149999999999999" customHeight="1" x14ac:dyDescent="0.35">
      <c r="A15" s="25"/>
      <c r="B15" s="21" t="s">
        <v>49</v>
      </c>
      <c r="C15" s="21">
        <v>36</v>
      </c>
      <c r="D15" s="21">
        <f t="shared" si="8"/>
        <v>331.2</v>
      </c>
      <c r="E15" s="21">
        <v>0</v>
      </c>
      <c r="F15" s="21">
        <v>0</v>
      </c>
      <c r="G15" s="21">
        <v>5.2600000000000001E-2</v>
      </c>
      <c r="H15" s="21">
        <v>0</v>
      </c>
      <c r="I15" s="21">
        <v>0</v>
      </c>
      <c r="J15" s="21"/>
      <c r="K15" s="21"/>
      <c r="L15" s="21"/>
      <c r="M15" s="21"/>
      <c r="N15" s="21"/>
      <c r="O15" s="21"/>
      <c r="P15" s="21">
        <f>F15*G15*'[1]Design conditions'!$C$7</f>
        <v>0</v>
      </c>
      <c r="Q15" s="21">
        <f>H15*I15*'[1]Design conditions'!$C$7</f>
        <v>0</v>
      </c>
      <c r="R15" s="21">
        <f>J15*K15*'[1]Design conditions'!$C$11</f>
        <v>0</v>
      </c>
      <c r="S15" s="21">
        <f>N15*O15*'[1]Design conditions'!$C$7</f>
        <v>0</v>
      </c>
      <c r="T15" s="21">
        <f>L15*M15*'[1]Design conditions'!$C$11</f>
        <v>0</v>
      </c>
      <c r="U15" s="21">
        <f t="shared" si="4"/>
        <v>0</v>
      </c>
      <c r="V15" s="21">
        <f t="shared" si="0"/>
        <v>1</v>
      </c>
      <c r="W15" s="21">
        <f>ROUND(1.08*V15*'[1]Design conditions'!$C$7,2)</f>
        <v>-77.44</v>
      </c>
      <c r="X15" s="21">
        <f>0.68*V15*'[1]Design conditions'!$G$7</f>
        <v>-20.563200000000002</v>
      </c>
      <c r="Y15" s="21">
        <f t="shared" si="1"/>
        <v>-98.003199999999993</v>
      </c>
      <c r="Z15" s="21">
        <f>20%</f>
        <v>0.2</v>
      </c>
      <c r="AA15" s="21">
        <f>(U15+W15)*(1+Z15)</f>
        <v>-92.927999999999997</v>
      </c>
      <c r="AB15" s="21">
        <f>X15*(1+Z15)</f>
        <v>-24.675840000000001</v>
      </c>
      <c r="AC15" s="21">
        <f>AA15+AB15</f>
        <v>-117.60383999999999</v>
      </c>
      <c r="AD15" s="22">
        <f t="shared" si="2"/>
        <v>5</v>
      </c>
      <c r="AE15" s="23">
        <f>ROUND(7.5*E15,0)</f>
        <v>0</v>
      </c>
      <c r="AF15" s="21">
        <f>ROUND(1.08*AE15*'[1]Design conditions'!$C$7,2)</f>
        <v>0</v>
      </c>
      <c r="AG15" s="21">
        <f>0.68*MAX(AE15)*'[1]Design conditions'!$G$7</f>
        <v>0</v>
      </c>
      <c r="AH15" s="21">
        <f t="shared" si="5"/>
        <v>0</v>
      </c>
      <c r="AI15" s="21">
        <f>ROUND(AA15+AF15,2)</f>
        <v>-92.93</v>
      </c>
      <c r="AJ15" s="21">
        <f>ROUND(AB15+AG15,2)</f>
        <v>-24.68</v>
      </c>
      <c r="AK15" s="21">
        <f t="shared" si="6"/>
        <v>-117.61</v>
      </c>
      <c r="AL15" s="24"/>
    </row>
    <row r="16" spans="1:38" s="11" customFormat="1" ht="20.149999999999999" customHeight="1" x14ac:dyDescent="0.35">
      <c r="A16" s="29"/>
      <c r="B16" s="21" t="s">
        <v>50</v>
      </c>
      <c r="C16" s="21">
        <v>41</v>
      </c>
      <c r="D16" s="21">
        <f t="shared" si="8"/>
        <v>377.2</v>
      </c>
      <c r="E16" s="21">
        <v>0</v>
      </c>
      <c r="F16" s="21">
        <f t="shared" ref="F16" si="9">(8.5*9.2)</f>
        <v>78.199999999999989</v>
      </c>
      <c r="G16" s="21">
        <v>5.2600000000000001E-2</v>
      </c>
      <c r="H16" s="21">
        <v>0</v>
      </c>
      <c r="I16" s="21">
        <v>0</v>
      </c>
      <c r="J16" s="21"/>
      <c r="K16" s="21"/>
      <c r="L16" s="21"/>
      <c r="M16" s="21"/>
      <c r="N16" s="21"/>
      <c r="O16" s="21"/>
      <c r="P16" s="21">
        <f>F16*G16*'[1]Design conditions'!$C$7</f>
        <v>-294.92504400000001</v>
      </c>
      <c r="Q16" s="21">
        <f>H16*I16*'[1]Design conditions'!$C$7</f>
        <v>0</v>
      </c>
      <c r="R16" s="21">
        <f>J16*K16*'[1]Design conditions'!$C$11</f>
        <v>0</v>
      </c>
      <c r="S16" s="21">
        <f>N16*O16*'[1]Design conditions'!$C$7</f>
        <v>0</v>
      </c>
      <c r="T16" s="21">
        <f>L16*M16*'[1]Design conditions'!$C$11</f>
        <v>0</v>
      </c>
      <c r="U16" s="21">
        <f t="shared" si="4"/>
        <v>-294.92504400000001</v>
      </c>
      <c r="V16" s="21">
        <f t="shared" si="0"/>
        <v>1</v>
      </c>
      <c r="W16" s="21">
        <f>ROUND(1.08*V16*'[1]Design conditions'!$C$7,2)</f>
        <v>-77.44</v>
      </c>
      <c r="X16" s="21">
        <f>0.68*V16*'[1]Design conditions'!$G$7</f>
        <v>-20.563200000000002</v>
      </c>
      <c r="Y16" s="21">
        <f t="shared" si="1"/>
        <v>-98.003199999999993</v>
      </c>
      <c r="Z16" s="21">
        <f>20%</f>
        <v>0.2</v>
      </c>
      <c r="AA16" s="21">
        <f>(U16+W16)*(1+Z16)</f>
        <v>-446.83805280000001</v>
      </c>
      <c r="AB16" s="21">
        <f>X16*(1+Z16)</f>
        <v>-24.675840000000001</v>
      </c>
      <c r="AC16" s="21">
        <f>AA16+AB16</f>
        <v>-471.51389280000001</v>
      </c>
      <c r="AD16" s="22">
        <f t="shared" si="2"/>
        <v>22</v>
      </c>
      <c r="AE16" s="23">
        <f>ROUND(7.5*E16,0)</f>
        <v>0</v>
      </c>
      <c r="AF16" s="21">
        <f>ROUND(1.08*AE16*'[1]Design conditions'!$C$7,2)</f>
        <v>0</v>
      </c>
      <c r="AG16" s="21">
        <f>0.68*MAX(AE16)*'[1]Design conditions'!$G$7</f>
        <v>0</v>
      </c>
      <c r="AH16" s="21">
        <f t="shared" si="5"/>
        <v>0</v>
      </c>
      <c r="AI16" s="21">
        <f>ROUND(AA16+AF16,2)</f>
        <v>-446.84</v>
      </c>
      <c r="AJ16" s="21">
        <f>ROUND(AB16+AG16,2)</f>
        <v>-24.68</v>
      </c>
      <c r="AK16" s="21">
        <f t="shared" si="6"/>
        <v>-471.52</v>
      </c>
      <c r="AL16" s="24"/>
    </row>
    <row r="17" spans="1:38" s="11" customFormat="1" ht="20.149999999999999" customHeight="1" x14ac:dyDescent="0.35">
      <c r="A17" s="3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3"/>
      <c r="AF17" s="21"/>
      <c r="AG17" s="21"/>
      <c r="AH17" s="21"/>
      <c r="AI17" s="21"/>
      <c r="AJ17" s="21"/>
      <c r="AK17" s="21"/>
      <c r="AL17" s="24"/>
    </row>
    <row r="18" spans="1:38" s="11" customFormat="1" ht="20.149999999999999" customHeight="1" x14ac:dyDescent="0.35">
      <c r="A18" s="20" t="s">
        <v>51</v>
      </c>
      <c r="B18" s="21" t="s">
        <v>52</v>
      </c>
      <c r="C18" s="21">
        <v>98</v>
      </c>
      <c r="D18" s="21">
        <f t="shared" si="7"/>
        <v>882</v>
      </c>
      <c r="E18" s="21">
        <v>2</v>
      </c>
      <c r="F18" s="21">
        <f>(12*9)-H18</f>
        <v>98.89</v>
      </c>
      <c r="G18" s="21">
        <v>5.2600000000000001E-2</v>
      </c>
      <c r="H18" s="21">
        <v>9.11</v>
      </c>
      <c r="I18" s="21">
        <v>0.3</v>
      </c>
      <c r="J18" s="21">
        <f>10*9.2</f>
        <v>92</v>
      </c>
      <c r="K18" s="21">
        <v>0.18</v>
      </c>
      <c r="L18" s="21"/>
      <c r="M18" s="21"/>
      <c r="N18" s="21">
        <f>C18</f>
        <v>98</v>
      </c>
      <c r="O18" s="21">
        <v>4.6100000000000002E-2</v>
      </c>
      <c r="P18" s="21">
        <f>F18*G18*'[1]Design conditions'!$C$7</f>
        <v>-372.95572380000004</v>
      </c>
      <c r="Q18" s="21">
        <f>H18*I18*'[1]Design conditions'!$C$7</f>
        <v>-195.95609999999999</v>
      </c>
      <c r="R18" s="21">
        <f>J18*K18*'[1]Design conditions'!$C$11</f>
        <v>-508.392</v>
      </c>
      <c r="S18" s="21">
        <f>N18*O18*'[1]Design conditions'!$C$7</f>
        <v>-323.92626000000001</v>
      </c>
      <c r="T18" s="21"/>
      <c r="U18" s="21">
        <f t="shared" si="4"/>
        <v>-1401.2300838000001</v>
      </c>
      <c r="V18" s="21">
        <f t="shared" si="0"/>
        <v>3</v>
      </c>
      <c r="W18" s="21">
        <f>ROUND(1.08*V18*'[1]Design conditions'!$C$7,2)</f>
        <v>-232.31</v>
      </c>
      <c r="X18" s="21">
        <f>0.68*V18*'[1]Design conditions'!$G$7</f>
        <v>-61.689600000000006</v>
      </c>
      <c r="Y18" s="21">
        <f t="shared" si="1"/>
        <v>-293.99959999999999</v>
      </c>
      <c r="Z18" s="21">
        <f>20%</f>
        <v>0.2</v>
      </c>
      <c r="AA18" s="21">
        <f>(U18+W18)*(1+Z18)</f>
        <v>-1960.24810056</v>
      </c>
      <c r="AB18" s="21">
        <f>X18*(1+Z18)</f>
        <v>-74.02752000000001</v>
      </c>
      <c r="AC18" s="21">
        <f>AA18+AB18</f>
        <v>-2034.2756205600001</v>
      </c>
      <c r="AD18" s="22">
        <f t="shared" si="2"/>
        <v>94</v>
      </c>
      <c r="AE18" s="23">
        <f>ROUND(7.5*E18,0)</f>
        <v>15</v>
      </c>
      <c r="AF18" s="21">
        <f>ROUND(1.08*AE18*'[1]Design conditions'!$C$7,2)</f>
        <v>-1161.54</v>
      </c>
      <c r="AG18" s="21">
        <f>0.68*MAX(AE18)*'[1]Design conditions'!$G$7</f>
        <v>-308.44800000000004</v>
      </c>
      <c r="AH18" s="21">
        <f t="shared" si="5"/>
        <v>-1469.9880000000001</v>
      </c>
      <c r="AI18" s="21">
        <f>ROUND(AA18+AF18,2)</f>
        <v>-3121.79</v>
      </c>
      <c r="AJ18" s="21">
        <f>ROUND(AB18+AG18,2)</f>
        <v>-382.48</v>
      </c>
      <c r="AK18" s="21">
        <f t="shared" si="6"/>
        <v>-3504.27</v>
      </c>
      <c r="AL18" s="24"/>
    </row>
    <row r="19" spans="1:38" s="11" customFormat="1" ht="20.149999999999999" customHeight="1" x14ac:dyDescent="0.35">
      <c r="A19" s="25"/>
      <c r="B19" s="21" t="s">
        <v>53</v>
      </c>
      <c r="C19" s="21">
        <v>98</v>
      </c>
      <c r="D19" s="21">
        <f t="shared" si="7"/>
        <v>882</v>
      </c>
      <c r="E19" s="21">
        <v>2</v>
      </c>
      <c r="F19" s="21">
        <f>(12*9)-H19</f>
        <v>98.89</v>
      </c>
      <c r="G19" s="21">
        <v>5.2600000000000001E-2</v>
      </c>
      <c r="H19" s="21">
        <v>9.11</v>
      </c>
      <c r="I19" s="21">
        <v>0.3</v>
      </c>
      <c r="J19" s="21">
        <f>3*9.2</f>
        <v>27.599999999999998</v>
      </c>
      <c r="K19" s="21">
        <v>0.18</v>
      </c>
      <c r="L19" s="21"/>
      <c r="M19" s="21"/>
      <c r="N19" s="21">
        <f t="shared" ref="N19:N27" si="10">C19</f>
        <v>98</v>
      </c>
      <c r="O19" s="21">
        <v>4.6100000000000002E-2</v>
      </c>
      <c r="P19" s="21">
        <f>F19*G19*'[1]Design conditions'!$C$7</f>
        <v>-372.95572380000004</v>
      </c>
      <c r="Q19" s="21">
        <f>H19*I19*'[1]Design conditions'!$C$7</f>
        <v>-195.95609999999999</v>
      </c>
      <c r="R19" s="21">
        <f>J19*K19*'[1]Design conditions'!$C$11</f>
        <v>-152.51759999999999</v>
      </c>
      <c r="S19" s="21">
        <f>N19*O19*'[1]Design conditions'!$C$7</f>
        <v>-323.92626000000001</v>
      </c>
      <c r="T19" s="21"/>
      <c r="U19" s="21">
        <f t="shared" si="4"/>
        <v>-1045.3556838000002</v>
      </c>
      <c r="V19" s="21">
        <f t="shared" si="0"/>
        <v>3</v>
      </c>
      <c r="W19" s="21">
        <f>ROUND(1.08*V19*'[1]Design conditions'!$C$7,2)</f>
        <v>-232.31</v>
      </c>
      <c r="X19" s="21">
        <f>0.68*V19*'[1]Design conditions'!$G$7</f>
        <v>-61.689600000000006</v>
      </c>
      <c r="Y19" s="21">
        <f t="shared" si="1"/>
        <v>-293.99959999999999</v>
      </c>
      <c r="Z19" s="21">
        <f>20%</f>
        <v>0.2</v>
      </c>
      <c r="AA19" s="21">
        <f>(U19+W19)*(1+Z19)</f>
        <v>-1533.1988205600001</v>
      </c>
      <c r="AB19" s="21">
        <f>X19*(1+Z19)</f>
        <v>-74.02752000000001</v>
      </c>
      <c r="AC19" s="21">
        <f>AA19+AB19</f>
        <v>-1607.2263405600002</v>
      </c>
      <c r="AD19" s="22">
        <f t="shared" si="2"/>
        <v>74</v>
      </c>
      <c r="AE19" s="23">
        <f>ROUND(7.5*E19,0)</f>
        <v>15</v>
      </c>
      <c r="AF19" s="21">
        <f>ROUND(1.08*AE19*'[1]Design conditions'!$C$7,2)</f>
        <v>-1161.54</v>
      </c>
      <c r="AG19" s="21">
        <f>0.68*MAX(AE19)*'[1]Design conditions'!$G$7</f>
        <v>-308.44800000000004</v>
      </c>
      <c r="AH19" s="21">
        <f t="shared" si="5"/>
        <v>-1469.9880000000001</v>
      </c>
      <c r="AI19" s="21">
        <f>ROUND(AA19+AF19,2)</f>
        <v>-2694.74</v>
      </c>
      <c r="AJ19" s="21">
        <f>ROUND(AB19+AG19,2)</f>
        <v>-382.48</v>
      </c>
      <c r="AK19" s="21">
        <f t="shared" si="6"/>
        <v>-3077.22</v>
      </c>
      <c r="AL19" s="24"/>
    </row>
    <row r="20" spans="1:38" s="11" customFormat="1" ht="20.149999999999999" customHeight="1" x14ac:dyDescent="0.35">
      <c r="A20" s="25"/>
      <c r="B20" s="21" t="s">
        <v>54</v>
      </c>
      <c r="C20" s="21">
        <v>65</v>
      </c>
      <c r="D20" s="21">
        <f t="shared" si="7"/>
        <v>585</v>
      </c>
      <c r="E20" s="21">
        <v>2</v>
      </c>
      <c r="F20" s="21">
        <f>15.5*9-H20+15</f>
        <v>145.38999999999999</v>
      </c>
      <c r="G20" s="21">
        <v>5.2600000000000001E-2</v>
      </c>
      <c r="H20" s="21">
        <v>9.11</v>
      </c>
      <c r="I20" s="21">
        <v>0.3</v>
      </c>
      <c r="J20" s="21">
        <f>3*9</f>
        <v>27</v>
      </c>
      <c r="K20" s="21">
        <v>0.18</v>
      </c>
      <c r="L20" s="21"/>
      <c r="M20" s="21"/>
      <c r="N20" s="21">
        <f t="shared" si="10"/>
        <v>65</v>
      </c>
      <c r="O20" s="21">
        <v>4.6100000000000002E-2</v>
      </c>
      <c r="P20" s="21">
        <f>F20*G20*'[1]Design conditions'!$C$7</f>
        <v>-548.32675380000001</v>
      </c>
      <c r="Q20" s="21">
        <f>H20*I20*'[1]Design conditions'!$C$7</f>
        <v>-195.95609999999999</v>
      </c>
      <c r="R20" s="21">
        <f>J20*K20*'[1]Design conditions'!$C$11</f>
        <v>-149.202</v>
      </c>
      <c r="S20" s="21">
        <f>N20*O20*'[1]Design conditions'!$C$7</f>
        <v>-214.84905000000003</v>
      </c>
      <c r="T20" s="21"/>
      <c r="U20" s="21">
        <f t="shared" si="4"/>
        <v>-1108.3339037999999</v>
      </c>
      <c r="V20" s="21">
        <f t="shared" si="0"/>
        <v>2</v>
      </c>
      <c r="W20" s="21">
        <f>ROUND(1.08*V20*'[1]Design conditions'!$C$7,2)</f>
        <v>-154.87</v>
      </c>
      <c r="X20" s="21">
        <f>0.68*V20*'[1]Design conditions'!$G$7</f>
        <v>-41.126400000000004</v>
      </c>
      <c r="Y20" s="21">
        <f t="shared" si="1"/>
        <v>-195.99639999999999</v>
      </c>
      <c r="Z20" s="21">
        <f>20%</f>
        <v>0.2</v>
      </c>
      <c r="AA20" s="21">
        <f>(U20+W20)*(1+Z20)</f>
        <v>-1515.8446845599997</v>
      </c>
      <c r="AB20" s="21">
        <f>X20*(1+Z20)</f>
        <v>-49.351680000000002</v>
      </c>
      <c r="AC20" s="21">
        <f>AA20+AB20</f>
        <v>-1565.1963645599997</v>
      </c>
      <c r="AD20" s="22">
        <f t="shared" si="2"/>
        <v>72</v>
      </c>
      <c r="AE20" s="23">
        <f>ROUND(7.5*E20,0)</f>
        <v>15</v>
      </c>
      <c r="AF20" s="21">
        <f>ROUND(1.08*AE20*'[1]Design conditions'!$C$7,2)</f>
        <v>-1161.54</v>
      </c>
      <c r="AG20" s="21">
        <f>0.68*MAX(AE20)*'[1]Design conditions'!$G$7</f>
        <v>-308.44800000000004</v>
      </c>
      <c r="AH20" s="21"/>
      <c r="AI20" s="21"/>
      <c r="AJ20" s="21"/>
      <c r="AK20" s="21"/>
      <c r="AL20" s="24"/>
    </row>
    <row r="21" spans="1:38" s="11" customFormat="1" ht="20.149999999999999" customHeight="1" x14ac:dyDescent="0.35">
      <c r="A21" s="25"/>
      <c r="B21" s="27" t="s">
        <v>55</v>
      </c>
      <c r="C21" s="21">
        <v>225</v>
      </c>
      <c r="D21" s="21">
        <f t="shared" si="7"/>
        <v>2025</v>
      </c>
      <c r="E21" s="21">
        <v>8</v>
      </c>
      <c r="F21" s="21">
        <f>14*9-H21</f>
        <v>116.89</v>
      </c>
      <c r="G21" s="21">
        <v>5.2600000000000001E-2</v>
      </c>
      <c r="H21" s="21">
        <v>9.11</v>
      </c>
      <c r="I21" s="21">
        <v>0.3</v>
      </c>
      <c r="J21" s="21">
        <v>117</v>
      </c>
      <c r="K21" s="21">
        <v>0.18</v>
      </c>
      <c r="L21" s="21"/>
      <c r="M21" s="21"/>
      <c r="N21" s="21">
        <f t="shared" si="10"/>
        <v>225</v>
      </c>
      <c r="O21" s="21">
        <v>4.6100000000000002E-2</v>
      </c>
      <c r="P21" s="21">
        <f>F21*G21*'[1]Design conditions'!$C$7</f>
        <v>-440.84128379999999</v>
      </c>
      <c r="Q21" s="21">
        <f>H21*I21*'[1]Design conditions'!$C$7</f>
        <v>-195.95609999999999</v>
      </c>
      <c r="R21" s="21">
        <f>J21*K21*'[1]Design conditions'!$C$11</f>
        <v>-646.54200000000003</v>
      </c>
      <c r="S21" s="21">
        <f>N21*O21*'[1]Design conditions'!$C$7</f>
        <v>-743.70825000000002</v>
      </c>
      <c r="T21" s="21"/>
      <c r="U21" s="21">
        <f t="shared" si="4"/>
        <v>-2027.0476338000003</v>
      </c>
      <c r="V21" s="21">
        <f t="shared" si="0"/>
        <v>8</v>
      </c>
      <c r="W21" s="21">
        <f>ROUND(1.08*V21*'[1]Design conditions'!$C$7,2)</f>
        <v>-619.49</v>
      </c>
      <c r="X21" s="21">
        <f>0.68*V21*'[1]Design conditions'!$G$7</f>
        <v>-164.50560000000002</v>
      </c>
      <c r="Y21" s="21">
        <f t="shared" si="1"/>
        <v>-783.99559999999997</v>
      </c>
      <c r="Z21" s="21">
        <f>20%</f>
        <v>0.2</v>
      </c>
      <c r="AA21" s="21">
        <f>(U21+W21)*(1+Z21)</f>
        <v>-3175.8451605600007</v>
      </c>
      <c r="AB21" s="21">
        <f>X21*(1+Z21)</f>
        <v>-197.40672000000001</v>
      </c>
      <c r="AC21" s="21">
        <f>AA21+AB21</f>
        <v>-3373.2518805600007</v>
      </c>
      <c r="AD21" s="22">
        <f t="shared" si="2"/>
        <v>156</v>
      </c>
      <c r="AE21" s="23">
        <f>ROUND(7.5*E21,0)</f>
        <v>60</v>
      </c>
      <c r="AF21" s="21">
        <f>ROUND(1.08*AE21*'[1]Design conditions'!$C$7,2)</f>
        <v>-4646.16</v>
      </c>
      <c r="AG21" s="21">
        <f>0.68*MAX(AE21)*'[1]Design conditions'!$G$7</f>
        <v>-1233.7920000000001</v>
      </c>
      <c r="AH21" s="21">
        <f t="shared" si="5"/>
        <v>-5879.9520000000002</v>
      </c>
      <c r="AI21" s="21">
        <f>ROUND(AA21+AF21,2)</f>
        <v>-7822.01</v>
      </c>
      <c r="AJ21" s="21">
        <f>ROUND(AB21+AG21,2)</f>
        <v>-1431.2</v>
      </c>
      <c r="AK21" s="21">
        <f t="shared" si="6"/>
        <v>-9253.2099999999991</v>
      </c>
      <c r="AL21" s="24"/>
    </row>
    <row r="22" spans="1:38" s="11" customFormat="1" ht="20.149999999999999" customHeight="1" x14ac:dyDescent="0.35">
      <c r="A22" s="25"/>
      <c r="B22" s="28"/>
      <c r="C22" s="21">
        <v>0</v>
      </c>
      <c r="D22" s="21">
        <f t="shared" si="7"/>
        <v>0</v>
      </c>
      <c r="E22" s="21"/>
      <c r="F22" s="21">
        <f>14*9</f>
        <v>126</v>
      </c>
      <c r="G22" s="21">
        <v>0.22</v>
      </c>
      <c r="H22" s="21">
        <v>0</v>
      </c>
      <c r="I22" s="21">
        <v>0.3</v>
      </c>
      <c r="J22" s="21"/>
      <c r="K22" s="21">
        <v>0.18</v>
      </c>
      <c r="L22" s="21"/>
      <c r="M22" s="21"/>
      <c r="N22" s="21">
        <f t="shared" si="10"/>
        <v>0</v>
      </c>
      <c r="O22" s="21">
        <v>4.6100000000000002E-2</v>
      </c>
      <c r="P22" s="21">
        <f>F22*G22*'[1]Design conditions'!$C$7</f>
        <v>-1987.5239999999999</v>
      </c>
      <c r="Q22" s="21">
        <f>H22*I22*'[1]Design conditions'!$C$7</f>
        <v>0</v>
      </c>
      <c r="R22" s="21">
        <f>J22*K22*'[1]Design conditions'!$C$11</f>
        <v>0</v>
      </c>
      <c r="S22" s="21">
        <f>N22*O22*'[1]Design conditions'!$C$7</f>
        <v>0</v>
      </c>
      <c r="T22" s="21"/>
      <c r="U22" s="21">
        <f t="shared" si="4"/>
        <v>-1987.5239999999999</v>
      </c>
      <c r="V22" s="21">
        <f t="shared" si="0"/>
        <v>0</v>
      </c>
      <c r="W22" s="21">
        <f>ROUND(1.08*V22*'[1]Design conditions'!$C$7,2)</f>
        <v>0</v>
      </c>
      <c r="X22" s="21">
        <f>0.68*V22*'[1]Design conditions'!$G$7</f>
        <v>0</v>
      </c>
      <c r="Y22" s="21">
        <f t="shared" si="1"/>
        <v>0</v>
      </c>
      <c r="Z22" s="21">
        <f>20%</f>
        <v>0.2</v>
      </c>
      <c r="AA22" s="21">
        <f>(U22+W22)*(1+Z22)</f>
        <v>-2385.0287999999996</v>
      </c>
      <c r="AB22" s="21">
        <f>X22*(1+Z22)</f>
        <v>0</v>
      </c>
      <c r="AC22" s="21">
        <f>AA22+AB22</f>
        <v>-2385.0287999999996</v>
      </c>
      <c r="AD22" s="22">
        <f t="shared" si="2"/>
        <v>110</v>
      </c>
      <c r="AE22" s="23">
        <f>ROUND(7.5*E22,0)</f>
        <v>0</v>
      </c>
      <c r="AF22" s="21">
        <f>ROUND(1.08*AE22*'[1]Design conditions'!$C$7,2)</f>
        <v>0</v>
      </c>
      <c r="AG22" s="21">
        <f>0.68*MAX(AE22)*'[1]Design conditions'!$G$7</f>
        <v>0</v>
      </c>
      <c r="AH22" s="21">
        <f t="shared" si="5"/>
        <v>0</v>
      </c>
      <c r="AI22" s="21">
        <f>ROUND(AA22+AF22,2)</f>
        <v>-2385.0300000000002</v>
      </c>
      <c r="AJ22" s="21">
        <f>ROUND(AB22+AG22,2)</f>
        <v>0</v>
      </c>
      <c r="AK22" s="21">
        <f t="shared" si="6"/>
        <v>-2385.0300000000002</v>
      </c>
      <c r="AL22" s="24"/>
    </row>
    <row r="23" spans="1:38" s="11" customFormat="1" ht="20.149999999999999" customHeight="1" x14ac:dyDescent="0.35">
      <c r="A23" s="25"/>
      <c r="B23" s="27" t="s">
        <v>56</v>
      </c>
      <c r="C23" s="21">
        <v>439</v>
      </c>
      <c r="D23" s="21">
        <f t="shared" si="7"/>
        <v>3951</v>
      </c>
      <c r="E23" s="21">
        <v>18</v>
      </c>
      <c r="F23" s="21">
        <f>(4*9)-H23</f>
        <v>36</v>
      </c>
      <c r="G23" s="21">
        <v>5.2600000000000001E-2</v>
      </c>
      <c r="H23" s="21">
        <v>0</v>
      </c>
      <c r="I23" s="21">
        <v>0.3</v>
      </c>
      <c r="J23" s="21">
        <f>13.6*9.2</f>
        <v>125.11999999999999</v>
      </c>
      <c r="K23" s="21">
        <v>0.18</v>
      </c>
      <c r="L23" s="21"/>
      <c r="M23" s="21"/>
      <c r="N23" s="21">
        <f t="shared" si="10"/>
        <v>439</v>
      </c>
      <c r="O23" s="21">
        <v>4.6100000000000002E-2</v>
      </c>
      <c r="P23" s="21">
        <f>F23*G23*'[1]Design conditions'!$C$7</f>
        <v>-135.77112</v>
      </c>
      <c r="Q23" s="21">
        <f>H23*I23*'[1]Design conditions'!$C$7</f>
        <v>0</v>
      </c>
      <c r="R23" s="21">
        <f>J23*K23*'[1]Design conditions'!$C$11</f>
        <v>-691.41311999999994</v>
      </c>
      <c r="S23" s="21">
        <f>N23*O23*'[1]Design conditions'!$C$7</f>
        <v>-1451.0574300000001</v>
      </c>
      <c r="T23" s="21"/>
      <c r="U23" s="21">
        <f t="shared" si="4"/>
        <v>-2278.2416699999999</v>
      </c>
      <c r="V23" s="21">
        <f t="shared" si="0"/>
        <v>15</v>
      </c>
      <c r="W23" s="21">
        <f>ROUND(1.08*V23*'[1]Design conditions'!$C$7,2)</f>
        <v>-1161.54</v>
      </c>
      <c r="X23" s="21">
        <f>0.68*V23*'[1]Design conditions'!$G$7</f>
        <v>-308.44800000000004</v>
      </c>
      <c r="Y23" s="21">
        <f t="shared" si="1"/>
        <v>-1469.9880000000001</v>
      </c>
      <c r="Z23" s="21">
        <f>20%</f>
        <v>0.2</v>
      </c>
      <c r="AA23" s="21">
        <f>(U23+W23)*(1+Z23)</f>
        <v>-4127.7380039999998</v>
      </c>
      <c r="AB23" s="21">
        <f>X23*(1+Z23)</f>
        <v>-370.13760000000002</v>
      </c>
      <c r="AC23" s="21">
        <f>AA23+AB23</f>
        <v>-4497.8756039999998</v>
      </c>
      <c r="AD23" s="22">
        <f t="shared" si="2"/>
        <v>208</v>
      </c>
      <c r="AE23" s="23">
        <f>ROUND(7.5*E23,0)</f>
        <v>135</v>
      </c>
      <c r="AF23" s="21">
        <f>ROUND(1.08*AE23*'[1]Design conditions'!$C$7,2)</f>
        <v>-10453.86</v>
      </c>
      <c r="AG23" s="21">
        <f>0.68*MAX(AE23)*'[1]Design conditions'!$G$7</f>
        <v>-2776.0320000000006</v>
      </c>
      <c r="AH23" s="21">
        <f t="shared" si="5"/>
        <v>-13229.892000000002</v>
      </c>
      <c r="AI23" s="21">
        <f>ROUND(AA23+AF23,2)</f>
        <v>-14581.6</v>
      </c>
      <c r="AJ23" s="21">
        <f>ROUND(AB23+AG23,2)</f>
        <v>-3146.17</v>
      </c>
      <c r="AK23" s="21">
        <f t="shared" si="6"/>
        <v>-17727.77</v>
      </c>
      <c r="AL23" s="24"/>
    </row>
    <row r="24" spans="1:38" s="11" customFormat="1" ht="20.149999999999999" customHeight="1" x14ac:dyDescent="0.35">
      <c r="A24" s="25"/>
      <c r="B24" s="28"/>
      <c r="C24" s="21"/>
      <c r="D24" s="21">
        <f t="shared" si="7"/>
        <v>0</v>
      </c>
      <c r="E24" s="21"/>
      <c r="F24" s="21">
        <f>(12*9)-H24</f>
        <v>98.89</v>
      </c>
      <c r="G24" s="21">
        <v>5.2600000000000001E-2</v>
      </c>
      <c r="H24" s="21">
        <v>9.11</v>
      </c>
      <c r="I24" s="21">
        <v>0.3</v>
      </c>
      <c r="J24" s="21">
        <v>0</v>
      </c>
      <c r="K24" s="21">
        <v>0.18</v>
      </c>
      <c r="L24" s="21"/>
      <c r="M24" s="21"/>
      <c r="N24" s="21">
        <f t="shared" si="10"/>
        <v>0</v>
      </c>
      <c r="O24" s="21">
        <v>4.6100000000000002E-2</v>
      </c>
      <c r="P24" s="21">
        <f>F24*G24*'[1]Design conditions'!$C$7</f>
        <v>-372.95572380000004</v>
      </c>
      <c r="Q24" s="21">
        <f>H24*I24*'[1]Design conditions'!$C$7</f>
        <v>-195.95609999999999</v>
      </c>
      <c r="R24" s="21">
        <f>J24*K24*'[1]Design conditions'!$C$11</f>
        <v>0</v>
      </c>
      <c r="S24" s="21">
        <f>N24*O24*'[1]Design conditions'!$C$7</f>
        <v>0</v>
      </c>
      <c r="T24" s="21"/>
      <c r="U24" s="21">
        <f t="shared" si="4"/>
        <v>-568.91182380000009</v>
      </c>
      <c r="V24" s="21">
        <f t="shared" si="0"/>
        <v>0</v>
      </c>
      <c r="W24" s="21">
        <f>ROUND(1.08*V24*'[1]Design conditions'!$C$7,2)</f>
        <v>0</v>
      </c>
      <c r="X24" s="21">
        <f>0.68*V24*'[1]Design conditions'!$G$7</f>
        <v>0</v>
      </c>
      <c r="Y24" s="21">
        <f t="shared" si="1"/>
        <v>0</v>
      </c>
      <c r="Z24" s="21">
        <f>20%</f>
        <v>0.2</v>
      </c>
      <c r="AA24" s="21">
        <f>(U24+W24)*(1+Z24)</f>
        <v>-682.69418856000004</v>
      </c>
      <c r="AB24" s="21">
        <f>X24*(1+Z24)</f>
        <v>0</v>
      </c>
      <c r="AC24" s="21">
        <f>AA24+AB24</f>
        <v>-682.69418856000004</v>
      </c>
      <c r="AD24" s="22">
        <f t="shared" si="2"/>
        <v>32</v>
      </c>
      <c r="AE24" s="23">
        <f>ROUND(7.5*E24,0)</f>
        <v>0</v>
      </c>
      <c r="AF24" s="21">
        <f>ROUND(1.08*AE24*'[1]Design conditions'!$C$7,2)</f>
        <v>0</v>
      </c>
      <c r="AG24" s="21">
        <f>0.68*MAX(AE24)*'[1]Design conditions'!$G$7</f>
        <v>0</v>
      </c>
      <c r="AH24" s="21">
        <f t="shared" si="5"/>
        <v>0</v>
      </c>
      <c r="AI24" s="21">
        <f>ROUND(AA24+AF24,2)</f>
        <v>-682.69</v>
      </c>
      <c r="AJ24" s="21">
        <f>ROUND(AB24+AG24,2)</f>
        <v>0</v>
      </c>
      <c r="AK24" s="21">
        <f t="shared" si="6"/>
        <v>-682.69</v>
      </c>
      <c r="AL24" s="24"/>
    </row>
    <row r="25" spans="1:38" s="11" customFormat="1" ht="20.149999999999999" customHeight="1" x14ac:dyDescent="0.35">
      <c r="A25" s="25"/>
      <c r="B25" s="21" t="s">
        <v>57</v>
      </c>
      <c r="C25" s="21">
        <v>38</v>
      </c>
      <c r="D25" s="21">
        <f t="shared" si="7"/>
        <v>342</v>
      </c>
      <c r="E25" s="21">
        <v>0</v>
      </c>
      <c r="F25" s="21">
        <f>(6*9.2)</f>
        <v>55.199999999999996</v>
      </c>
      <c r="G25" s="21">
        <v>5.2600000000000001E-2</v>
      </c>
      <c r="H25" s="21">
        <v>0</v>
      </c>
      <c r="I25" s="21">
        <v>0</v>
      </c>
      <c r="J25" s="21"/>
      <c r="K25" s="21"/>
      <c r="L25" s="21"/>
      <c r="M25" s="21"/>
      <c r="N25" s="21">
        <f t="shared" si="10"/>
        <v>38</v>
      </c>
      <c r="O25" s="21">
        <v>4.6100000000000002E-2</v>
      </c>
      <c r="P25" s="21">
        <f>F25*G25*'[1]Design conditions'!$C$7</f>
        <v>-208.18238400000001</v>
      </c>
      <c r="Q25" s="21">
        <f>H25*I25*'[1]Design conditions'!$C$7</f>
        <v>0</v>
      </c>
      <c r="R25" s="21">
        <f>J25*K25*'[1]Design conditions'!$C$11</f>
        <v>0</v>
      </c>
      <c r="S25" s="21">
        <f>N25*O25*'[1]Design conditions'!$C$7</f>
        <v>-125.60406</v>
      </c>
      <c r="T25" s="21"/>
      <c r="U25" s="21">
        <f t="shared" si="4"/>
        <v>-333.78644400000002</v>
      </c>
      <c r="V25" s="21">
        <f t="shared" si="0"/>
        <v>1</v>
      </c>
      <c r="W25" s="21">
        <f>ROUND(1.08*V25*'[1]Design conditions'!$C$7,2)</f>
        <v>-77.44</v>
      </c>
      <c r="X25" s="21">
        <f>0.68*V25*'[1]Design conditions'!$G$7</f>
        <v>-20.563200000000002</v>
      </c>
      <c r="Y25" s="21">
        <f t="shared" si="1"/>
        <v>-98.003199999999993</v>
      </c>
      <c r="Z25" s="21">
        <f>20%</f>
        <v>0.2</v>
      </c>
      <c r="AA25" s="21">
        <f>(U25+W25)*(1+Z25)</f>
        <v>-493.47173279999998</v>
      </c>
      <c r="AB25" s="21">
        <f>X25*(1+Z25)</f>
        <v>-24.675840000000001</v>
      </c>
      <c r="AC25" s="21">
        <f>AA25+AB25</f>
        <v>-518.14757280000003</v>
      </c>
      <c r="AD25" s="22">
        <f t="shared" si="2"/>
        <v>24</v>
      </c>
      <c r="AE25" s="23">
        <f>ROUND(7.5*E25,0)</f>
        <v>0</v>
      </c>
      <c r="AF25" s="21">
        <f>ROUND(1.08*AE25*'[1]Design conditions'!$C$7,2)</f>
        <v>0</v>
      </c>
      <c r="AG25" s="21">
        <f>0.68*MAX(AE25)*'[1]Design conditions'!$G$7</f>
        <v>0</v>
      </c>
      <c r="AH25" s="21">
        <f t="shared" si="5"/>
        <v>0</v>
      </c>
      <c r="AI25" s="21">
        <f>ROUND(AA25+AF25,2)</f>
        <v>-493.47</v>
      </c>
      <c r="AJ25" s="21">
        <f>ROUND(AB25+AG25,2)</f>
        <v>-24.68</v>
      </c>
      <c r="AK25" s="21">
        <f t="shared" si="6"/>
        <v>-518.15</v>
      </c>
      <c r="AL25" s="24"/>
    </row>
    <row r="26" spans="1:38" s="11" customFormat="1" ht="20.149999999999999" customHeight="1" x14ac:dyDescent="0.35">
      <c r="A26" s="25"/>
      <c r="B26" s="21" t="s">
        <v>58</v>
      </c>
      <c r="C26" s="21">
        <v>38</v>
      </c>
      <c r="D26" s="21">
        <f t="shared" si="7"/>
        <v>342</v>
      </c>
      <c r="E26" s="21">
        <v>0</v>
      </c>
      <c r="F26" s="21">
        <f>(6*9.2)</f>
        <v>55.199999999999996</v>
      </c>
      <c r="G26" s="21">
        <v>5.2600000000000001E-2</v>
      </c>
      <c r="H26" s="21">
        <v>0</v>
      </c>
      <c r="I26" s="21">
        <v>0</v>
      </c>
      <c r="J26" s="21"/>
      <c r="K26" s="21"/>
      <c r="L26" s="21"/>
      <c r="M26" s="21"/>
      <c r="N26" s="21">
        <f t="shared" si="10"/>
        <v>38</v>
      </c>
      <c r="O26" s="21">
        <v>4.6100000000000002E-2</v>
      </c>
      <c r="P26" s="21">
        <f>F26*G26*'[1]Design conditions'!$C$7</f>
        <v>-208.18238400000001</v>
      </c>
      <c r="Q26" s="21">
        <f>H26*I26*'[1]Design conditions'!$C$7</f>
        <v>0</v>
      </c>
      <c r="R26" s="21">
        <f>J26*K26*'[1]Design conditions'!$C$11</f>
        <v>0</v>
      </c>
      <c r="S26" s="21">
        <f>N26*O26*'[1]Design conditions'!$C$7</f>
        <v>-125.60406</v>
      </c>
      <c r="T26" s="21"/>
      <c r="U26" s="21">
        <f t="shared" si="4"/>
        <v>-333.78644400000002</v>
      </c>
      <c r="V26" s="21">
        <f t="shared" si="0"/>
        <v>1</v>
      </c>
      <c r="W26" s="21">
        <f>ROUND(1.08*V26*'[1]Design conditions'!$C$7,2)</f>
        <v>-77.44</v>
      </c>
      <c r="X26" s="21">
        <f>0.68*V26*'[1]Design conditions'!$G$7</f>
        <v>-20.563200000000002</v>
      </c>
      <c r="Y26" s="21">
        <f t="shared" si="1"/>
        <v>-98.003199999999993</v>
      </c>
      <c r="Z26" s="21">
        <f>20%</f>
        <v>0.2</v>
      </c>
      <c r="AA26" s="21">
        <f>(U26+W26)*(1+Z26)</f>
        <v>-493.47173279999998</v>
      </c>
      <c r="AB26" s="21">
        <f>X26*(1+Z26)</f>
        <v>-24.675840000000001</v>
      </c>
      <c r="AC26" s="21">
        <f>AA26+AB26</f>
        <v>-518.14757280000003</v>
      </c>
      <c r="AD26" s="22">
        <f t="shared" si="2"/>
        <v>24</v>
      </c>
      <c r="AE26" s="23">
        <f>ROUND(7.5*E26,0)</f>
        <v>0</v>
      </c>
      <c r="AF26" s="21">
        <f>ROUND(1.08*AE26*'[1]Design conditions'!$C$7,2)</f>
        <v>0</v>
      </c>
      <c r="AG26" s="21">
        <f>0.68*MAX(AE26)*'[1]Design conditions'!$G$7</f>
        <v>0</v>
      </c>
      <c r="AH26" s="21">
        <f t="shared" si="5"/>
        <v>0</v>
      </c>
      <c r="AI26" s="21">
        <f>ROUND(AA26+AF26,2)</f>
        <v>-493.47</v>
      </c>
      <c r="AJ26" s="21">
        <f>ROUND(AB26+AG26,2)</f>
        <v>-24.68</v>
      </c>
      <c r="AK26" s="21">
        <f t="shared" si="6"/>
        <v>-518.15</v>
      </c>
      <c r="AL26" s="24"/>
    </row>
    <row r="27" spans="1:38" s="11" customFormat="1" ht="20.149999999999999" customHeight="1" x14ac:dyDescent="0.35">
      <c r="A27" s="29"/>
      <c r="B27" s="21" t="s">
        <v>59</v>
      </c>
      <c r="C27" s="21">
        <v>38</v>
      </c>
      <c r="D27" s="21">
        <f t="shared" si="7"/>
        <v>342</v>
      </c>
      <c r="E27" s="21">
        <v>0</v>
      </c>
      <c r="F27" s="21">
        <f>(8.9*9.2)</f>
        <v>81.88</v>
      </c>
      <c r="G27" s="21">
        <v>5.2600000000000001E-2</v>
      </c>
      <c r="H27" s="21">
        <v>0</v>
      </c>
      <c r="I27" s="21">
        <v>0</v>
      </c>
      <c r="J27" s="21"/>
      <c r="K27" s="21"/>
      <c r="L27" s="21"/>
      <c r="M27" s="21"/>
      <c r="N27" s="21">
        <f t="shared" si="10"/>
        <v>38</v>
      </c>
      <c r="O27" s="21">
        <v>4.6100000000000002E-2</v>
      </c>
      <c r="P27" s="21">
        <f>F27*G27*'[1]Design conditions'!$C$7</f>
        <v>-308.80386959999998</v>
      </c>
      <c r="Q27" s="21">
        <f>H27*I27*'[1]Design conditions'!$C$7</f>
        <v>0</v>
      </c>
      <c r="R27" s="21">
        <f>J27*K27*'[1]Design conditions'!$C$11</f>
        <v>0</v>
      </c>
      <c r="S27" s="21">
        <f>N27*O27*'[1]Design conditions'!$C$7</f>
        <v>-125.60406</v>
      </c>
      <c r="T27" s="21"/>
      <c r="U27" s="21">
        <f t="shared" si="4"/>
        <v>-434.40792959999999</v>
      </c>
      <c r="V27" s="21">
        <f t="shared" si="0"/>
        <v>1</v>
      </c>
      <c r="W27" s="21">
        <f>ROUND(1.08*V27*'[1]Design conditions'!$C$7,2)</f>
        <v>-77.44</v>
      </c>
      <c r="X27" s="21">
        <f>0.68*V27*'[1]Design conditions'!$G$7</f>
        <v>-20.563200000000002</v>
      </c>
      <c r="Y27" s="21">
        <f t="shared" si="1"/>
        <v>-98.003199999999993</v>
      </c>
      <c r="Z27" s="21">
        <f>20%</f>
        <v>0.2</v>
      </c>
      <c r="AA27" s="21">
        <f>(U27+W27)*(1+Z27)</f>
        <v>-614.21751552000001</v>
      </c>
      <c r="AB27" s="21">
        <f>X27*(1+Z27)</f>
        <v>-24.675840000000001</v>
      </c>
      <c r="AC27" s="21">
        <f>AA27+AB27</f>
        <v>-638.89335552</v>
      </c>
      <c r="AD27" s="22">
        <f t="shared" si="2"/>
        <v>30</v>
      </c>
      <c r="AE27" s="23">
        <f>ROUND(7.5*E27,0)</f>
        <v>0</v>
      </c>
      <c r="AF27" s="21">
        <f>ROUND(1.08*AE27*'[1]Design conditions'!$C$7,2)</f>
        <v>0</v>
      </c>
      <c r="AG27" s="21">
        <f>0.68*MAX(AE27)*'[1]Design conditions'!$G$7</f>
        <v>0</v>
      </c>
      <c r="AH27" s="21">
        <f t="shared" si="5"/>
        <v>0</v>
      </c>
      <c r="AI27" s="21">
        <f>ROUND(AA27+AF27,2)</f>
        <v>-614.22</v>
      </c>
      <c r="AJ27" s="21">
        <f>ROUND(AB27+AG27,2)</f>
        <v>-24.68</v>
      </c>
      <c r="AK27" s="21">
        <f t="shared" si="6"/>
        <v>-638.9</v>
      </c>
      <c r="AL27" s="24"/>
    </row>
    <row r="28" spans="1:38" s="11" customFormat="1" ht="20.149999999999999" customHeight="1" thickBot="1" x14ac:dyDescent="0.4">
      <c r="A28" s="31"/>
      <c r="B28" s="32" t="s">
        <v>60</v>
      </c>
      <c r="C28" s="32">
        <f>SUM(C3:C27)</f>
        <v>2203</v>
      </c>
      <c r="D28" s="32"/>
      <c r="E28" s="32">
        <f>SUM(E3:E27)</f>
        <v>44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>
        <f t="shared" ref="P28:AB28" si="11">SUM(P3:P27)</f>
        <v>-13119.493633199998</v>
      </c>
      <c r="Q28" s="32">
        <f t="shared" si="11"/>
        <v>-1567.6487999999999</v>
      </c>
      <c r="R28" s="32">
        <f t="shared" si="11"/>
        <v>-3917.27088</v>
      </c>
      <c r="S28" s="32">
        <f t="shared" si="11"/>
        <v>-3434.2794300000005</v>
      </c>
      <c r="T28" s="32">
        <f t="shared" si="11"/>
        <v>-2471.5679700000001</v>
      </c>
      <c r="U28" s="32">
        <f t="shared" si="11"/>
        <v>-24510.260713200005</v>
      </c>
      <c r="V28" s="32"/>
      <c r="W28" s="32">
        <f t="shared" si="11"/>
        <v>-5652.8399999999983</v>
      </c>
      <c r="X28" s="32">
        <f t="shared" si="11"/>
        <v>-1501.1136000000006</v>
      </c>
      <c r="Y28" s="32">
        <f t="shared" si="11"/>
        <v>-7153.9536000000016</v>
      </c>
      <c r="Z28" s="32"/>
      <c r="AA28" s="32">
        <f t="shared" si="11"/>
        <v>-36195.720855840002</v>
      </c>
      <c r="AB28" s="32">
        <f t="shared" si="11"/>
        <v>-1801.3363200000006</v>
      </c>
      <c r="AC28" s="32">
        <f>SUM(AC3:AC27)</f>
        <v>-37997.057175840004</v>
      </c>
      <c r="AD28" s="33">
        <f>SUM(AD3:AD27)</f>
        <v>1758</v>
      </c>
      <c r="AE28" s="7">
        <f t="shared" ref="AE28:AK28" si="12">SUM(AE3:AE27)</f>
        <v>330</v>
      </c>
      <c r="AF28" s="9">
        <f t="shared" si="12"/>
        <v>-25553.88</v>
      </c>
      <c r="AG28" s="9">
        <f t="shared" si="12"/>
        <v>-6785.8560000000016</v>
      </c>
      <c r="AH28" s="9">
        <f t="shared" si="12"/>
        <v>-30869.748</v>
      </c>
      <c r="AI28" s="9">
        <f t="shared" si="12"/>
        <v>-59072.240000000013</v>
      </c>
      <c r="AJ28" s="9">
        <f t="shared" si="12"/>
        <v>-8229.43</v>
      </c>
      <c r="AK28" s="9">
        <f t="shared" si="12"/>
        <v>-67301.669999999984</v>
      </c>
      <c r="AL28" s="24"/>
    </row>
    <row r="29" spans="1:38" s="11" customFormat="1" ht="20.149999999999999" customHeight="1" x14ac:dyDescent="0.35">
      <c r="A29" s="34"/>
      <c r="B29" s="34"/>
      <c r="C29" s="35"/>
      <c r="D29" s="34"/>
      <c r="E29" s="35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8" s="11" customFormat="1" ht="20.149999999999999" customHeight="1" x14ac:dyDescent="0.35">
      <c r="B30" s="36"/>
      <c r="C30" s="36"/>
      <c r="D30" s="36"/>
      <c r="E30" s="36"/>
    </row>
    <row r="31" spans="1:38" s="11" customFormat="1" ht="20.149999999999999" customHeight="1" x14ac:dyDescent="0.35">
      <c r="C31" s="36"/>
      <c r="E31" s="36"/>
    </row>
    <row r="32" spans="1:38" s="11" customFormat="1" ht="20.149999999999999" customHeight="1" x14ac:dyDescent="0.35">
      <c r="C32" s="36"/>
      <c r="E32" s="36"/>
    </row>
    <row r="33" spans="2:5" s="11" customFormat="1" ht="20.149999999999999" customHeight="1" x14ac:dyDescent="0.35"/>
    <row r="34" spans="2:5" s="11" customFormat="1" ht="20.149999999999999" customHeight="1" x14ac:dyDescent="0.35">
      <c r="B34" s="24"/>
      <c r="C34" s="24"/>
      <c r="D34" s="24"/>
      <c r="E34" s="24"/>
    </row>
    <row r="35" spans="2:5" s="11" customFormat="1" ht="20.149999999999999" customHeight="1" x14ac:dyDescent="0.35">
      <c r="B35" s="24"/>
      <c r="C35" s="24"/>
      <c r="D35" s="24"/>
      <c r="E35" s="24"/>
    </row>
    <row r="36" spans="2:5" s="11" customFormat="1" ht="20.149999999999999" customHeight="1" x14ac:dyDescent="0.35"/>
    <row r="37" spans="2:5" s="11" customFormat="1" ht="20.149999999999999" customHeight="1" x14ac:dyDescent="0.35"/>
    <row r="38" spans="2:5" s="11" customFormat="1" ht="20.149999999999999" customHeight="1" x14ac:dyDescent="0.35"/>
    <row r="39" spans="2:5" s="11" customFormat="1" ht="20.149999999999999" customHeight="1" x14ac:dyDescent="0.35"/>
    <row r="40" spans="2:5" s="11" customFormat="1" ht="20.149999999999999" customHeight="1" x14ac:dyDescent="0.35"/>
    <row r="41" spans="2:5" s="11" customFormat="1" ht="20.149999999999999" customHeight="1" x14ac:dyDescent="0.35">
      <c r="B41" s="36"/>
    </row>
    <row r="42" spans="2:5" s="11" customFormat="1" ht="20.149999999999999" customHeight="1" x14ac:dyDescent="0.35"/>
    <row r="43" spans="2:5" s="11" customFormat="1" ht="20.149999999999999" customHeight="1" x14ac:dyDescent="0.35"/>
    <row r="44" spans="2:5" s="11" customFormat="1" ht="20.149999999999999" customHeight="1" x14ac:dyDescent="0.35"/>
    <row r="45" spans="2:5" s="11" customFormat="1" ht="20.149999999999999" customHeight="1" x14ac:dyDescent="0.35"/>
    <row r="46" spans="2:5" s="11" customFormat="1" ht="20.149999999999999" customHeight="1" x14ac:dyDescent="0.35"/>
    <row r="47" spans="2:5" s="11" customFormat="1" ht="20.149999999999999" customHeight="1" x14ac:dyDescent="0.35"/>
    <row r="48" spans="2:5" s="11" customFormat="1" ht="20.149999999999999" customHeight="1" x14ac:dyDescent="0.35"/>
    <row r="49" s="11" customFormat="1" ht="20.149999999999999" customHeight="1" x14ac:dyDescent="0.35"/>
    <row r="50" s="11" customFormat="1" ht="20.149999999999999" customHeight="1" x14ac:dyDescent="0.35"/>
    <row r="51" s="11" customFormat="1" ht="20.149999999999999" customHeight="1" x14ac:dyDescent="0.35"/>
    <row r="52" s="11" customFormat="1" ht="20.149999999999999" customHeight="1" x14ac:dyDescent="0.35"/>
    <row r="53" s="11" customFormat="1" ht="20.149999999999999" customHeight="1" x14ac:dyDescent="0.35"/>
    <row r="54" s="11" customFormat="1" ht="20.149999999999999" customHeight="1" x14ac:dyDescent="0.35"/>
    <row r="55" s="11" customFormat="1" ht="20.149999999999999" customHeight="1" x14ac:dyDescent="0.35"/>
    <row r="56" s="11" customFormat="1" ht="20.149999999999999" customHeight="1" x14ac:dyDescent="0.35"/>
    <row r="57" s="11" customFormat="1" ht="20.149999999999999" customHeight="1" x14ac:dyDescent="0.35"/>
    <row r="58" s="11" customFormat="1" ht="20.149999999999999" customHeight="1" x14ac:dyDescent="0.35"/>
    <row r="59" s="11" customFormat="1" ht="20.149999999999999" customHeight="1" x14ac:dyDescent="0.35"/>
    <row r="60" s="11" customFormat="1" ht="20.149999999999999" customHeight="1" x14ac:dyDescent="0.35"/>
    <row r="61" s="11" customFormat="1" ht="20.149999999999999" customHeight="1" x14ac:dyDescent="0.35"/>
  </sheetData>
  <mergeCells count="17">
    <mergeCell ref="A18:A27"/>
    <mergeCell ref="B21:B22"/>
    <mergeCell ref="B23:B24"/>
    <mergeCell ref="J1:K1"/>
    <mergeCell ref="L1:M1"/>
    <mergeCell ref="N1:O1"/>
    <mergeCell ref="W1:Y1"/>
    <mergeCell ref="AF1:AH1"/>
    <mergeCell ref="A3:A16"/>
    <mergeCell ref="B6:B7"/>
    <mergeCell ref="B10:B11"/>
    <mergeCell ref="A1:A2"/>
    <mergeCell ref="B1:B2"/>
    <mergeCell ref="C1:C2"/>
    <mergeCell ref="D1:D2"/>
    <mergeCell ref="F1:G1"/>
    <mergeCell ref="H1:I1"/>
  </mergeCells>
  <pageMargins left="0.7" right="0.7" top="0.75" bottom="0.75" header="0.3" footer="0.3"/>
  <pageSetup scale="20" orientation="landscape" r:id="rId1"/>
  <headerFooter>
    <oddHeader>&amp;CThe Downtowner
Heat loss calculations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Heat loss _The Downtowner</vt:lpstr>
      <vt:lpstr>'Heat loss _The Downtowner'!Print_Area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shreenidhi</dc:creator>
  <cp:lastModifiedBy>shreenidhi</cp:lastModifiedBy>
  <dcterms:created xsi:type="dcterms:W3CDTF">2017-05-03T14:58:46Z</dcterms:created>
  <dcterms:modified xsi:type="dcterms:W3CDTF">2017-05-03T14:59:24Z</dcterms:modified>
</cp:coreProperties>
</file>