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Graduate Students\Hawkins\tractor cost\"/>
    </mc:Choice>
  </mc:AlternateContent>
  <bookViews>
    <workbookView xWindow="0" yWindow="0" windowWidth="15195" windowHeight="7815" activeTab="1"/>
  </bookViews>
  <sheets>
    <sheet name="Engl Units (hp, gal)" sheetId="4" r:id="rId1"/>
    <sheet name="SI Units (kW,l)" sheetId="3" r:id="rId2"/>
  </sheets>
  <definedNames>
    <definedName name="Abbrev." localSheetId="0">'Engl Units (hp, gal)'!$B$1:$XFD$1</definedName>
    <definedName name="Abbrev.">'SI Units (kW,l)'!$B$1:$IV$1</definedName>
    <definedName name="AC" localSheetId="0">'Engl Units (hp, gal)'!$B$34:$XFD$34</definedName>
    <definedName name="AC">'SI Units (kW,l)'!$B$34:$IV$34</definedName>
    <definedName name="Afc" localSheetId="0">'Engl Units (hp, gal)'!$B$13:$XFD$13</definedName>
    <definedName name="Afc">'SI Units (kW,l)'!$B$13:$IV$13</definedName>
    <definedName name="Articulated" localSheetId="0">'Engl Units (hp, gal)'!$B$66:$XFD$66</definedName>
    <definedName name="Articulated">'SI Units (kW,l)'!$B$66:$IV$66</definedName>
    <definedName name="Ctt" localSheetId="0">'Engl Units (hp, gal)'!$B$4:$XFD$4</definedName>
    <definedName name="Ctt">'SI Units (kW,l)'!$B$4:$IV$4</definedName>
    <definedName name="D" localSheetId="0">'Engl Units (hp, gal)'!$B$26:$XFD$26</definedName>
    <definedName name="D">'SI Units (kW,l)'!$B$26:$IV$26</definedName>
    <definedName name="DC" localSheetId="0">'Engl Units (hp, gal)'!$B$30:$XFD$30</definedName>
    <definedName name="DC">'SI Units (kW,l)'!$B$30:$IV$30</definedName>
    <definedName name="Epto" localSheetId="0">'Engl Units (hp, gal)'!$B$14:$XFD$14</definedName>
    <definedName name="Epto">'SI Units (kW,l)'!$B$14:$IV$14</definedName>
    <definedName name="F" localSheetId="0">'Engl Units (hp, gal)'!$B$24:$XFD$24</definedName>
    <definedName name="F">'SI Units (kW,l)'!$B$24:$IV$24</definedName>
    <definedName name="FC" localSheetId="0">'Engl Units (hp, gal)'!$B$27:$XFD$27</definedName>
    <definedName name="FC">'SI Units (kW,l)'!$B$27:$IV$27</definedName>
    <definedName name="Fixed_Frame" localSheetId="0">'Engl Units (hp, gal)'!$B$65:$XFD$65</definedName>
    <definedName name="Fixed_Frame">'SI Units (kW,l)'!$B$65:$IV$65</definedName>
    <definedName name="FLC" localSheetId="0">'Engl Units (hp, gal)'!$B$35:$XFD$35</definedName>
    <definedName name="FLC">'SI Units (kW,l)'!$B$35:$IV$35</definedName>
    <definedName name="H" localSheetId="0">'Engl Units (hp, gal)'!$B$6:$XFD$6</definedName>
    <definedName name="H">'SI Units (kW,l)'!$B$6:$IV$6</definedName>
    <definedName name="HCnf" localSheetId="0">'Engl Units (hp, gal)'!$B$37:$XFD$37</definedName>
    <definedName name="HCnf">'SI Units (kW,l)'!$B$37:$IV$37</definedName>
    <definedName name="HCtot" localSheetId="0">'Engl Units (hp, gal)'!$B$36:$XFD$36</definedName>
    <definedName name="HCtot">'SI Units (kW,l)'!$B$36:$IV$36</definedName>
    <definedName name="i" localSheetId="0">'Engl Units (hp, gal)'!$B$7:$XFD$7</definedName>
    <definedName name="i">'SI Units (kW,l)'!$B$7:$IV$7</definedName>
    <definedName name="Inputs" localSheetId="0">'Engl Units (hp, gal)'!$B$2:$XFD$2</definedName>
    <definedName name="Inputs">'SI Units (kW,l)'!$B$2:$IV$2</definedName>
    <definedName name="Intermediate" localSheetId="0">'Engl Units (hp, gal)'!$B$16:$XFD$16</definedName>
    <definedName name="Intermediate">'SI Units (kW,l)'!$B$16:$IV$16</definedName>
    <definedName name="L" localSheetId="0">'Engl Units (hp, gal)'!$B$25:$XFD$25</definedName>
    <definedName name="L">'SI Units (kW,l)'!$B$25:$IV$25</definedName>
    <definedName name="LC" localSheetId="0">'Engl Units (hp, gal)'!$B$29:$XFD$29</definedName>
    <definedName name="LC">'SI Units (kW,l)'!$B$29:$IV$29</definedName>
    <definedName name="Ny" localSheetId="0">'Engl Units (hp, gal)'!$B$5:$XFD$5</definedName>
    <definedName name="Ny">'SI Units (kW,l)'!$B$5:$IV$5</definedName>
    <definedName name="Output" localSheetId="0">'Engl Units (hp, gal)'!$B$33:$XFD$33</definedName>
    <definedName name="Output">'SI Units (kW,l)'!$B$33:$IV$33</definedName>
    <definedName name="P" localSheetId="0">'Engl Units (hp, gal)'!$B$17:$XFD$17</definedName>
    <definedName name="P">'SI Units (kW,l)'!$B$17:$IV$17</definedName>
    <definedName name="Pd" localSheetId="0">'Engl Units (hp, gal)'!$B$9:$XFD$9</definedName>
    <definedName name="Pd">'SI Units (kW,l)'!$B$9:$IV$9</definedName>
    <definedName name="Pf" localSheetId="0">'Engl Units (hp, gal)'!$B$8:$XFD$8</definedName>
    <definedName name="Pf">'SI Units (kW,l)'!$B$8:$IV$8</definedName>
    <definedName name="Php">'Engl Units (hp, gal)'!$B$3:$XFD$3</definedName>
    <definedName name="Phppto">'Engl Units (hp, gal)'!$B$18:$XFD$18</definedName>
    <definedName name="Pkw" localSheetId="0">'Engl Units (hp, gal)'!$B$3:$IV$3</definedName>
    <definedName name="Pkw">'SI Units (kW,l)'!$B$3:$IV$3</definedName>
    <definedName name="PkWpto" localSheetId="0">'Engl Units (hp, gal)'!$B$18:$IV$18</definedName>
    <definedName name="PkWpto">'SI Units (kW,l)'!$B$18:$IV$18</definedName>
    <definedName name="PL" localSheetId="0">'Engl Units (hp, gal)'!$B$28:$XFD$28</definedName>
    <definedName name="PL">'SI Units (kW,l)'!$B$28:$IV$28</definedName>
    <definedName name="Pp" localSheetId="0">'Engl Units (hp, gal)'!$B$11:$XFD$11</definedName>
    <definedName name="Pp">'SI Units (kW,l)'!$B$11:$IV$11</definedName>
    <definedName name="PTM" localSheetId="0">'Engl Units (hp, gal)'!$B$23:$XFD$23</definedName>
    <definedName name="PTM">'SI Units (kW,l)'!$B$23:$IV$23</definedName>
    <definedName name="PV" localSheetId="0">'Engl Units (hp, gal)'!$B$21:$XFD$21</definedName>
    <definedName name="PV">'SI Units (kW,l)'!$B$21:$IV$21</definedName>
    <definedName name="RM" localSheetId="0">'Engl Units (hp, gal)'!$B$22:$XFD$22</definedName>
    <definedName name="RM">'SI Units (kW,l)'!$B$22:$IV$22</definedName>
    <definedName name="RV" localSheetId="0">'Engl Units (hp, gal)'!$B$19:$XFD$19</definedName>
    <definedName name="RV">'SI Units (kW,l)'!$B$19:$IV$19</definedName>
    <definedName name="SCnf" localSheetId="0">'Engl Units (hp, gal)'!$B$39:$XFD$39</definedName>
    <definedName name="SCnf">'SI Units (kW,l)'!$B$39:$IV$39</definedName>
    <definedName name="SCtot" localSheetId="0">'Engl Units (hp, gal)'!$B$38:$XFD$38</definedName>
    <definedName name="SCtot">'SI Units (kW,l)'!$B$38:$IV$38</definedName>
    <definedName name="solver_adj" localSheetId="0" hidden="1">'Engl Units (hp, gal)'!$B$113:$B$117</definedName>
    <definedName name="solver_adj" localSheetId="1" hidden="1">'SI Units (kW,l)'!$B$113:$B$117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st" localSheetId="0" hidden="1">2</definedName>
    <definedName name="solver_est" localSheetId="1" hidden="1">2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'Engl Units (hp, gal)'!$B$119</definedName>
    <definedName name="solver_opt" localSheetId="1" hidden="1">'SI Units (kW,l)'!$B$119</definedName>
    <definedName name="solver_pre" localSheetId="0" hidden="1">0.000001</definedName>
    <definedName name="solver_pre" localSheetId="1" hidden="1">0.000001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0.02</definedName>
    <definedName name="solver_tol" localSheetId="1" hidden="1">0.02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p" localSheetId="0">'Engl Units (hp, gal)'!$B$12:$XFD$12</definedName>
    <definedName name="Sp">'SI Units (kW,l)'!$B$12:$IV$12</definedName>
    <definedName name="SV" localSheetId="0">'Engl Units (hp, gal)'!$B$20:$XFD$20</definedName>
    <definedName name="SV">'SI Units (kW,l)'!$B$20:$IV$20</definedName>
    <definedName name="TIH" localSheetId="0">'Engl Units (hp, gal)'!$B$10:$XFD$10</definedName>
    <definedName name="TIH">'SI Units (kW,l)'!$B$10:$IV$10</definedName>
    <definedName name="TIHa" localSheetId="0">'Engl Units (hp, gal)'!$B$31:$XFD$31</definedName>
    <definedName name="TIHa">'SI Units (kW,l)'!$B$31:$IV$31</definedName>
    <definedName name="Track" localSheetId="0">'Engl Units (hp, gal)'!$B$67:$XFD$67</definedName>
    <definedName name="Track">'SI Units (kW,l)'!$B$67:$IV$67</definedName>
  </definedNames>
  <calcPr calcId="152511"/>
</workbook>
</file>

<file path=xl/calcChain.xml><?xml version="1.0" encoding="utf-8"?>
<calcChain xmlns="http://schemas.openxmlformats.org/spreadsheetml/2006/main">
  <c r="D17" i="4" l="1"/>
  <c r="C17" i="4"/>
  <c r="C24" i="4" l="1"/>
  <c r="D18" i="4"/>
  <c r="D25" i="4" s="1"/>
  <c r="C18" i="4"/>
  <c r="C25" i="4" s="1"/>
  <c r="C48" i="4"/>
  <c r="D63" i="4"/>
  <c r="F63" i="4" s="1"/>
  <c r="H63" i="4" s="1"/>
  <c r="C63" i="4"/>
  <c r="E63" i="4" s="1"/>
  <c r="G63" i="4" s="1"/>
  <c r="D62" i="4"/>
  <c r="F62" i="4" s="1"/>
  <c r="H62" i="4" s="1"/>
  <c r="C62" i="4"/>
  <c r="E62" i="4" s="1"/>
  <c r="G62" i="4" s="1"/>
  <c r="D61" i="4"/>
  <c r="F61" i="4" s="1"/>
  <c r="H61" i="4" s="1"/>
  <c r="C61" i="4"/>
  <c r="E61" i="4" s="1"/>
  <c r="G61" i="4" s="1"/>
  <c r="D60" i="4"/>
  <c r="F60" i="4" s="1"/>
  <c r="H60" i="4" s="1"/>
  <c r="C60" i="4"/>
  <c r="E60" i="4" s="1"/>
  <c r="G60" i="4" s="1"/>
  <c r="D59" i="4"/>
  <c r="F59" i="4" s="1"/>
  <c r="H59" i="4" s="1"/>
  <c r="C59" i="4"/>
  <c r="E59" i="4" s="1"/>
  <c r="G59" i="4" s="1"/>
  <c r="D58" i="4"/>
  <c r="F58" i="4" s="1"/>
  <c r="H58" i="4" s="1"/>
  <c r="C58" i="4"/>
  <c r="E58" i="4" s="1"/>
  <c r="G58" i="4" s="1"/>
  <c r="D57" i="4"/>
  <c r="F57" i="4" s="1"/>
  <c r="H57" i="4" s="1"/>
  <c r="C57" i="4"/>
  <c r="E57" i="4" s="1"/>
  <c r="G57" i="4" s="1"/>
  <c r="D56" i="4"/>
  <c r="F56" i="4" s="1"/>
  <c r="H56" i="4" s="1"/>
  <c r="C56" i="4"/>
  <c r="E56" i="4" s="1"/>
  <c r="G56" i="4" s="1"/>
  <c r="D55" i="4"/>
  <c r="F55" i="4" s="1"/>
  <c r="H55" i="4" s="1"/>
  <c r="C55" i="4"/>
  <c r="E55" i="4" s="1"/>
  <c r="G55" i="4" s="1"/>
  <c r="D54" i="4"/>
  <c r="F54" i="4" s="1"/>
  <c r="H54" i="4" s="1"/>
  <c r="C54" i="4"/>
  <c r="E54" i="4" s="1"/>
  <c r="G54" i="4" s="1"/>
  <c r="D53" i="4"/>
  <c r="F53" i="4" s="1"/>
  <c r="H53" i="4" s="1"/>
  <c r="C53" i="4"/>
  <c r="E53" i="4" s="1"/>
  <c r="G53" i="4" s="1"/>
  <c r="D52" i="4"/>
  <c r="F52" i="4" s="1"/>
  <c r="H52" i="4" s="1"/>
  <c r="C52" i="4"/>
  <c r="E52" i="4" s="1"/>
  <c r="G52" i="4" s="1"/>
  <c r="D51" i="4"/>
  <c r="F51" i="4" s="1"/>
  <c r="H51" i="4" s="1"/>
  <c r="C51" i="4"/>
  <c r="E51" i="4" s="1"/>
  <c r="G51" i="4" s="1"/>
  <c r="D50" i="4"/>
  <c r="F50" i="4" s="1"/>
  <c r="H50" i="4" s="1"/>
  <c r="C50" i="4"/>
  <c r="E50" i="4" s="1"/>
  <c r="G50" i="4" s="1"/>
  <c r="D49" i="4"/>
  <c r="F49" i="4" s="1"/>
  <c r="H49" i="4" s="1"/>
  <c r="C49" i="4"/>
  <c r="E49" i="4" s="1"/>
  <c r="G49" i="4" s="1"/>
  <c r="D28" i="4"/>
  <c r="C28" i="4"/>
  <c r="D23" i="4"/>
  <c r="C23" i="4"/>
  <c r="D48" i="4"/>
  <c r="D24" i="4" l="1"/>
  <c r="D26" i="4" s="1"/>
  <c r="D30" i="4" s="1"/>
  <c r="C19" i="4"/>
  <c r="C20" i="4" s="1"/>
  <c r="C21" i="4" s="1"/>
  <c r="D19" i="4"/>
  <c r="D20" i="4" s="1"/>
  <c r="D21" i="4" s="1"/>
  <c r="C26" i="4"/>
  <c r="C30" i="4" s="1"/>
  <c r="C27" i="4"/>
  <c r="C29" i="4"/>
  <c r="C31" i="4"/>
  <c r="C45" i="4"/>
  <c r="C47" i="4"/>
  <c r="D29" i="4"/>
  <c r="D31" i="4"/>
  <c r="D45" i="4"/>
  <c r="D47" i="4"/>
  <c r="C44" i="4"/>
  <c r="E44" i="4" s="1"/>
  <c r="G44" i="4" s="1"/>
  <c r="C46" i="4"/>
  <c r="D44" i="4"/>
  <c r="F44" i="4" s="1"/>
  <c r="H44" i="4" s="1"/>
  <c r="D46" i="4"/>
  <c r="D63" i="3"/>
  <c r="F63" i="3" s="1"/>
  <c r="H63" i="3" s="1"/>
  <c r="C63" i="3"/>
  <c r="E63" i="3" s="1"/>
  <c r="G63" i="3" s="1"/>
  <c r="D62" i="3"/>
  <c r="F62" i="3" s="1"/>
  <c r="H62" i="3" s="1"/>
  <c r="C62" i="3"/>
  <c r="E62" i="3" s="1"/>
  <c r="G62" i="3" s="1"/>
  <c r="D61" i="3"/>
  <c r="F61" i="3" s="1"/>
  <c r="H61" i="3" s="1"/>
  <c r="C61" i="3"/>
  <c r="E61" i="3" s="1"/>
  <c r="G61" i="3" s="1"/>
  <c r="D60" i="3"/>
  <c r="F60" i="3" s="1"/>
  <c r="H60" i="3" s="1"/>
  <c r="C60" i="3"/>
  <c r="E60" i="3" s="1"/>
  <c r="G60" i="3" s="1"/>
  <c r="D59" i="3"/>
  <c r="F59" i="3" s="1"/>
  <c r="H59" i="3" s="1"/>
  <c r="C59" i="3"/>
  <c r="E59" i="3" s="1"/>
  <c r="G59" i="3" s="1"/>
  <c r="D58" i="3"/>
  <c r="F58" i="3" s="1"/>
  <c r="H58" i="3" s="1"/>
  <c r="C58" i="3"/>
  <c r="E58" i="3" s="1"/>
  <c r="G58" i="3" s="1"/>
  <c r="D57" i="3"/>
  <c r="F57" i="3" s="1"/>
  <c r="H57" i="3" s="1"/>
  <c r="C57" i="3"/>
  <c r="E57" i="3" s="1"/>
  <c r="G57" i="3" s="1"/>
  <c r="D56" i="3"/>
  <c r="F56" i="3" s="1"/>
  <c r="H56" i="3" s="1"/>
  <c r="C56" i="3"/>
  <c r="E56" i="3" s="1"/>
  <c r="G56" i="3" s="1"/>
  <c r="D55" i="3"/>
  <c r="F55" i="3" s="1"/>
  <c r="H55" i="3" s="1"/>
  <c r="C55" i="3"/>
  <c r="E55" i="3" s="1"/>
  <c r="G55" i="3" s="1"/>
  <c r="D54" i="3"/>
  <c r="F54" i="3" s="1"/>
  <c r="H54" i="3" s="1"/>
  <c r="C54" i="3"/>
  <c r="E54" i="3" s="1"/>
  <c r="G54" i="3" s="1"/>
  <c r="D53" i="3"/>
  <c r="F53" i="3" s="1"/>
  <c r="H53" i="3" s="1"/>
  <c r="C53" i="3"/>
  <c r="E53" i="3" s="1"/>
  <c r="G53" i="3" s="1"/>
  <c r="D52" i="3"/>
  <c r="F52" i="3" s="1"/>
  <c r="H52" i="3" s="1"/>
  <c r="C52" i="3"/>
  <c r="E52" i="3" s="1"/>
  <c r="G52" i="3" s="1"/>
  <c r="D51" i="3"/>
  <c r="F51" i="3" s="1"/>
  <c r="H51" i="3" s="1"/>
  <c r="C51" i="3"/>
  <c r="E51" i="3" s="1"/>
  <c r="G51" i="3" s="1"/>
  <c r="D50" i="3"/>
  <c r="F50" i="3" s="1"/>
  <c r="H50" i="3" s="1"/>
  <c r="C50" i="3"/>
  <c r="E50" i="3" s="1"/>
  <c r="G50" i="3" s="1"/>
  <c r="D49" i="3"/>
  <c r="F49" i="3" s="1"/>
  <c r="H49" i="3" s="1"/>
  <c r="C49" i="3"/>
  <c r="E49" i="3" s="1"/>
  <c r="G49" i="3" s="1"/>
  <c r="D28" i="3"/>
  <c r="C28" i="3"/>
  <c r="D23" i="3"/>
  <c r="C23" i="3"/>
  <c r="D18" i="3"/>
  <c r="D25" i="3" s="1"/>
  <c r="D29" i="3" s="1"/>
  <c r="C18" i="3"/>
  <c r="C24" i="3" s="1"/>
  <c r="D17" i="3"/>
  <c r="D45" i="3" s="1"/>
  <c r="C17" i="3"/>
  <c r="C48" i="3" s="1"/>
  <c r="F46" i="4" l="1"/>
  <c r="H46" i="4" s="1"/>
  <c r="D27" i="4"/>
  <c r="D35" i="4" s="1"/>
  <c r="E46" i="4"/>
  <c r="G46" i="4" s="1"/>
  <c r="C35" i="4"/>
  <c r="F47" i="4"/>
  <c r="H47" i="4" s="1"/>
  <c r="E47" i="4"/>
  <c r="G47" i="4" s="1"/>
  <c r="F48" i="4"/>
  <c r="H48" i="4" s="1"/>
  <c r="F45" i="4"/>
  <c r="H45" i="4" s="1"/>
  <c r="E45" i="4"/>
  <c r="G45" i="4" s="1"/>
  <c r="E48" i="4"/>
  <c r="G48" i="4" s="1"/>
  <c r="D47" i="3"/>
  <c r="D46" i="3"/>
  <c r="F46" i="3" s="1"/>
  <c r="H46" i="3" s="1"/>
  <c r="D44" i="3"/>
  <c r="F44" i="3" s="1"/>
  <c r="H44" i="3" s="1"/>
  <c r="D48" i="3"/>
  <c r="D31" i="3"/>
  <c r="C26" i="3"/>
  <c r="C30" i="3" s="1"/>
  <c r="C27" i="3"/>
  <c r="D24" i="3"/>
  <c r="C19" i="3"/>
  <c r="C20" i="3" s="1"/>
  <c r="C21" i="3" s="1"/>
  <c r="C25" i="3"/>
  <c r="C29" i="3" s="1"/>
  <c r="C31" i="3"/>
  <c r="C45" i="3"/>
  <c r="C47" i="3"/>
  <c r="E48" i="3" s="1"/>
  <c r="G48" i="3" s="1"/>
  <c r="D19" i="3"/>
  <c r="D20" i="3" s="1"/>
  <c r="D21" i="3" s="1"/>
  <c r="C44" i="3"/>
  <c r="E44" i="3" s="1"/>
  <c r="G44" i="3" s="1"/>
  <c r="C46" i="3"/>
  <c r="E46" i="3" s="1"/>
  <c r="G46" i="3" s="1"/>
  <c r="G64" i="4" l="1"/>
  <c r="C22" i="4" s="1"/>
  <c r="C34" i="4" s="1"/>
  <c r="C36" i="4" s="1"/>
  <c r="C38" i="4" s="1"/>
  <c r="H64" i="4"/>
  <c r="D22" i="4" s="1"/>
  <c r="D34" i="4" s="1"/>
  <c r="D36" i="4" s="1"/>
  <c r="D38" i="4" s="1"/>
  <c r="E45" i="3"/>
  <c r="G45" i="3" s="1"/>
  <c r="F47" i="3"/>
  <c r="H47" i="3" s="1"/>
  <c r="F48" i="3"/>
  <c r="H48" i="3" s="1"/>
  <c r="F45" i="3"/>
  <c r="H45" i="3" s="1"/>
  <c r="D27" i="3"/>
  <c r="D26" i="3"/>
  <c r="D30" i="3" s="1"/>
  <c r="E47" i="3"/>
  <c r="G47" i="3" s="1"/>
  <c r="G64" i="3" s="1"/>
  <c r="C22" i="3" s="1"/>
  <c r="C34" i="3" s="1"/>
  <c r="C35" i="3"/>
  <c r="C37" i="4" l="1"/>
  <c r="C39" i="4" s="1"/>
  <c r="D37" i="4"/>
  <c r="D39" i="4" s="1"/>
  <c r="H64" i="3"/>
  <c r="D22" i="3" s="1"/>
  <c r="D34" i="3" s="1"/>
  <c r="D37" i="3" s="1"/>
  <c r="D39" i="3" s="1"/>
  <c r="D35" i="3"/>
  <c r="C36" i="3"/>
  <c r="C38" i="3" s="1"/>
  <c r="C37" i="3"/>
  <c r="C39" i="3" s="1"/>
  <c r="D36" i="3" l="1"/>
  <c r="D38" i="3" s="1"/>
</calcChain>
</file>

<file path=xl/comments1.xml><?xml version="1.0" encoding="utf-8"?>
<comments xmlns="http://schemas.openxmlformats.org/spreadsheetml/2006/main">
  <authors>
    <author>Dennis Buckmaster</author>
    <author>Buckmaster, Dennis</author>
  </authors>
  <commentList>
    <comment ref="F1" authorId="0" shapeId="0">
      <text>
        <r>
          <rPr>
            <b/>
            <sz val="12"/>
            <color indexed="81"/>
            <rFont val="Tahoma"/>
            <family val="2"/>
          </rPr>
          <t xml:space="preserve">Based on:
Hawkins, E.M. and D.R. Buckmaster. 2015. Benchmarking costs of fixed-frame, articulated, and tracked tractors. Applied Engineering in Agriculture V(n):p-p.
</t>
        </r>
      </text>
    </comment>
    <comment ref="C3" authorId="1" shapeId="0">
      <text>
        <r>
          <rPr>
            <b/>
            <sz val="9"/>
            <color indexed="81"/>
            <rFont val="Tahoma"/>
            <family val="2"/>
          </rPr>
          <t>Rated PTO power for fixed frame tractors.
Rated engine power for articulated and tracked tractors.</t>
        </r>
      </text>
    </comment>
    <comment ref="D3" authorId="1" shapeId="0">
      <text>
        <r>
          <rPr>
            <b/>
            <sz val="9"/>
            <color indexed="81"/>
            <rFont val="Tahoma"/>
            <family val="2"/>
          </rPr>
          <t>Rated PTO power for fixed frame tractors.
Rated engine power for articulated and tracked tractors.</t>
        </r>
      </text>
    </comment>
    <comment ref="C17" authorId="1" shapeId="0">
      <text>
        <r>
          <rPr>
            <b/>
            <sz val="9"/>
            <color indexed="81"/>
            <rFont val="Tahoma"/>
            <family val="2"/>
          </rPr>
          <t>Override the function by entering a price if you have it.</t>
        </r>
      </text>
    </comment>
    <comment ref="D17" authorId="1" shapeId="0">
      <text>
        <r>
          <rPr>
            <b/>
            <sz val="9"/>
            <color indexed="81"/>
            <rFont val="Tahoma"/>
            <family val="2"/>
          </rPr>
          <t>Override the function by entering a price if you have it.</t>
        </r>
      </text>
    </comment>
  </commentList>
</comments>
</file>

<file path=xl/comments2.xml><?xml version="1.0" encoding="utf-8"?>
<comments xmlns="http://schemas.openxmlformats.org/spreadsheetml/2006/main">
  <authors>
    <author>Dennis Buckmaster</author>
    <author>Buckmaster, Dennis</author>
  </authors>
  <commentList>
    <comment ref="F1" authorId="0" shapeId="0">
      <text>
        <r>
          <rPr>
            <b/>
            <sz val="12"/>
            <color indexed="81"/>
            <rFont val="Tahoma"/>
            <family val="2"/>
          </rPr>
          <t xml:space="preserve">Based on:
Hawkins, E.M. and D.R. Buckmaster. 2015. Benchmarking costs of fixed-frame, articulated, and tracked tractors. Applied Engineering in Agriculture V(n):p-p.
</t>
        </r>
      </text>
    </comment>
    <comment ref="C3" authorId="1" shapeId="0">
      <text>
        <r>
          <rPr>
            <b/>
            <sz val="9"/>
            <color indexed="81"/>
            <rFont val="Tahoma"/>
            <family val="2"/>
          </rPr>
          <t>Rated PTO power for fixed frame tractors.
Rated engine power for articulated and tracked tractors.</t>
        </r>
      </text>
    </comment>
    <comment ref="D3" authorId="1" shapeId="0">
      <text>
        <r>
          <rPr>
            <b/>
            <sz val="9"/>
            <color indexed="81"/>
            <rFont val="Tahoma"/>
            <family val="2"/>
          </rPr>
          <t>Rated PTO power for fixed frame tractors.
Rated engine power for articulated and tracked tractors.</t>
        </r>
      </text>
    </comment>
    <comment ref="C17" authorId="1" shapeId="0">
      <text>
        <r>
          <rPr>
            <b/>
            <sz val="9"/>
            <color indexed="81"/>
            <rFont val="Tahoma"/>
            <family val="2"/>
          </rPr>
          <t>Override the function by entering a price if you have it.</t>
        </r>
      </text>
    </comment>
    <comment ref="D17" authorId="1" shapeId="0">
      <text>
        <r>
          <rPr>
            <b/>
            <sz val="9"/>
            <color indexed="81"/>
            <rFont val="Tahoma"/>
            <family val="2"/>
          </rPr>
          <t>Override the function by entering a price if you have it.</t>
        </r>
      </text>
    </comment>
  </commentList>
</comments>
</file>

<file path=xl/sharedStrings.xml><?xml version="1.0" encoding="utf-8"?>
<sst xmlns="http://schemas.openxmlformats.org/spreadsheetml/2006/main" count="310" uniqueCount="137">
  <si>
    <t>Inputs</t>
  </si>
  <si>
    <t>tractor power</t>
  </si>
  <si>
    <t>Ny</t>
  </si>
  <si>
    <t>length of time to keep the tractor</t>
  </si>
  <si>
    <t>years</t>
  </si>
  <si>
    <t>H</t>
  </si>
  <si>
    <t>use of tractor each year</t>
  </si>
  <si>
    <t>hours</t>
  </si>
  <si>
    <t>i</t>
  </si>
  <si>
    <t>interest or discount rate</t>
  </si>
  <si>
    <t>decimal/y</t>
  </si>
  <si>
    <t>price of fuel</t>
  </si>
  <si>
    <t>TIH</t>
  </si>
  <si>
    <t>taxes, insurance, and housing</t>
  </si>
  <si>
    <t>Intermediate</t>
  </si>
  <si>
    <t>P</t>
  </si>
  <si>
    <t>list purchase price of tractor</t>
  </si>
  <si>
    <t>$</t>
  </si>
  <si>
    <t>RV</t>
  </si>
  <si>
    <t>remaining value of tractor at end of period</t>
  </si>
  <si>
    <t>%</t>
  </si>
  <si>
    <t>SV</t>
  </si>
  <si>
    <t>salvage value in Ny years</t>
  </si>
  <si>
    <t>RV/100*P</t>
  </si>
  <si>
    <t>PV</t>
  </si>
  <si>
    <t>present value of price less SV</t>
  </si>
  <si>
    <t>$, today</t>
  </si>
  <si>
    <t>RM</t>
  </si>
  <si>
    <t>repair &amp; maintenance cost</t>
  </si>
  <si>
    <t>F</t>
  </si>
  <si>
    <t>average fuel consumption</t>
  </si>
  <si>
    <t>L</t>
  </si>
  <si>
    <t>lubrication consumption</t>
  </si>
  <si>
    <t>FC</t>
  </si>
  <si>
    <t>fuel cost</t>
  </si>
  <si>
    <t>$/y</t>
  </si>
  <si>
    <t>PL</t>
  </si>
  <si>
    <t>price of lubricant</t>
  </si>
  <si>
    <t>LC</t>
  </si>
  <si>
    <t>lubricant cost</t>
  </si>
  <si>
    <t>L*H*PL</t>
  </si>
  <si>
    <t>Output</t>
  </si>
  <si>
    <t>AC</t>
  </si>
  <si>
    <t>FLC</t>
  </si>
  <si>
    <t>FC+LC</t>
  </si>
  <si>
    <t>HCtot</t>
  </si>
  <si>
    <t>hourly cost for the tractor</t>
  </si>
  <si>
    <t>$/hour</t>
  </si>
  <si>
    <t>(AC+FLC)/H</t>
  </si>
  <si>
    <t>HCnf</t>
  </si>
  <si>
    <t>hourly cost for the tractor, no fuel &amp; lube</t>
  </si>
  <si>
    <t>AC/H</t>
  </si>
  <si>
    <t>SCtot</t>
  </si>
  <si>
    <t>SCnf</t>
  </si>
  <si>
    <t>R&amp;M Table</t>
  </si>
  <si>
    <t>Year</t>
  </si>
  <si>
    <t>Cumulative R&amp;M</t>
  </si>
  <si>
    <t>R&amp;M for</t>
  </si>
  <si>
    <t>the year</t>
  </si>
  <si>
    <t>R&amp;M</t>
  </si>
  <si>
    <t>todays $</t>
  </si>
  <si>
    <t>SUM:</t>
  </si>
  <si>
    <t>Abbrev.</t>
  </si>
  <si>
    <t>Detailed description</t>
  </si>
  <si>
    <t>Scenario 1</t>
  </si>
  <si>
    <t>Scenario 2</t>
  </si>
  <si>
    <t>Units</t>
  </si>
  <si>
    <t>Documentation notes</t>
  </si>
  <si>
    <t>Pkw</t>
  </si>
  <si>
    <t>kW</t>
  </si>
  <si>
    <t>Pf</t>
  </si>
  <si>
    <t>$/l</t>
  </si>
  <si>
    <t>LP-SV/(1+i)^Ny</t>
  </si>
  <si>
    <t>l/h</t>
  </si>
  <si>
    <t>F*H*Pf</t>
  </si>
  <si>
    <t>4*Pf, assumed</t>
  </si>
  <si>
    <t>$/kWh</t>
  </si>
  <si>
    <t>operating speed as a percent of rated speed</t>
  </si>
  <si>
    <t>affects fuel consumption</t>
  </si>
  <si>
    <t>Sp</t>
  </si>
  <si>
    <t>Pp</t>
  </si>
  <si>
    <t>operating power as a percent of rated power</t>
  </si>
  <si>
    <t>Ctt</t>
  </si>
  <si>
    <t>code for tractor type</t>
  </si>
  <si>
    <t>1, fixed frame, 2 articulated, 3 track</t>
  </si>
  <si>
    <t>PTM</t>
  </si>
  <si>
    <t>partial throttle multiplier</t>
  </si>
  <si>
    <t xml:space="preserve"> --</t>
  </si>
  <si>
    <t>Fixed Frame</t>
  </si>
  <si>
    <t>Articulated</t>
  </si>
  <si>
    <t>Track</t>
  </si>
  <si>
    <t>Pd</t>
  </si>
  <si>
    <t>price of diesel exhaust fluid</t>
  </si>
  <si>
    <t>fuel consumption compared to tractors of 1980-2000</t>
  </si>
  <si>
    <t>Afc</t>
  </si>
  <si>
    <t>Adjustment to fuel consumption due to technology</t>
  </si>
  <si>
    <t>D</t>
  </si>
  <si>
    <t>diesel exhaust fluid consumption</t>
  </si>
  <si>
    <t>DC</t>
  </si>
  <si>
    <t>diesel exhaust fluid cost</t>
  </si>
  <si>
    <t>cost for the tractor, without fuel, DEF, &amp; lube</t>
  </si>
  <si>
    <t>fuel, DEF, and lubricant cost</t>
  </si>
  <si>
    <t>.02*F</t>
  </si>
  <si>
    <t>Epto</t>
  </si>
  <si>
    <t>Efficiency of the driveline from engine to PTO</t>
  </si>
  <si>
    <t>specific cost for tractor power (PTO power basis)</t>
  </si>
  <si>
    <t>specific cost for tractor power, no fuel &amp; lube (PTO power basis)</t>
  </si>
  <si>
    <t>(1030*Pkw) + IF(Ctt=1,49500,IF(Ctt=2,-7500,96400))</t>
  </si>
  <si>
    <t>sum from cumulative table below</t>
  </si>
  <si>
    <t>D497 f'n | 1 - (Sp/100-1)*(0.45*Pp/100-0.877)</t>
  </si>
  <si>
    <t>PkWpto</t>
  </si>
  <si>
    <t>tractor power, PTO equivalent</t>
  </si>
  <si>
    <t>% of price/y</t>
  </si>
  <si>
    <t>IF(Ctt=1,Pkw,Pkw*Epto/100)</t>
  </si>
  <si>
    <t>ASABE D497 suggests 90%</t>
  </si>
  <si>
    <t>D497 f'n | 100*IF(PkWpto&gt;112,(0.976-0.119*Ny^0.5-0.0019*H^0.5)^2,(0.942-0.1*Ny^0.5-0.0008*H^0.5)^2)</t>
  </si>
  <si>
    <t>D497 f'n | PkWpto*(Pp/100)*(0.22+0.096/(Pp/100))*PTM*Afc/100</t>
  </si>
  <si>
    <t>D497 f'n | 0.00059*PkWpto+0.02169</t>
  </si>
  <si>
    <t>TIHa</t>
  </si>
  <si>
    <t>PMT(i,Ny,-PV-RM)+TIHa</t>
  </si>
  <si>
    <t>D*Pd*H</t>
  </si>
  <si>
    <t>TIH*P/100</t>
  </si>
  <si>
    <t>HCtot/PkWpto</t>
  </si>
  <si>
    <t>HCnf/PkWpto</t>
  </si>
  <si>
    <t>hp</t>
  </si>
  <si>
    <t>$/gal</t>
  </si>
  <si>
    <t>Php</t>
  </si>
  <si>
    <t>Phppto</t>
  </si>
  <si>
    <t>IF(Ctt=1,Php,Php*Epto/100)</t>
  </si>
  <si>
    <t>(1030*Php*0.746) + IF(Ctt=1,49500,IF(Ctt=2,-7500,96400))</t>
  </si>
  <si>
    <t>D497 f'n | 100*IF(Phppto*0.746&gt;112,(0.976-0.119*Ny^0.5-0.0019*H^0.5)^2,(0.942-0.1*Ny^0.5-0.0008*H^0.5)^2)</t>
  </si>
  <si>
    <t>gal/h</t>
  </si>
  <si>
    <t>D497 f'n | (Phppto*0.746*(Pp/100)*(0.22+0.096/(Pp/100))*PTM  * Afc/100 ) / 3.78</t>
  </si>
  <si>
    <t>D497 f'n | 0.00059*Phppto*0.746+0.02169 ) / 3.78</t>
  </si>
  <si>
    <t>HCtot/Phppto</t>
  </si>
  <si>
    <t>HCnf/Phppto</t>
  </si>
  <si>
    <t>$/hph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</si>
</sst>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"/>
    <numFmt numFmtId="167" formatCode="0.00000"/>
    <numFmt numFmtId="168" formatCode="0.000E+00"/>
  </numFmts>
  <fonts count="8" x14ac:knownFonts="1">
    <font>
      <sz val="12"/>
      <name val="Times New Roman"/>
    </font>
    <font>
      <b/>
      <sz val="12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2"/>
      <color indexed="81"/>
      <name val="Tahoma"/>
      <family val="2"/>
    </font>
    <font>
      <sz val="12"/>
      <name val="Times New Roman"/>
      <family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Border="1"/>
    <xf numFmtId="0" fontId="0" fillId="0" borderId="0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0" xfId="0" applyFill="1" applyBorder="1"/>
    <xf numFmtId="164" fontId="0" fillId="0" borderId="0" xfId="0" applyNumberFormat="1" applyBorder="1"/>
    <xf numFmtId="164" fontId="2" fillId="0" borderId="0" xfId="0" applyNumberFormat="1" applyFont="1" applyBorder="1"/>
    <xf numFmtId="164" fontId="0" fillId="0" borderId="0" xfId="0" applyNumberFormat="1" applyFill="1" applyBorder="1"/>
    <xf numFmtId="2" fontId="2" fillId="0" borderId="0" xfId="0" applyNumberFormat="1" applyFont="1" applyBorder="1"/>
    <xf numFmtId="164" fontId="3" fillId="0" borderId="0" xfId="0" applyNumberFormat="1" applyFont="1" applyBorder="1"/>
    <xf numFmtId="2" fontId="0" fillId="0" borderId="0" xfId="0" applyNumberFormat="1" applyBorder="1"/>
    <xf numFmtId="2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Border="1"/>
    <xf numFmtId="1" fontId="0" fillId="0" borderId="0" xfId="0" applyNumberFormat="1" applyBorder="1"/>
    <xf numFmtId="0" fontId="1" fillId="0" borderId="4" xfId="0" applyFont="1" applyBorder="1"/>
    <xf numFmtId="165" fontId="2" fillId="0" borderId="0" xfId="0" applyNumberFormat="1" applyFont="1" applyBorder="1"/>
    <xf numFmtId="165" fontId="0" fillId="0" borderId="0" xfId="0" applyNumberFormat="1" applyBorder="1"/>
    <xf numFmtId="1" fontId="2" fillId="0" borderId="5" xfId="0" applyNumberFormat="1" applyFont="1" applyBorder="1"/>
    <xf numFmtId="38" fontId="2" fillId="0" borderId="0" xfId="0" applyNumberFormat="1" applyFont="1" applyBorder="1"/>
    <xf numFmtId="38" fontId="2" fillId="0" borderId="5" xfId="0" applyNumberFormat="1" applyFont="1" applyBorder="1"/>
    <xf numFmtId="38" fontId="0" fillId="0" borderId="0" xfId="0" applyNumberFormat="1" applyBorder="1"/>
    <xf numFmtId="2" fontId="2" fillId="0" borderId="5" xfId="0" applyNumberFormat="1" applyFont="1" applyBorder="1"/>
    <xf numFmtId="0" fontId="2" fillId="0" borderId="4" xfId="0" applyFont="1" applyFill="1" applyBorder="1"/>
    <xf numFmtId="0" fontId="2" fillId="0" borderId="5" xfId="0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3" fillId="0" borderId="0" xfId="0" applyFont="1"/>
    <xf numFmtId="0" fontId="0" fillId="0" borderId="4" xfId="0" applyFill="1" applyBorder="1"/>
    <xf numFmtId="166" fontId="0" fillId="0" borderId="0" xfId="0" applyNumberFormat="1" applyBorder="1"/>
    <xf numFmtId="166" fontId="0" fillId="0" borderId="0" xfId="0" applyNumberFormat="1" applyFill="1" applyBorder="1"/>
    <xf numFmtId="166" fontId="0" fillId="0" borderId="0" xfId="0" quotePrefix="1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/>
    <xf numFmtId="167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6" xfId="0" applyFont="1" applyBorder="1"/>
    <xf numFmtId="164" fontId="1" fillId="0" borderId="7" xfId="0" applyNumberFormat="1" applyFont="1" applyBorder="1"/>
    <xf numFmtId="0" fontId="1" fillId="0" borderId="7" xfId="0" applyFont="1" applyBorder="1"/>
    <xf numFmtId="164" fontId="1" fillId="0" borderId="8" xfId="0" applyNumberFormat="1" applyFont="1" applyBorder="1"/>
    <xf numFmtId="0" fontId="2" fillId="0" borderId="5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2" fillId="0" borderId="5" xfId="0" quotePrefix="1" applyFont="1" applyBorder="1" applyAlignment="1">
      <alignment wrapText="1"/>
    </xf>
    <xf numFmtId="165" fontId="2" fillId="0" borderId="5" xfId="0" applyNumberFormat="1" applyFont="1" applyBorder="1" applyAlignment="1">
      <alignment wrapText="1"/>
    </xf>
    <xf numFmtId="164" fontId="2" fillId="0" borderId="5" xfId="0" applyNumberFormat="1" applyFont="1" applyBorder="1"/>
    <xf numFmtId="1" fontId="2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C4" fmlaRange="$A$65:$A$67" noThreeD="1" sel="1" val="0"/>
</file>

<file path=xl/ctrlProps/ctrlProp2.xml><?xml version="1.0" encoding="utf-8"?>
<formControlPr xmlns="http://schemas.microsoft.com/office/spreadsheetml/2009/9/main" objectType="Drop" dropStyle="combo" dx="16" fmlaLink="D4" fmlaRange="$A$65:$A$67" noThreeD="1" sel="2" val="0"/>
</file>

<file path=xl/ctrlProps/ctrlProp3.xml><?xml version="1.0" encoding="utf-8"?>
<formControlPr xmlns="http://schemas.microsoft.com/office/spreadsheetml/2009/9/main" objectType="Drop" dropStyle="combo" dx="16" fmlaLink="C4" fmlaRange="$A$65:$A$67" noThreeD="1" sel="1" val="0"/>
</file>

<file path=xl/ctrlProps/ctrlProp4.xml><?xml version="1.0" encoding="utf-8"?>
<formControlPr xmlns="http://schemas.microsoft.com/office/spreadsheetml/2009/9/main" objectType="Drop" dropStyle="combo" dx="16" fmlaLink="D4" fmlaRange="$A$65:$A$67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0</xdr:colOff>
          <xdr:row>4</xdr:row>
          <xdr:rowOff>9525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0</xdr:colOff>
          <xdr:row>4</xdr:row>
          <xdr:rowOff>9525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B119"/>
  <sheetViews>
    <sheetView zoomScaleNormal="100" workbookViewId="0">
      <selection activeCell="C6" sqref="C6"/>
    </sheetView>
  </sheetViews>
  <sheetFormatPr defaultRowHeight="15.75" x14ac:dyDescent="0.25"/>
  <cols>
    <col min="1" max="1" width="7.125" customWidth="1"/>
    <col min="2" max="2" width="46.625" customWidth="1"/>
    <col min="3" max="4" width="9.5" customWidth="1"/>
    <col min="5" max="5" width="8.125" customWidth="1"/>
    <col min="6" max="6" width="48" customWidth="1"/>
  </cols>
  <sheetData>
    <row r="1" spans="1:132" ht="16.5" thickBot="1" x14ac:dyDescent="0.3">
      <c r="A1" s="44" t="s">
        <v>62</v>
      </c>
      <c r="B1" s="44" t="s">
        <v>63</v>
      </c>
      <c r="C1" s="44" t="s">
        <v>64</v>
      </c>
      <c r="D1" s="44" t="s">
        <v>65</v>
      </c>
      <c r="E1" s="44" t="s">
        <v>66</v>
      </c>
      <c r="F1" s="44" t="s">
        <v>67</v>
      </c>
    </row>
    <row r="2" spans="1:132" x14ac:dyDescent="0.25">
      <c r="A2" s="1" t="s">
        <v>0</v>
      </c>
      <c r="B2" s="2"/>
      <c r="C2" s="2"/>
      <c r="D2" s="2"/>
      <c r="E2" s="2"/>
      <c r="F2" s="3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</row>
    <row r="3" spans="1:132" x14ac:dyDescent="0.25">
      <c r="A3" s="6" t="s">
        <v>126</v>
      </c>
      <c r="B3" s="7" t="s">
        <v>1</v>
      </c>
      <c r="C3" s="55">
        <v>350</v>
      </c>
      <c r="D3" s="55">
        <v>406</v>
      </c>
      <c r="E3" s="7" t="s">
        <v>124</v>
      </c>
      <c r="F3" s="8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</row>
    <row r="4" spans="1:132" x14ac:dyDescent="0.25">
      <c r="A4" s="6" t="s">
        <v>82</v>
      </c>
      <c r="B4" s="7" t="s">
        <v>83</v>
      </c>
      <c r="C4" s="56">
        <v>1</v>
      </c>
      <c r="D4" s="56">
        <v>2</v>
      </c>
      <c r="E4" s="7" t="s">
        <v>84</v>
      </c>
      <c r="F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</row>
    <row r="5" spans="1:132" x14ac:dyDescent="0.25">
      <c r="A5" s="6" t="s">
        <v>2</v>
      </c>
      <c r="B5" s="7" t="s">
        <v>3</v>
      </c>
      <c r="C5" s="56">
        <v>6</v>
      </c>
      <c r="D5" s="56">
        <v>6</v>
      </c>
      <c r="E5" s="7" t="s">
        <v>4</v>
      </c>
      <c r="F5" s="8"/>
      <c r="H5" s="5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spans="1:132" x14ac:dyDescent="0.25">
      <c r="A6" s="6" t="s">
        <v>5</v>
      </c>
      <c r="B6" s="7" t="s">
        <v>6</v>
      </c>
      <c r="C6" s="56">
        <v>600</v>
      </c>
      <c r="D6" s="56">
        <v>600</v>
      </c>
      <c r="E6" s="7" t="s">
        <v>7</v>
      </c>
      <c r="F6" s="8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</row>
    <row r="7" spans="1:132" x14ac:dyDescent="0.25">
      <c r="A7" s="6" t="s">
        <v>8</v>
      </c>
      <c r="B7" s="7" t="s">
        <v>9</v>
      </c>
      <c r="C7" s="57">
        <v>0.05</v>
      </c>
      <c r="D7" s="57">
        <v>0.05</v>
      </c>
      <c r="E7" s="7" t="s">
        <v>10</v>
      </c>
      <c r="F7" s="8"/>
      <c r="H7" s="5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 x14ac:dyDescent="0.25">
      <c r="A8" s="6" t="s">
        <v>70</v>
      </c>
      <c r="B8" s="7" t="s">
        <v>11</v>
      </c>
      <c r="C8" s="58">
        <v>3.78</v>
      </c>
      <c r="D8" s="58">
        <v>3.78</v>
      </c>
      <c r="E8" s="7" t="s">
        <v>125</v>
      </c>
      <c r="F8" s="8"/>
      <c r="H8" s="5"/>
      <c r="I8" s="10"/>
      <c r="J8" s="10"/>
      <c r="K8" s="10"/>
      <c r="L8" s="10"/>
      <c r="M8" s="1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</row>
    <row r="9" spans="1:132" x14ac:dyDescent="0.25">
      <c r="A9" s="6" t="s">
        <v>91</v>
      </c>
      <c r="B9" s="7" t="s">
        <v>92</v>
      </c>
      <c r="C9" s="58">
        <v>3.78</v>
      </c>
      <c r="D9" s="58">
        <v>3.78</v>
      </c>
      <c r="E9" s="7" t="s">
        <v>125</v>
      </c>
      <c r="F9" s="8"/>
      <c r="H9" s="5"/>
      <c r="I9" s="10"/>
      <c r="J9" s="10"/>
      <c r="K9" s="10"/>
      <c r="L9" s="10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</row>
    <row r="10" spans="1:132" x14ac:dyDescent="0.25">
      <c r="A10" s="6" t="s">
        <v>12</v>
      </c>
      <c r="B10" s="17" t="s">
        <v>13</v>
      </c>
      <c r="C10" s="58">
        <v>2</v>
      </c>
      <c r="D10" s="58">
        <v>2</v>
      </c>
      <c r="E10" s="17" t="s">
        <v>112</v>
      </c>
      <c r="F10" s="8"/>
      <c r="H10" s="5"/>
      <c r="I10" s="10"/>
      <c r="J10" s="10"/>
      <c r="K10" s="10"/>
      <c r="L10" s="10"/>
      <c r="M10" s="10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</row>
    <row r="11" spans="1:132" x14ac:dyDescent="0.25">
      <c r="A11" s="6" t="s">
        <v>80</v>
      </c>
      <c r="B11" s="17" t="s">
        <v>81</v>
      </c>
      <c r="C11" s="55">
        <v>80</v>
      </c>
      <c r="D11" s="55">
        <v>80</v>
      </c>
      <c r="E11" s="17" t="s">
        <v>20</v>
      </c>
      <c r="F11" s="8" t="s">
        <v>78</v>
      </c>
      <c r="H11" s="5"/>
      <c r="I11" s="10"/>
      <c r="J11" s="10"/>
      <c r="K11" s="10"/>
      <c r="L11" s="10"/>
      <c r="M11" s="10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</row>
    <row r="12" spans="1:132" x14ac:dyDescent="0.25">
      <c r="A12" s="6" t="s">
        <v>79</v>
      </c>
      <c r="B12" s="17" t="s">
        <v>77</v>
      </c>
      <c r="C12" s="55">
        <v>90</v>
      </c>
      <c r="D12" s="55">
        <v>90</v>
      </c>
      <c r="E12" s="17" t="s">
        <v>20</v>
      </c>
      <c r="F12" s="8" t="s">
        <v>78</v>
      </c>
      <c r="H12" s="5"/>
      <c r="I12" s="10"/>
      <c r="J12" s="10"/>
      <c r="K12" s="10"/>
      <c r="L12" s="10"/>
      <c r="M12" s="10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</row>
    <row r="13" spans="1:132" x14ac:dyDescent="0.25">
      <c r="A13" s="6" t="s">
        <v>94</v>
      </c>
      <c r="B13" s="17" t="s">
        <v>95</v>
      </c>
      <c r="C13" s="55">
        <v>97</v>
      </c>
      <c r="D13" s="55">
        <v>97</v>
      </c>
      <c r="E13" s="17" t="s">
        <v>20</v>
      </c>
      <c r="F13" s="8" t="s">
        <v>93</v>
      </c>
      <c r="H13" s="5"/>
      <c r="I13" s="10"/>
      <c r="J13" s="10"/>
      <c r="K13" s="10"/>
      <c r="L13" s="10"/>
      <c r="M13" s="10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</row>
    <row r="14" spans="1:132" x14ac:dyDescent="0.25">
      <c r="A14" s="6" t="s">
        <v>103</v>
      </c>
      <c r="B14" s="17" t="s">
        <v>104</v>
      </c>
      <c r="C14" s="55">
        <v>90</v>
      </c>
      <c r="D14" s="55">
        <v>90</v>
      </c>
      <c r="E14" s="17" t="s">
        <v>20</v>
      </c>
      <c r="F14" s="8" t="s">
        <v>114</v>
      </c>
      <c r="H14" s="5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</row>
    <row r="15" spans="1:132" x14ac:dyDescent="0.25">
      <c r="A15" s="6"/>
      <c r="B15" s="7"/>
      <c r="C15" s="18"/>
      <c r="D15" s="18"/>
      <c r="E15" s="7"/>
      <c r="F15" s="8"/>
      <c r="H15" s="5"/>
      <c r="I15" s="10"/>
      <c r="J15" s="10"/>
      <c r="K15" s="10"/>
      <c r="L15" s="10"/>
      <c r="M15" s="10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</row>
    <row r="16" spans="1:132" x14ac:dyDescent="0.25">
      <c r="A16" s="20" t="s">
        <v>14</v>
      </c>
      <c r="B16" s="7"/>
      <c r="C16" s="7"/>
      <c r="D16" s="7"/>
      <c r="E16" s="7"/>
      <c r="F16" s="8"/>
      <c r="H16" s="5"/>
      <c r="I16" s="10"/>
      <c r="J16" s="10"/>
      <c r="K16" s="10"/>
      <c r="L16" s="10"/>
      <c r="M16" s="1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</row>
    <row r="17" spans="1:132" ht="30.75" x14ac:dyDescent="0.25">
      <c r="A17" s="6" t="s">
        <v>15</v>
      </c>
      <c r="B17" s="7" t="s">
        <v>16</v>
      </c>
      <c r="C17" s="56">
        <f>(1030*Php*0.746) + IF(Ctt=1,49500,IF(Ctt=2,-7500,96400))</f>
        <v>318433</v>
      </c>
      <c r="D17" s="56">
        <f>(1030*Php*0.746) + IF(Ctt=1,49500,IF(Ctt=2,-7500,96400))</f>
        <v>304462.27999999997</v>
      </c>
      <c r="E17" s="7" t="s">
        <v>17</v>
      </c>
      <c r="F17" s="52" t="s">
        <v>129</v>
      </c>
      <c r="H17" s="5"/>
      <c r="I17" s="10"/>
      <c r="J17" s="10"/>
      <c r="K17" s="10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</row>
    <row r="18" spans="1:132" x14ac:dyDescent="0.25">
      <c r="A18" s="6" t="s">
        <v>127</v>
      </c>
      <c r="B18" s="17" t="s">
        <v>111</v>
      </c>
      <c r="C18" s="18">
        <f>IF(Ctt=1,Php,Php*Epto/100)</f>
        <v>350</v>
      </c>
      <c r="D18" s="18">
        <f>IF(Ctt=1,Php,Php*Epto/100)</f>
        <v>365.4</v>
      </c>
      <c r="E18" s="17" t="s">
        <v>124</v>
      </c>
      <c r="F18" s="23" t="s">
        <v>128</v>
      </c>
      <c r="H18" s="5"/>
      <c r="I18" s="10"/>
      <c r="J18" s="10"/>
      <c r="K18" s="10"/>
      <c r="L18" s="10"/>
      <c r="M18" s="10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</row>
    <row r="19" spans="1:132" ht="45.75" x14ac:dyDescent="0.25">
      <c r="A19" s="6" t="s">
        <v>18</v>
      </c>
      <c r="B19" s="7" t="s">
        <v>19</v>
      </c>
      <c r="C19" s="21">
        <f>100*IF(Phppto*0.746&gt;112,(0.976-0.119*Ny^0.5-0.0019*H^0.5)^2,(0.942-0.1*Ny^0.5-0.0008*H^0.5)^2)</f>
        <v>40.700625104803855</v>
      </c>
      <c r="D19" s="21">
        <f>100*IF(Phppto*0.746&gt;112,(0.976-0.119*Ny^0.5-0.0019*H^0.5)^2,(0.942-0.1*Ny^0.5-0.0008*H^0.5)^2)</f>
        <v>40.700625104803855</v>
      </c>
      <c r="E19" s="7" t="s">
        <v>20</v>
      </c>
      <c r="F19" s="53" t="s">
        <v>130</v>
      </c>
      <c r="H19" s="5"/>
      <c r="I19" s="5"/>
      <c r="J19" s="5"/>
      <c r="K19" s="5"/>
      <c r="L19" s="5"/>
      <c r="M19" s="5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</row>
    <row r="20" spans="1:132" x14ac:dyDescent="0.25">
      <c r="A20" s="6" t="s">
        <v>21</v>
      </c>
      <c r="B20" s="7" t="s">
        <v>22</v>
      </c>
      <c r="C20" s="18">
        <f>RV/100*P</f>
        <v>129604.22153998006</v>
      </c>
      <c r="D20" s="18">
        <f>RV/100*P</f>
        <v>123918.05116833819</v>
      </c>
      <c r="E20" s="7" t="s">
        <v>17</v>
      </c>
      <c r="F20" s="8" t="s">
        <v>23</v>
      </c>
      <c r="H20" s="5"/>
      <c r="I20" s="5"/>
      <c r="J20" s="5"/>
      <c r="K20" s="5"/>
      <c r="L20" s="5"/>
      <c r="M20" s="5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</row>
    <row r="21" spans="1:132" x14ac:dyDescent="0.25">
      <c r="A21" s="6" t="s">
        <v>24</v>
      </c>
      <c r="B21" s="7" t="s">
        <v>25</v>
      </c>
      <c r="C21" s="18">
        <f>P-SV/(1+i)^Ny</f>
        <v>221720.33441776241</v>
      </c>
      <c r="D21" s="18">
        <f>P-SV/(1+i)^Ny</f>
        <v>211992.72229698056</v>
      </c>
      <c r="E21" s="7" t="s">
        <v>26</v>
      </c>
      <c r="F21" s="23" t="s">
        <v>72</v>
      </c>
      <c r="H21" s="5"/>
      <c r="I21" s="5"/>
      <c r="J21" s="5"/>
      <c r="K21" s="5"/>
      <c r="L21" s="5"/>
      <c r="M21" s="5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</row>
    <row r="22" spans="1:132" x14ac:dyDescent="0.25">
      <c r="A22" s="6" t="s">
        <v>27</v>
      </c>
      <c r="B22" s="7" t="s">
        <v>28</v>
      </c>
      <c r="C22" s="18">
        <f>G64</f>
        <v>7154.4173158168214</v>
      </c>
      <c r="D22" s="18">
        <f>H64</f>
        <v>6840.5291161565201</v>
      </c>
      <c r="E22" s="7" t="s">
        <v>26</v>
      </c>
      <c r="F22" s="23" t="s">
        <v>108</v>
      </c>
      <c r="H22" s="5"/>
      <c r="I22" s="4"/>
      <c r="J22" s="5"/>
      <c r="K22" s="5"/>
      <c r="L22" s="5"/>
      <c r="M22" s="5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</row>
    <row r="23" spans="1:132" x14ac:dyDescent="0.25">
      <c r="A23" s="6" t="s">
        <v>85</v>
      </c>
      <c r="B23" s="7" t="s">
        <v>86</v>
      </c>
      <c r="C23" s="13">
        <f>1  -  (Sp/100-1)*(0.45*Pp/100 - 0.877)</f>
        <v>0.94830000000000003</v>
      </c>
      <c r="D23" s="13">
        <f>1  -  (Sp/100-1)*(0.45*Pp/100 - 0.877)</f>
        <v>0.94830000000000003</v>
      </c>
      <c r="E23" s="7" t="s">
        <v>87</v>
      </c>
      <c r="F23" s="23" t="s">
        <v>109</v>
      </c>
      <c r="H23" s="5"/>
      <c r="I23" s="4"/>
      <c r="J23" s="5"/>
      <c r="K23" s="5"/>
      <c r="L23" s="5"/>
      <c r="M23" s="5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</row>
    <row r="24" spans="1:132" ht="45.75" x14ac:dyDescent="0.25">
      <c r="A24" s="6" t="s">
        <v>29</v>
      </c>
      <c r="B24" s="7" t="s">
        <v>30</v>
      </c>
      <c r="C24" s="21">
        <f>(Phppto*0.746*(Pp/100)*(0.22+0.096/(Pp/100))*PTM  * Afc/100 ) / 3.78</f>
        <v>17.282296862222221</v>
      </c>
      <c r="D24" s="21">
        <f>(Phppto*0.746*(Pp/100)*(0.22+0.096/(Pp/100))*PTM  * Afc/100 ) / 3.78</f>
        <v>18.042717924159998</v>
      </c>
      <c r="E24" s="7" t="s">
        <v>131</v>
      </c>
      <c r="F24" s="53" t="s">
        <v>132</v>
      </c>
      <c r="H24" s="10"/>
      <c r="I24" s="5"/>
      <c r="J24" s="5"/>
      <c r="K24" s="5"/>
      <c r="L24" s="5"/>
      <c r="M24" s="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</row>
    <row r="25" spans="1:132" x14ac:dyDescent="0.25">
      <c r="A25" s="6" t="s">
        <v>31</v>
      </c>
      <c r="B25" s="7" t="s">
        <v>32</v>
      </c>
      <c r="C25" s="11">
        <f>(0.00059*Phppto*0.746+0.02169 ) / 3.78</f>
        <v>4.6491798941798952E-2</v>
      </c>
      <c r="D25" s="11">
        <f>(0.00059*Phppto*0.746+0.02169 ) / 3.78</f>
        <v>4.8284961904761912E-2</v>
      </c>
      <c r="E25" s="7" t="s">
        <v>131</v>
      </c>
      <c r="F25" s="54" t="s">
        <v>133</v>
      </c>
      <c r="G25" s="17"/>
      <c r="H25" s="5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</row>
    <row r="26" spans="1:132" x14ac:dyDescent="0.25">
      <c r="A26" s="6" t="s">
        <v>96</v>
      </c>
      <c r="B26" s="7" t="s">
        <v>97</v>
      </c>
      <c r="C26" s="13">
        <f>0.02*F</f>
        <v>0.34564593724444442</v>
      </c>
      <c r="D26" s="13">
        <f>0.02*F</f>
        <v>0.36085435848319997</v>
      </c>
      <c r="E26" s="7" t="s">
        <v>131</v>
      </c>
      <c r="F26" s="8" t="s">
        <v>102</v>
      </c>
      <c r="G26" s="17"/>
      <c r="H26" s="5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</row>
    <row r="27" spans="1:132" x14ac:dyDescent="0.25">
      <c r="A27" s="6" t="s">
        <v>33</v>
      </c>
      <c r="B27" s="7" t="s">
        <v>34</v>
      </c>
      <c r="C27" s="18">
        <f>F*H*Pf</f>
        <v>39196.249283520003</v>
      </c>
      <c r="D27" s="18">
        <f>F*H*Pf</f>
        <v>40920.884251994874</v>
      </c>
      <c r="E27" s="7" t="s">
        <v>35</v>
      </c>
      <c r="F27" s="23" t="s">
        <v>74</v>
      </c>
      <c r="H27" s="5"/>
      <c r="I27" s="10"/>
      <c r="J27" s="14"/>
      <c r="K27" s="10"/>
      <c r="L27" s="10"/>
      <c r="M27" s="10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</row>
    <row r="28" spans="1:132" x14ac:dyDescent="0.25">
      <c r="A28" s="6" t="s">
        <v>36</v>
      </c>
      <c r="B28" s="7" t="s">
        <v>37</v>
      </c>
      <c r="C28" s="13">
        <f>4*Pf</f>
        <v>15.12</v>
      </c>
      <c r="D28" s="13">
        <f>4*Pf</f>
        <v>15.12</v>
      </c>
      <c r="E28" s="7" t="s">
        <v>71</v>
      </c>
      <c r="F28" s="23" t="s">
        <v>75</v>
      </c>
      <c r="H28" s="5"/>
      <c r="I28" s="10"/>
      <c r="J28" s="10"/>
      <c r="K28" s="10"/>
      <c r="L28" s="10"/>
      <c r="M28" s="10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</row>
    <row r="29" spans="1:132" x14ac:dyDescent="0.25">
      <c r="A29" s="6" t="s">
        <v>38</v>
      </c>
      <c r="B29" s="7" t="s">
        <v>39</v>
      </c>
      <c r="C29" s="18">
        <f>L*H*PL</f>
        <v>421.7736000000001</v>
      </c>
      <c r="D29" s="18">
        <f>L*H*PL</f>
        <v>438.04117440000005</v>
      </c>
      <c r="E29" s="7" t="s">
        <v>35</v>
      </c>
      <c r="F29" s="23" t="s">
        <v>40</v>
      </c>
      <c r="H29" s="59"/>
      <c r="I29" s="10"/>
      <c r="J29" s="10"/>
      <c r="K29" s="10"/>
      <c r="L29" s="10"/>
      <c r="M29" s="10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</row>
    <row r="30" spans="1:132" x14ac:dyDescent="0.25">
      <c r="A30" s="6" t="s">
        <v>98</v>
      </c>
      <c r="B30" s="7" t="s">
        <v>99</v>
      </c>
      <c r="C30" s="18">
        <f>D*Pd*H</f>
        <v>783.92498567039991</v>
      </c>
      <c r="D30" s="18">
        <f>D*Pd*H</f>
        <v>818.41768503989749</v>
      </c>
      <c r="E30" s="7" t="s">
        <v>35</v>
      </c>
      <c r="F30" s="23" t="s">
        <v>120</v>
      </c>
      <c r="H30" s="5"/>
      <c r="I30" s="10"/>
      <c r="J30" s="10"/>
      <c r="K30" s="10"/>
      <c r="L30" s="10"/>
      <c r="M30" s="10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</row>
    <row r="31" spans="1:132" x14ac:dyDescent="0.25">
      <c r="A31" s="6" t="s">
        <v>118</v>
      </c>
      <c r="B31" s="17" t="s">
        <v>13</v>
      </c>
      <c r="C31" s="18">
        <f>TIH*P/100</f>
        <v>6368.66</v>
      </c>
      <c r="D31" s="18">
        <f>TIH*P/100</f>
        <v>6089.2455999999993</v>
      </c>
      <c r="E31" s="17" t="s">
        <v>35</v>
      </c>
      <c r="F31" s="23" t="s">
        <v>121</v>
      </c>
      <c r="H31" s="5"/>
      <c r="I31" s="10"/>
      <c r="J31" s="10"/>
      <c r="K31" s="10"/>
      <c r="L31" s="10"/>
      <c r="M31" s="10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</row>
    <row r="32" spans="1:132" x14ac:dyDescent="0.25">
      <c r="A32" s="6"/>
      <c r="B32" s="7"/>
      <c r="C32" s="18"/>
      <c r="D32" s="18"/>
      <c r="E32" s="7"/>
      <c r="F32" s="23"/>
      <c r="H32" s="5"/>
      <c r="I32" s="10"/>
      <c r="J32" s="10"/>
      <c r="K32" s="10"/>
      <c r="L32" s="10"/>
      <c r="M32" s="1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</row>
    <row r="33" spans="1:132" x14ac:dyDescent="0.25">
      <c r="A33" s="20" t="s">
        <v>41</v>
      </c>
      <c r="B33" s="7"/>
      <c r="C33" s="21"/>
      <c r="D33" s="21"/>
      <c r="E33" s="21"/>
      <c r="F33" s="8"/>
      <c r="H33" s="5"/>
      <c r="I33" s="5"/>
      <c r="J33" s="5"/>
      <c r="K33" s="5"/>
      <c r="L33" s="5"/>
      <c r="M33" s="5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</row>
    <row r="34" spans="1:132" x14ac:dyDescent="0.25">
      <c r="A34" s="6" t="s">
        <v>42</v>
      </c>
      <c r="B34" s="7" t="s">
        <v>100</v>
      </c>
      <c r="C34" s="24">
        <f>PMT(i,Ny,-PV-RM)+TIHa</f>
        <v>51460.984100897709</v>
      </c>
      <c r="D34" s="24">
        <f>PMT(i,Ny,-PV-RM)+TIHa</f>
        <v>49203.218731736553</v>
      </c>
      <c r="E34" s="7" t="s">
        <v>35</v>
      </c>
      <c r="F34" s="25" t="s">
        <v>119</v>
      </c>
      <c r="H34" s="5"/>
      <c r="I34" s="5"/>
      <c r="J34" s="5"/>
      <c r="K34" s="5"/>
      <c r="L34" s="5"/>
      <c r="M34" s="5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</row>
    <row r="35" spans="1:132" x14ac:dyDescent="0.25">
      <c r="A35" s="6" t="s">
        <v>43</v>
      </c>
      <c r="B35" s="7" t="s">
        <v>101</v>
      </c>
      <c r="C35" s="24">
        <f>FC+LC+DC</f>
        <v>40401.947869190401</v>
      </c>
      <c r="D35" s="24">
        <f>FC+LC+DC</f>
        <v>42177.34311143477</v>
      </c>
      <c r="E35" s="7" t="s">
        <v>35</v>
      </c>
      <c r="F35" s="25" t="s">
        <v>44</v>
      </c>
      <c r="H35" s="5"/>
      <c r="I35" s="5"/>
      <c r="J35" s="5"/>
      <c r="K35" s="5"/>
      <c r="L35" s="5"/>
      <c r="M35" s="5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</row>
    <row r="36" spans="1:132" x14ac:dyDescent="0.25">
      <c r="A36" s="6" t="s">
        <v>45</v>
      </c>
      <c r="B36" s="7" t="s">
        <v>46</v>
      </c>
      <c r="C36" s="21">
        <f>(AC+FLC)/H</f>
        <v>153.1048866168135</v>
      </c>
      <c r="D36" s="21">
        <f>(AC+FLC)/H</f>
        <v>152.30093640528554</v>
      </c>
      <c r="E36" s="7" t="s">
        <v>47</v>
      </c>
      <c r="F36" s="27" t="s">
        <v>48</v>
      </c>
      <c r="H36" s="5"/>
      <c r="I36" s="4"/>
      <c r="J36" s="5"/>
      <c r="K36" s="5"/>
      <c r="L36" s="5"/>
      <c r="M36" s="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</row>
    <row r="37" spans="1:132" x14ac:dyDescent="0.25">
      <c r="A37" s="28" t="s">
        <v>49</v>
      </c>
      <c r="B37" s="7" t="s">
        <v>50</v>
      </c>
      <c r="C37" s="21">
        <f>AC/H</f>
        <v>85.768306834829517</v>
      </c>
      <c r="D37" s="21">
        <f>AC/H</f>
        <v>82.00536455289425</v>
      </c>
      <c r="E37" s="7" t="s">
        <v>47</v>
      </c>
      <c r="F37" s="29" t="s">
        <v>51</v>
      </c>
      <c r="H37" s="10"/>
      <c r="I37" s="19"/>
      <c r="J37" s="19"/>
      <c r="K37" s="19"/>
      <c r="L37" s="19"/>
      <c r="M37" s="19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</row>
    <row r="38" spans="1:132" s="33" customFormat="1" x14ac:dyDescent="0.25">
      <c r="A38" s="20" t="s">
        <v>52</v>
      </c>
      <c r="B38" s="30" t="s">
        <v>105</v>
      </c>
      <c r="C38" s="31">
        <f>HCtot/Phppto</f>
        <v>0.43744253319089571</v>
      </c>
      <c r="D38" s="31">
        <f>HCtot/Phppto</f>
        <v>0.41680606569591011</v>
      </c>
      <c r="E38" s="30" t="s">
        <v>136</v>
      </c>
      <c r="F38" s="32" t="s">
        <v>134</v>
      </c>
      <c r="H38" s="5"/>
      <c r="I38" s="10"/>
      <c r="J38" s="10"/>
      <c r="K38" s="10"/>
      <c r="L38" s="10"/>
      <c r="M38" s="10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</row>
    <row r="39" spans="1:132" s="33" customFormat="1" ht="32.25" thickBot="1" x14ac:dyDescent="0.3">
      <c r="A39" s="46" t="s">
        <v>53</v>
      </c>
      <c r="B39" s="51" t="s">
        <v>106</v>
      </c>
      <c r="C39" s="47">
        <f>HCnf/Phppto</f>
        <v>0.24505230524237004</v>
      </c>
      <c r="D39" s="47">
        <f>HCnf/Phppto</f>
        <v>0.22442628503802478</v>
      </c>
      <c r="E39" s="48" t="s">
        <v>136</v>
      </c>
      <c r="F39" s="49" t="s">
        <v>135</v>
      </c>
      <c r="H39" s="5"/>
      <c r="I39" s="10"/>
      <c r="J39" s="10"/>
      <c r="K39" s="10"/>
      <c r="L39" s="14"/>
      <c r="M39" s="10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</row>
    <row r="40" spans="1:132" x14ac:dyDescent="0.25">
      <c r="A40" s="34"/>
      <c r="B40" s="9"/>
      <c r="C40" s="35"/>
      <c r="D40" s="35"/>
      <c r="E40" s="36"/>
      <c r="F40" s="37"/>
      <c r="H40" s="5"/>
      <c r="I40" s="10"/>
      <c r="J40" s="10"/>
      <c r="K40" s="10"/>
      <c r="L40" s="10"/>
      <c r="M40" s="10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</row>
    <row r="41" spans="1:132" x14ac:dyDescent="0.25">
      <c r="B41" s="4" t="s">
        <v>54</v>
      </c>
      <c r="C41" s="5" t="s">
        <v>64</v>
      </c>
      <c r="D41" t="s">
        <v>65</v>
      </c>
      <c r="E41" s="5" t="s">
        <v>64</v>
      </c>
      <c r="F41" t="s">
        <v>65</v>
      </c>
      <c r="G41" s="5" t="s">
        <v>64</v>
      </c>
      <c r="H41" t="s">
        <v>65</v>
      </c>
      <c r="I41" s="10"/>
      <c r="J41" s="10"/>
      <c r="K41" s="10"/>
      <c r="L41" s="10"/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</row>
    <row r="42" spans="1:132" x14ac:dyDescent="0.25">
      <c r="B42" s="38" t="s">
        <v>55</v>
      </c>
      <c r="C42" s="38" t="s">
        <v>56</v>
      </c>
      <c r="D42" s="38" t="s">
        <v>56</v>
      </c>
      <c r="E42" s="38" t="s">
        <v>57</v>
      </c>
      <c r="F42" s="38" t="s">
        <v>57</v>
      </c>
      <c r="G42" s="38" t="s">
        <v>59</v>
      </c>
      <c r="H42" s="38" t="s">
        <v>59</v>
      </c>
      <c r="I42" s="5"/>
      <c r="J42" s="5"/>
      <c r="K42" s="5"/>
      <c r="L42" s="5"/>
      <c r="M42" s="5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</row>
    <row r="43" spans="1:132" x14ac:dyDescent="0.25">
      <c r="B43" s="38"/>
      <c r="C43" s="38"/>
      <c r="D43" s="38"/>
      <c r="E43" s="38" t="s">
        <v>58</v>
      </c>
      <c r="F43" s="38" t="s">
        <v>58</v>
      </c>
      <c r="G43" s="38" t="s">
        <v>60</v>
      </c>
      <c r="H43" s="38" t="s">
        <v>60</v>
      </c>
      <c r="I43" s="5"/>
      <c r="J43" s="5"/>
      <c r="K43" s="5"/>
      <c r="L43" s="5"/>
      <c r="M43" s="5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</row>
    <row r="44" spans="1:132" x14ac:dyDescent="0.25">
      <c r="B44" s="5">
        <v>1</v>
      </c>
      <c r="C44" s="19">
        <f t="shared" ref="C44:D63" si="0">IF(C$5&gt;$B44, IF(C$3&lt;74.57,0.007,0.003)*C$17*($B44*C$6/1000)^2,0)</f>
        <v>343.90763999999996</v>
      </c>
      <c r="D44" s="19">
        <f t="shared" si="0"/>
        <v>328.81926239999996</v>
      </c>
      <c r="E44" s="19">
        <f>C44</f>
        <v>343.90763999999996</v>
      </c>
      <c r="F44" s="19">
        <f>D44</f>
        <v>328.81926239999996</v>
      </c>
      <c r="G44" s="19">
        <f t="shared" ref="G44:H63" si="1">E44/(1+C$7)^$B44</f>
        <v>327.53108571428567</v>
      </c>
      <c r="H44" s="19">
        <f t="shared" si="1"/>
        <v>313.16120228571424</v>
      </c>
      <c r="I44" s="5"/>
      <c r="J44" s="5"/>
      <c r="K44" s="5"/>
      <c r="L44" s="5"/>
      <c r="M44" s="5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</row>
    <row r="45" spans="1:132" x14ac:dyDescent="0.25">
      <c r="B45" s="5">
        <v>2</v>
      </c>
      <c r="C45" s="19">
        <f t="shared" si="0"/>
        <v>1375.6305599999998</v>
      </c>
      <c r="D45" s="19">
        <f t="shared" si="0"/>
        <v>1315.2770495999998</v>
      </c>
      <c r="E45" s="19">
        <f t="shared" ref="E45:F63" si="2">IF(C45&gt;0,C45-C44,0)</f>
        <v>1031.7229199999999</v>
      </c>
      <c r="F45" s="19">
        <f t="shared" si="2"/>
        <v>986.45778719999987</v>
      </c>
      <c r="G45" s="19">
        <f t="shared" si="1"/>
        <v>935.80310204081627</v>
      </c>
      <c r="H45" s="19">
        <f t="shared" si="1"/>
        <v>894.74629224489786</v>
      </c>
      <c r="I45" s="4"/>
      <c r="J45" s="5"/>
      <c r="K45" s="5"/>
      <c r="L45" s="5"/>
      <c r="M45" s="5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</row>
    <row r="46" spans="1:132" x14ac:dyDescent="0.25">
      <c r="B46" s="5">
        <v>3</v>
      </c>
      <c r="C46" s="19">
        <f t="shared" si="0"/>
        <v>3095.16876</v>
      </c>
      <c r="D46" s="19">
        <f t="shared" si="0"/>
        <v>2959.3733616</v>
      </c>
      <c r="E46" s="19">
        <f t="shared" si="2"/>
        <v>1719.5382000000002</v>
      </c>
      <c r="F46" s="19">
        <f t="shared" si="2"/>
        <v>1644.0963120000001</v>
      </c>
      <c r="G46" s="19">
        <f t="shared" si="1"/>
        <v>1485.4017492711371</v>
      </c>
      <c r="H46" s="19">
        <f t="shared" si="1"/>
        <v>1420.2322099125363</v>
      </c>
      <c r="I46" s="15"/>
      <c r="J46" s="15"/>
      <c r="K46" s="15"/>
      <c r="L46" s="15"/>
      <c r="M46" s="15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</row>
    <row r="47" spans="1:132" x14ac:dyDescent="0.25">
      <c r="B47" s="5">
        <v>4</v>
      </c>
      <c r="C47" s="19">
        <f t="shared" si="0"/>
        <v>5502.5222399999993</v>
      </c>
      <c r="D47" s="19">
        <f t="shared" si="0"/>
        <v>5261.1081983999993</v>
      </c>
      <c r="E47" s="19">
        <f t="shared" si="2"/>
        <v>2407.3534799999993</v>
      </c>
      <c r="F47" s="19">
        <f t="shared" si="2"/>
        <v>2301.7348367999994</v>
      </c>
      <c r="G47" s="19">
        <f t="shared" si="1"/>
        <v>1980.5356656948488</v>
      </c>
      <c r="H47" s="19">
        <f t="shared" si="1"/>
        <v>1893.642946550048</v>
      </c>
      <c r="I47" s="10"/>
      <c r="J47" s="10"/>
      <c r="K47" s="10"/>
      <c r="L47" s="10"/>
      <c r="M47" s="10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</row>
    <row r="48" spans="1:132" x14ac:dyDescent="0.25">
      <c r="B48" s="5">
        <v>5</v>
      </c>
      <c r="C48" s="19">
        <f t="shared" si="0"/>
        <v>8597.6909999999989</v>
      </c>
      <c r="D48" s="19">
        <f t="shared" si="0"/>
        <v>8220.4815599999984</v>
      </c>
      <c r="E48" s="19">
        <f t="shared" si="2"/>
        <v>3095.1687599999996</v>
      </c>
      <c r="F48" s="19">
        <f t="shared" si="2"/>
        <v>2959.373361599999</v>
      </c>
      <c r="G48" s="19">
        <f t="shared" si="1"/>
        <v>2425.1457130957333</v>
      </c>
      <c r="H48" s="19">
        <f t="shared" si="1"/>
        <v>2318.7464651633236</v>
      </c>
      <c r="I48" s="10"/>
      <c r="J48" s="10"/>
      <c r="K48" s="10"/>
      <c r="L48" s="14"/>
      <c r="M48" s="1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</row>
    <row r="49" spans="2:132" x14ac:dyDescent="0.25">
      <c r="B49" s="5">
        <v>6</v>
      </c>
      <c r="C49" s="19">
        <f t="shared" si="0"/>
        <v>0</v>
      </c>
      <c r="D49" s="19">
        <f t="shared" si="0"/>
        <v>0</v>
      </c>
      <c r="E49" s="19">
        <f t="shared" si="2"/>
        <v>0</v>
      </c>
      <c r="F49" s="19">
        <f t="shared" si="2"/>
        <v>0</v>
      </c>
      <c r="G49" s="19">
        <f t="shared" si="1"/>
        <v>0</v>
      </c>
      <c r="H49" s="19">
        <f t="shared" si="1"/>
        <v>0</v>
      </c>
      <c r="I49" s="10"/>
      <c r="J49" s="10"/>
      <c r="K49" s="10"/>
      <c r="L49" s="10"/>
      <c r="M49" s="10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</row>
    <row r="50" spans="2:132" x14ac:dyDescent="0.25">
      <c r="B50" s="5">
        <v>7</v>
      </c>
      <c r="C50" s="19">
        <f t="shared" si="0"/>
        <v>0</v>
      </c>
      <c r="D50" s="19">
        <f t="shared" si="0"/>
        <v>0</v>
      </c>
      <c r="E50" s="19">
        <f t="shared" si="2"/>
        <v>0</v>
      </c>
      <c r="F50" s="19">
        <f t="shared" si="2"/>
        <v>0</v>
      </c>
      <c r="G50" s="19">
        <f t="shared" si="1"/>
        <v>0</v>
      </c>
      <c r="H50" s="19">
        <f t="shared" si="1"/>
        <v>0</v>
      </c>
      <c r="I50" s="10"/>
      <c r="J50" s="10"/>
      <c r="K50" s="10"/>
      <c r="L50" s="10"/>
      <c r="M50" s="10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</row>
    <row r="51" spans="2:132" x14ac:dyDescent="0.25">
      <c r="B51" s="5">
        <v>8</v>
      </c>
      <c r="C51" s="19">
        <f t="shared" si="0"/>
        <v>0</v>
      </c>
      <c r="D51" s="19">
        <f t="shared" si="0"/>
        <v>0</v>
      </c>
      <c r="E51" s="19">
        <f t="shared" si="2"/>
        <v>0</v>
      </c>
      <c r="F51" s="19">
        <f t="shared" si="2"/>
        <v>0</v>
      </c>
      <c r="G51" s="19">
        <f t="shared" si="1"/>
        <v>0</v>
      </c>
      <c r="H51" s="19">
        <f t="shared" si="1"/>
        <v>0</v>
      </c>
      <c r="I51" s="10"/>
      <c r="J51" s="10"/>
      <c r="K51" s="10"/>
      <c r="L51" s="10"/>
      <c r="M51" s="10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</row>
    <row r="52" spans="2:132" x14ac:dyDescent="0.25">
      <c r="B52" s="5">
        <v>9</v>
      </c>
      <c r="C52" s="19">
        <f t="shared" si="0"/>
        <v>0</v>
      </c>
      <c r="D52" s="19">
        <f t="shared" si="0"/>
        <v>0</v>
      </c>
      <c r="E52" s="19">
        <f t="shared" si="2"/>
        <v>0</v>
      </c>
      <c r="F52" s="19">
        <f t="shared" si="2"/>
        <v>0</v>
      </c>
      <c r="G52" s="19">
        <f t="shared" si="1"/>
        <v>0</v>
      </c>
      <c r="H52" s="19">
        <f t="shared" si="1"/>
        <v>0</v>
      </c>
      <c r="I52" s="10"/>
      <c r="J52" s="10"/>
      <c r="K52" s="10"/>
      <c r="L52" s="10"/>
      <c r="M52" s="1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</row>
    <row r="53" spans="2:132" x14ac:dyDescent="0.25">
      <c r="B53" s="5">
        <v>10</v>
      </c>
      <c r="C53" s="19">
        <f t="shared" si="0"/>
        <v>0</v>
      </c>
      <c r="D53" s="19">
        <f t="shared" si="0"/>
        <v>0</v>
      </c>
      <c r="E53" s="19">
        <f t="shared" si="2"/>
        <v>0</v>
      </c>
      <c r="F53" s="19">
        <f t="shared" si="2"/>
        <v>0</v>
      </c>
      <c r="G53" s="19">
        <f t="shared" si="1"/>
        <v>0</v>
      </c>
      <c r="H53" s="19">
        <f t="shared" si="1"/>
        <v>0</v>
      </c>
      <c r="I53" s="5"/>
      <c r="J53" s="5"/>
      <c r="K53" s="5"/>
      <c r="L53" s="5"/>
      <c r="M53" s="5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</row>
    <row r="54" spans="2:132" x14ac:dyDescent="0.25">
      <c r="B54" s="5">
        <v>11</v>
      </c>
      <c r="C54" s="19">
        <f t="shared" si="0"/>
        <v>0</v>
      </c>
      <c r="D54" s="19">
        <f t="shared" si="0"/>
        <v>0</v>
      </c>
      <c r="E54" s="19">
        <f t="shared" si="2"/>
        <v>0</v>
      </c>
      <c r="F54" s="19">
        <f t="shared" si="2"/>
        <v>0</v>
      </c>
      <c r="G54" s="19">
        <f t="shared" si="1"/>
        <v>0</v>
      </c>
      <c r="H54" s="19">
        <f t="shared" si="1"/>
        <v>0</v>
      </c>
      <c r="I54" s="5"/>
      <c r="J54" s="5"/>
      <c r="K54" s="5"/>
      <c r="L54" s="5"/>
      <c r="M54" s="5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</row>
    <row r="55" spans="2:132" x14ac:dyDescent="0.25">
      <c r="B55" s="5">
        <v>12</v>
      </c>
      <c r="C55" s="19">
        <f t="shared" si="0"/>
        <v>0</v>
      </c>
      <c r="D55" s="19">
        <f t="shared" si="0"/>
        <v>0</v>
      </c>
      <c r="E55" s="19">
        <f t="shared" si="2"/>
        <v>0</v>
      </c>
      <c r="F55" s="19">
        <f t="shared" si="2"/>
        <v>0</v>
      </c>
      <c r="G55" s="19">
        <f t="shared" si="1"/>
        <v>0</v>
      </c>
      <c r="H55" s="19">
        <f t="shared" si="1"/>
        <v>0</v>
      </c>
      <c r="I55" s="5"/>
      <c r="J55" s="5"/>
      <c r="K55" s="5"/>
      <c r="L55" s="5"/>
      <c r="M55" s="5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</row>
    <row r="56" spans="2:132" x14ac:dyDescent="0.25">
      <c r="B56" s="5">
        <v>13</v>
      </c>
      <c r="C56" s="19">
        <f t="shared" si="0"/>
        <v>0</v>
      </c>
      <c r="D56" s="19">
        <f t="shared" si="0"/>
        <v>0</v>
      </c>
      <c r="E56" s="19">
        <f t="shared" si="2"/>
        <v>0</v>
      </c>
      <c r="F56" s="19">
        <f t="shared" si="2"/>
        <v>0</v>
      </c>
      <c r="G56" s="19">
        <f t="shared" si="1"/>
        <v>0</v>
      </c>
      <c r="H56" s="19">
        <f t="shared" si="1"/>
        <v>0</v>
      </c>
      <c r="I56" s="4"/>
      <c r="J56" s="5"/>
      <c r="K56" s="5"/>
      <c r="L56" s="5"/>
      <c r="M56" s="5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</row>
    <row r="57" spans="2:132" x14ac:dyDescent="0.25">
      <c r="B57" s="5">
        <v>14</v>
      </c>
      <c r="C57" s="19">
        <f t="shared" si="0"/>
        <v>0</v>
      </c>
      <c r="D57" s="19">
        <f t="shared" si="0"/>
        <v>0</v>
      </c>
      <c r="E57" s="19">
        <f t="shared" si="2"/>
        <v>0</v>
      </c>
      <c r="F57" s="19">
        <f t="shared" si="2"/>
        <v>0</v>
      </c>
      <c r="G57" s="19">
        <f t="shared" si="1"/>
        <v>0</v>
      </c>
      <c r="H57" s="19">
        <f t="shared" si="1"/>
        <v>0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</row>
    <row r="58" spans="2:132" x14ac:dyDescent="0.25">
      <c r="B58" s="5">
        <v>15</v>
      </c>
      <c r="C58" s="19">
        <f t="shared" si="0"/>
        <v>0</v>
      </c>
      <c r="D58" s="19">
        <f t="shared" si="0"/>
        <v>0</v>
      </c>
      <c r="E58" s="19">
        <f t="shared" si="2"/>
        <v>0</v>
      </c>
      <c r="F58" s="19">
        <f t="shared" si="2"/>
        <v>0</v>
      </c>
      <c r="G58" s="19">
        <f t="shared" si="1"/>
        <v>0</v>
      </c>
      <c r="H58" s="19">
        <f t="shared" si="1"/>
        <v>0</v>
      </c>
      <c r="I58" s="10"/>
      <c r="J58" s="10"/>
      <c r="K58" s="10"/>
      <c r="L58" s="10"/>
      <c r="M58" s="10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</row>
    <row r="59" spans="2:132" x14ac:dyDescent="0.25">
      <c r="B59" s="5">
        <v>16</v>
      </c>
      <c r="C59" s="19">
        <f t="shared" si="0"/>
        <v>0</v>
      </c>
      <c r="D59" s="19">
        <f t="shared" si="0"/>
        <v>0</v>
      </c>
      <c r="E59" s="19">
        <f t="shared" si="2"/>
        <v>0</v>
      </c>
      <c r="F59" s="19">
        <f t="shared" si="2"/>
        <v>0</v>
      </c>
      <c r="G59" s="19">
        <f t="shared" si="1"/>
        <v>0</v>
      </c>
      <c r="H59" s="19">
        <f t="shared" si="1"/>
        <v>0</v>
      </c>
      <c r="I59" s="10"/>
      <c r="J59" s="10"/>
      <c r="K59" s="10"/>
      <c r="L59" s="10"/>
      <c r="M59" s="10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</row>
    <row r="60" spans="2:132" x14ac:dyDescent="0.25">
      <c r="B60" s="5">
        <v>17</v>
      </c>
      <c r="C60" s="19">
        <f t="shared" si="0"/>
        <v>0</v>
      </c>
      <c r="D60" s="19">
        <f t="shared" si="0"/>
        <v>0</v>
      </c>
      <c r="E60" s="19">
        <f t="shared" si="2"/>
        <v>0</v>
      </c>
      <c r="F60" s="19">
        <f t="shared" si="2"/>
        <v>0</v>
      </c>
      <c r="G60" s="19">
        <f t="shared" si="1"/>
        <v>0</v>
      </c>
      <c r="H60" s="19">
        <f t="shared" si="1"/>
        <v>0</v>
      </c>
      <c r="I60" s="10"/>
      <c r="J60" s="10"/>
      <c r="K60" s="10"/>
      <c r="L60" s="10"/>
      <c r="M60" s="10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</row>
    <row r="61" spans="2:132" x14ac:dyDescent="0.25">
      <c r="B61" s="5">
        <v>18</v>
      </c>
      <c r="C61" s="19">
        <f t="shared" si="0"/>
        <v>0</v>
      </c>
      <c r="D61" s="19">
        <f t="shared" si="0"/>
        <v>0</v>
      </c>
      <c r="E61" s="19">
        <f t="shared" si="2"/>
        <v>0</v>
      </c>
      <c r="F61" s="19">
        <f t="shared" si="2"/>
        <v>0</v>
      </c>
      <c r="G61" s="19">
        <f t="shared" si="1"/>
        <v>0</v>
      </c>
      <c r="H61" s="19">
        <f t="shared" si="1"/>
        <v>0</v>
      </c>
      <c r="I61" s="10"/>
      <c r="J61" s="10"/>
      <c r="K61" s="10"/>
      <c r="L61" s="14"/>
      <c r="M61" s="10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</row>
    <row r="62" spans="2:132" x14ac:dyDescent="0.25">
      <c r="B62" s="5">
        <v>19</v>
      </c>
      <c r="C62" s="19">
        <f t="shared" si="0"/>
        <v>0</v>
      </c>
      <c r="D62" s="19">
        <f t="shared" si="0"/>
        <v>0</v>
      </c>
      <c r="E62" s="19">
        <f t="shared" si="2"/>
        <v>0</v>
      </c>
      <c r="F62" s="19">
        <f t="shared" si="2"/>
        <v>0</v>
      </c>
      <c r="G62" s="19">
        <f t="shared" si="1"/>
        <v>0</v>
      </c>
      <c r="H62" s="19">
        <f t="shared" si="1"/>
        <v>0</v>
      </c>
      <c r="I62" s="10"/>
      <c r="J62" s="10"/>
      <c r="K62" s="10"/>
      <c r="L62" s="10"/>
      <c r="M62" s="1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</row>
    <row r="63" spans="2:132" x14ac:dyDescent="0.25">
      <c r="B63" s="5">
        <v>20</v>
      </c>
      <c r="C63" s="19">
        <f t="shared" si="0"/>
        <v>0</v>
      </c>
      <c r="D63" s="19">
        <f t="shared" si="0"/>
        <v>0</v>
      </c>
      <c r="E63" s="19">
        <f t="shared" si="2"/>
        <v>0</v>
      </c>
      <c r="F63" s="19">
        <f t="shared" si="2"/>
        <v>0</v>
      </c>
      <c r="G63" s="19">
        <f t="shared" si="1"/>
        <v>0</v>
      </c>
      <c r="H63" s="19">
        <f t="shared" si="1"/>
        <v>0</v>
      </c>
      <c r="I63" s="10"/>
      <c r="J63" s="10"/>
      <c r="K63" s="10"/>
      <c r="L63" s="10"/>
      <c r="M63" s="1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</row>
    <row r="64" spans="2:132" x14ac:dyDescent="0.25">
      <c r="B64" s="5"/>
      <c r="C64" s="5"/>
      <c r="D64" s="5"/>
      <c r="E64" s="5"/>
      <c r="F64" s="45" t="s">
        <v>61</v>
      </c>
      <c r="G64" s="19">
        <f>SUM(G44:G63)</f>
        <v>7154.4173158168214</v>
      </c>
      <c r="H64" s="19">
        <f>SUM(H44:H63)</f>
        <v>6840.5291161565201</v>
      </c>
      <c r="I64" s="10"/>
      <c r="J64" s="10"/>
      <c r="K64" s="10"/>
      <c r="L64" s="10"/>
      <c r="M64" s="1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</row>
    <row r="65" spans="1:132" x14ac:dyDescent="0.25">
      <c r="A65" t="s">
        <v>88</v>
      </c>
      <c r="B65" s="38"/>
      <c r="E65" s="5"/>
      <c r="I65" s="10"/>
      <c r="J65" s="10"/>
      <c r="K65" s="10"/>
      <c r="L65" s="10"/>
      <c r="M65" s="10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</row>
    <row r="66" spans="1:132" x14ac:dyDescent="0.25">
      <c r="A66" t="s">
        <v>89</v>
      </c>
      <c r="B66" s="38"/>
      <c r="E66" s="5"/>
      <c r="I66" s="10"/>
      <c r="J66" s="10"/>
      <c r="K66" s="10"/>
      <c r="L66" s="10"/>
      <c r="M66" s="10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</row>
    <row r="67" spans="1:132" x14ac:dyDescent="0.25">
      <c r="A67" t="s">
        <v>90</v>
      </c>
      <c r="B67" s="5"/>
      <c r="E67" s="5"/>
      <c r="H67" s="5"/>
      <c r="I67" s="10"/>
      <c r="J67" s="10"/>
      <c r="K67" s="10"/>
      <c r="L67" s="10"/>
      <c r="M67" s="1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</row>
    <row r="68" spans="1:132" x14ac:dyDescent="0.25">
      <c r="B68" s="5"/>
      <c r="E68" s="5"/>
      <c r="H68" s="5"/>
      <c r="I68" s="5"/>
      <c r="J68" s="5"/>
      <c r="K68" s="5"/>
      <c r="L68" s="5"/>
      <c r="M68" s="5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</row>
    <row r="69" spans="1:132" x14ac:dyDescent="0.25">
      <c r="B69" s="5"/>
      <c r="E69" s="5"/>
      <c r="H69" s="5"/>
      <c r="I69" s="5"/>
      <c r="J69" s="5"/>
      <c r="K69" s="5"/>
      <c r="L69" s="5"/>
      <c r="M69" s="5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</row>
    <row r="70" spans="1:132" x14ac:dyDescent="0.25">
      <c r="B70" s="5"/>
      <c r="E70" s="5"/>
      <c r="H70" s="5"/>
      <c r="I70" s="5"/>
      <c r="J70" s="5"/>
      <c r="K70" s="5"/>
      <c r="L70" s="5"/>
      <c r="M70" s="5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</row>
    <row r="71" spans="1:132" x14ac:dyDescent="0.25">
      <c r="B71" s="5"/>
      <c r="E71" s="5"/>
      <c r="H71" s="5"/>
      <c r="I71" s="5"/>
      <c r="J71" s="5"/>
      <c r="K71" s="5"/>
      <c r="L71" s="5"/>
      <c r="M71" s="5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</row>
    <row r="72" spans="1:132" x14ac:dyDescent="0.25">
      <c r="B72" s="5"/>
      <c r="E72" s="5"/>
      <c r="H72" s="5"/>
      <c r="I72" s="5"/>
      <c r="J72" s="5"/>
      <c r="K72" s="5"/>
      <c r="L72" s="5"/>
      <c r="M72" s="5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</row>
    <row r="73" spans="1:132" x14ac:dyDescent="0.25">
      <c r="B73" s="5"/>
      <c r="E73" s="5"/>
      <c r="H73" s="5"/>
      <c r="I73" s="5"/>
      <c r="J73" s="5"/>
      <c r="K73" s="5"/>
      <c r="L73" s="5"/>
      <c r="M73" s="5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</row>
    <row r="74" spans="1:132" x14ac:dyDescent="0.25">
      <c r="B74" s="5"/>
      <c r="E74" s="5"/>
      <c r="H74" s="5"/>
      <c r="I74" s="5"/>
      <c r="J74" s="5"/>
      <c r="K74" s="5"/>
      <c r="L74" s="5"/>
      <c r="M74" s="5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</row>
    <row r="75" spans="1:132" x14ac:dyDescent="0.25">
      <c r="B75" s="5"/>
      <c r="E75" s="5"/>
      <c r="H75" s="5"/>
      <c r="I75" s="5"/>
      <c r="J75" s="5"/>
      <c r="K75" s="5"/>
      <c r="L75" s="5"/>
      <c r="M75" s="5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</row>
    <row r="76" spans="1:132" x14ac:dyDescent="0.25">
      <c r="B76" s="5"/>
      <c r="E76" s="5"/>
      <c r="H76" s="5"/>
      <c r="I76" s="5"/>
      <c r="J76" s="5"/>
      <c r="K76" s="5"/>
      <c r="L76" s="5"/>
      <c r="M76" s="5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</row>
    <row r="77" spans="1:132" x14ac:dyDescent="0.25">
      <c r="B77" s="5"/>
      <c r="E77" s="5"/>
      <c r="H77" s="5"/>
      <c r="I77" s="5"/>
      <c r="J77" s="5"/>
      <c r="K77" s="5"/>
      <c r="L77" s="5"/>
      <c r="M77" s="5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</row>
    <row r="78" spans="1:132" x14ac:dyDescent="0.25">
      <c r="B78" s="5"/>
      <c r="E78" s="5"/>
      <c r="H78" s="5"/>
      <c r="I78" s="5"/>
      <c r="J78" s="5"/>
      <c r="K78" s="5"/>
      <c r="L78" s="5"/>
      <c r="M78" s="5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</row>
    <row r="79" spans="1:132" x14ac:dyDescent="0.25">
      <c r="B79" s="5"/>
      <c r="E79" s="5"/>
      <c r="H79" s="5"/>
      <c r="I79" s="5"/>
      <c r="J79" s="5"/>
      <c r="K79" s="5"/>
      <c r="L79" s="5"/>
      <c r="M79" s="5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</row>
    <row r="80" spans="1:132" x14ac:dyDescent="0.25">
      <c r="B80" s="5"/>
      <c r="E80" s="5"/>
      <c r="H80" s="5"/>
      <c r="I80" s="5"/>
      <c r="J80" s="5"/>
      <c r="K80" s="5"/>
      <c r="L80" s="5"/>
      <c r="M80" s="5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</row>
    <row r="81" spans="2:132" x14ac:dyDescent="0.25">
      <c r="B81" s="5"/>
      <c r="E81" s="5"/>
      <c r="H81" s="5"/>
      <c r="I81" s="5"/>
      <c r="J81" s="5"/>
      <c r="K81" s="5"/>
      <c r="L81" s="5"/>
      <c r="M81" s="5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</row>
    <row r="82" spans="2:132" x14ac:dyDescent="0.25">
      <c r="B82" s="5"/>
      <c r="E82" s="5"/>
      <c r="H82" s="5"/>
      <c r="I82" s="5"/>
      <c r="J82" s="5"/>
      <c r="K82" s="5"/>
      <c r="L82" s="5"/>
      <c r="M82" s="5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</row>
    <row r="83" spans="2:132" x14ac:dyDescent="0.25">
      <c r="B83" s="5"/>
      <c r="E83" s="5"/>
      <c r="H83" s="5"/>
      <c r="I83" s="5"/>
      <c r="J83" s="5"/>
      <c r="K83" s="5"/>
      <c r="L83" s="5"/>
      <c r="M83" s="5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</row>
    <row r="84" spans="2:132" x14ac:dyDescent="0.25">
      <c r="B84" s="5"/>
      <c r="E84" s="5"/>
      <c r="H84" s="5"/>
      <c r="I84" s="5"/>
      <c r="J84" s="5"/>
      <c r="K84" s="5"/>
      <c r="L84" s="5"/>
      <c r="M84" s="5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</row>
    <row r="85" spans="2:132" x14ac:dyDescent="0.25">
      <c r="B85" s="5"/>
      <c r="E85" s="5"/>
      <c r="H85" s="5"/>
      <c r="I85" s="5"/>
      <c r="J85" s="5"/>
      <c r="K85" s="5"/>
      <c r="L85" s="5"/>
      <c r="M85" s="5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</row>
    <row r="86" spans="2:132" x14ac:dyDescent="0.25">
      <c r="B86" s="5"/>
      <c r="E86" s="5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</row>
    <row r="87" spans="2:132" x14ac:dyDescent="0.25">
      <c r="B87" s="5"/>
      <c r="C87" s="5"/>
      <c r="D87" s="5"/>
      <c r="E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</row>
    <row r="88" spans="2:132" x14ac:dyDescent="0.25">
      <c r="B88" s="38"/>
      <c r="E88" s="5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</row>
    <row r="89" spans="2:132" x14ac:dyDescent="0.25">
      <c r="B89" s="38"/>
      <c r="E89" s="5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</row>
    <row r="90" spans="2:132" x14ac:dyDescent="0.25">
      <c r="B90" s="5"/>
      <c r="E90" s="5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</row>
    <row r="91" spans="2:132" x14ac:dyDescent="0.25">
      <c r="B91" s="5"/>
      <c r="E91" s="5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</row>
    <row r="92" spans="2:132" x14ac:dyDescent="0.25">
      <c r="B92" s="5"/>
      <c r="E92" s="5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</row>
    <row r="93" spans="2:132" x14ac:dyDescent="0.25">
      <c r="B93" s="5"/>
      <c r="E93" s="5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</row>
    <row r="94" spans="2:132" x14ac:dyDescent="0.25">
      <c r="B94" s="5"/>
      <c r="E94" s="5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</row>
    <row r="95" spans="2:132" x14ac:dyDescent="0.25">
      <c r="B95" s="5"/>
      <c r="E95" s="5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</row>
    <row r="96" spans="2:132" x14ac:dyDescent="0.25">
      <c r="B96" s="5"/>
      <c r="E96" s="5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</row>
    <row r="97" spans="1:132" x14ac:dyDescent="0.25">
      <c r="B97" s="5"/>
      <c r="E97" s="5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</row>
    <row r="98" spans="1:132" x14ac:dyDescent="0.25">
      <c r="B98" s="5"/>
      <c r="E98" s="5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</row>
    <row r="99" spans="1:132" x14ac:dyDescent="0.25">
      <c r="B99" s="5"/>
      <c r="E99" s="5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</row>
    <row r="100" spans="1:132" x14ac:dyDescent="0.25">
      <c r="B100" s="5"/>
      <c r="E100" s="5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</row>
    <row r="101" spans="1:132" x14ac:dyDescent="0.25">
      <c r="B101" s="5"/>
      <c r="E101" s="5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</row>
    <row r="102" spans="1:132" x14ac:dyDescent="0.25">
      <c r="B102" s="5"/>
      <c r="E102" s="5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</row>
    <row r="103" spans="1:132" x14ac:dyDescent="0.25">
      <c r="B103" s="5"/>
      <c r="E103" s="5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</row>
    <row r="104" spans="1:132" x14ac:dyDescent="0.25">
      <c r="B104" s="5"/>
      <c r="E104" s="5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</row>
    <row r="105" spans="1:132" x14ac:dyDescent="0.25">
      <c r="B105" s="5"/>
      <c r="E105" s="5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</row>
    <row r="106" spans="1:132" x14ac:dyDescent="0.25">
      <c r="B106" s="5"/>
      <c r="E106" s="5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</row>
    <row r="107" spans="1:132" x14ac:dyDescent="0.25">
      <c r="B107" s="5"/>
      <c r="E107" s="5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</row>
    <row r="108" spans="1:132" x14ac:dyDescent="0.25">
      <c r="B108" s="5"/>
      <c r="E108" s="5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</row>
    <row r="109" spans="1:132" x14ac:dyDescent="0.25">
      <c r="B109" s="5"/>
      <c r="E109" s="5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</row>
    <row r="110" spans="1:132" x14ac:dyDescent="0.25">
      <c r="B110" s="39"/>
      <c r="E110" s="5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</row>
    <row r="111" spans="1:132" x14ac:dyDescent="0.25">
      <c r="A111" s="5"/>
      <c r="B111" s="5"/>
      <c r="C111" s="5"/>
      <c r="D111" s="5"/>
      <c r="E111" s="5"/>
    </row>
    <row r="112" spans="1:132" x14ac:dyDescent="0.25">
      <c r="D112" s="5"/>
      <c r="E112" s="5"/>
    </row>
    <row r="113" spans="2:5" x14ac:dyDescent="0.25">
      <c r="B113" s="40"/>
      <c r="C113" s="40"/>
      <c r="D113" s="5"/>
      <c r="E113" s="5"/>
    </row>
    <row r="114" spans="2:5" x14ac:dyDescent="0.25">
      <c r="B114" s="41"/>
      <c r="C114" s="41"/>
      <c r="D114" s="5"/>
      <c r="E114" s="5"/>
    </row>
    <row r="115" spans="2:5" x14ac:dyDescent="0.25">
      <c r="B115" s="42"/>
      <c r="C115" s="42"/>
      <c r="D115" s="5"/>
      <c r="E115" s="5"/>
    </row>
    <row r="116" spans="2:5" x14ac:dyDescent="0.25">
      <c r="B116" s="42"/>
      <c r="C116" s="42"/>
    </row>
    <row r="117" spans="2:5" x14ac:dyDescent="0.25">
      <c r="B117" s="42"/>
      <c r="C117" s="42"/>
    </row>
    <row r="118" spans="2:5" x14ac:dyDescent="0.25">
      <c r="B118" s="42"/>
      <c r="C118" s="42"/>
    </row>
    <row r="119" spans="2:5" x14ac:dyDescent="0.25">
      <c r="B119" s="43"/>
      <c r="C119" s="41"/>
    </row>
  </sheetData>
  <sheetProtection sheet="1" objects="1" scenarios="1"/>
  <printOptions horizontalCentered="1" gridLines="1"/>
  <pageMargins left="0" right="0" top="0.5" bottom="0.25" header="0" footer="0"/>
  <pageSetup scale="51" orientation="landscape" horizontalDpi="300" verticalDpi="300" r:id="rId1"/>
  <headerFooter alignWithMargins="0">
    <oddHeader>&amp;F</oddHeader>
    <oddFooter>&amp;A</oddFooter>
  </headerFooter>
  <colBreaks count="1" manualBreakCount="1">
    <brk id="1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3</xdr:row>
                    <xdr:rowOff>9525</xdr:rowOff>
                  </from>
                  <to>
                    <xdr:col>3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3</xdr:row>
                    <xdr:rowOff>9525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B119"/>
  <sheetViews>
    <sheetView tabSelected="1" zoomScaleNormal="100" workbookViewId="0">
      <selection activeCell="G13" sqref="G13"/>
    </sheetView>
  </sheetViews>
  <sheetFormatPr defaultRowHeight="15.75" x14ac:dyDescent="0.25"/>
  <cols>
    <col min="1" max="1" width="7.125" customWidth="1"/>
    <col min="2" max="2" width="46.625" customWidth="1"/>
    <col min="3" max="4" width="9.5" customWidth="1"/>
    <col min="5" max="5" width="8.125" customWidth="1"/>
    <col min="6" max="6" width="48" customWidth="1"/>
  </cols>
  <sheetData>
    <row r="1" spans="1:132" ht="16.5" thickBot="1" x14ac:dyDescent="0.3">
      <c r="A1" s="44" t="s">
        <v>62</v>
      </c>
      <c r="B1" s="44" t="s">
        <v>63</v>
      </c>
      <c r="C1" s="44" t="s">
        <v>64</v>
      </c>
      <c r="D1" s="44" t="s">
        <v>65</v>
      </c>
      <c r="E1" s="44" t="s">
        <v>66</v>
      </c>
      <c r="F1" s="44" t="s">
        <v>67</v>
      </c>
    </row>
    <row r="2" spans="1:132" x14ac:dyDescent="0.25">
      <c r="A2" s="1" t="s">
        <v>0</v>
      </c>
      <c r="B2" s="2"/>
      <c r="C2" s="2"/>
      <c r="D2" s="2"/>
      <c r="E2" s="2"/>
      <c r="F2" s="3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</row>
    <row r="3" spans="1:132" x14ac:dyDescent="0.25">
      <c r="A3" s="6" t="s">
        <v>68</v>
      </c>
      <c r="B3" s="7" t="s">
        <v>1</v>
      </c>
      <c r="C3" s="55">
        <v>260</v>
      </c>
      <c r="D3" s="55">
        <v>303</v>
      </c>
      <c r="E3" s="7" t="s">
        <v>69</v>
      </c>
      <c r="F3" s="8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</row>
    <row r="4" spans="1:132" x14ac:dyDescent="0.25">
      <c r="A4" s="6" t="s">
        <v>82</v>
      </c>
      <c r="B4" s="7" t="s">
        <v>83</v>
      </c>
      <c r="C4" s="56">
        <v>1</v>
      </c>
      <c r="D4" s="56">
        <v>2</v>
      </c>
      <c r="E4" s="7" t="s">
        <v>84</v>
      </c>
      <c r="F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</row>
    <row r="5" spans="1:132" x14ac:dyDescent="0.25">
      <c r="A5" s="6" t="s">
        <v>2</v>
      </c>
      <c r="B5" s="7" t="s">
        <v>3</v>
      </c>
      <c r="C5" s="56">
        <v>6</v>
      </c>
      <c r="D5" s="56">
        <v>6</v>
      </c>
      <c r="E5" s="7" t="s">
        <v>4</v>
      </c>
      <c r="F5" s="8"/>
      <c r="H5" s="5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spans="1:132" x14ac:dyDescent="0.25">
      <c r="A6" s="6" t="s">
        <v>5</v>
      </c>
      <c r="B6" s="7" t="s">
        <v>6</v>
      </c>
      <c r="C6" s="56">
        <v>600</v>
      </c>
      <c r="D6" s="56">
        <v>600</v>
      </c>
      <c r="E6" s="7" t="s">
        <v>7</v>
      </c>
      <c r="F6" s="8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</row>
    <row r="7" spans="1:132" x14ac:dyDescent="0.25">
      <c r="A7" s="6" t="s">
        <v>8</v>
      </c>
      <c r="B7" s="7" t="s">
        <v>9</v>
      </c>
      <c r="C7" s="57">
        <v>0.05</v>
      </c>
      <c r="D7" s="57">
        <v>0.05</v>
      </c>
      <c r="E7" s="7" t="s">
        <v>10</v>
      </c>
      <c r="F7" s="8"/>
      <c r="H7" s="5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 x14ac:dyDescent="0.25">
      <c r="A8" s="6" t="s">
        <v>70</v>
      </c>
      <c r="B8" s="7" t="s">
        <v>11</v>
      </c>
      <c r="C8" s="58">
        <v>1</v>
      </c>
      <c r="D8" s="58">
        <v>1</v>
      </c>
      <c r="E8" s="7" t="s">
        <v>71</v>
      </c>
      <c r="F8" s="8"/>
      <c r="H8" s="5"/>
      <c r="I8" s="10"/>
      <c r="J8" s="10"/>
      <c r="K8" s="10"/>
      <c r="L8" s="10"/>
      <c r="M8" s="1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</row>
    <row r="9" spans="1:132" x14ac:dyDescent="0.25">
      <c r="A9" s="6" t="s">
        <v>91</v>
      </c>
      <c r="B9" s="7" t="s">
        <v>92</v>
      </c>
      <c r="C9" s="58">
        <v>1</v>
      </c>
      <c r="D9" s="58">
        <v>1</v>
      </c>
      <c r="E9" s="7" t="s">
        <v>71</v>
      </c>
      <c r="F9" s="8"/>
      <c r="H9" s="5"/>
      <c r="I9" s="10"/>
      <c r="J9" s="10"/>
      <c r="K9" s="10"/>
      <c r="L9" s="10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</row>
    <row r="10" spans="1:132" x14ac:dyDescent="0.25">
      <c r="A10" s="6" t="s">
        <v>12</v>
      </c>
      <c r="B10" s="17" t="s">
        <v>13</v>
      </c>
      <c r="C10" s="58">
        <v>2</v>
      </c>
      <c r="D10" s="58">
        <v>2</v>
      </c>
      <c r="E10" s="17" t="s">
        <v>112</v>
      </c>
      <c r="F10" s="8"/>
      <c r="H10" s="5"/>
      <c r="I10" s="10"/>
      <c r="J10" s="10"/>
      <c r="K10" s="10"/>
      <c r="L10" s="10"/>
      <c r="M10" s="10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</row>
    <row r="11" spans="1:132" x14ac:dyDescent="0.25">
      <c r="A11" s="6" t="s">
        <v>80</v>
      </c>
      <c r="B11" s="17" t="s">
        <v>81</v>
      </c>
      <c r="C11" s="55">
        <v>80</v>
      </c>
      <c r="D11" s="55">
        <v>80</v>
      </c>
      <c r="E11" s="17" t="s">
        <v>20</v>
      </c>
      <c r="F11" s="8" t="s">
        <v>78</v>
      </c>
      <c r="H11" s="5"/>
      <c r="I11" s="10"/>
      <c r="J11" s="10"/>
      <c r="K11" s="10"/>
      <c r="L11" s="10"/>
      <c r="M11" s="10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</row>
    <row r="12" spans="1:132" x14ac:dyDescent="0.25">
      <c r="A12" s="6" t="s">
        <v>79</v>
      </c>
      <c r="B12" s="17" t="s">
        <v>77</v>
      </c>
      <c r="C12" s="55">
        <v>90</v>
      </c>
      <c r="D12" s="55">
        <v>90</v>
      </c>
      <c r="E12" s="17" t="s">
        <v>20</v>
      </c>
      <c r="F12" s="8" t="s">
        <v>78</v>
      </c>
      <c r="H12" s="5"/>
      <c r="I12" s="10"/>
      <c r="J12" s="10"/>
      <c r="K12" s="10"/>
      <c r="L12" s="10"/>
      <c r="M12" s="10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</row>
    <row r="13" spans="1:132" x14ac:dyDescent="0.25">
      <c r="A13" s="6" t="s">
        <v>94</v>
      </c>
      <c r="B13" s="17" t="s">
        <v>95</v>
      </c>
      <c r="C13" s="55">
        <v>97</v>
      </c>
      <c r="D13" s="55">
        <v>97</v>
      </c>
      <c r="E13" s="17" t="s">
        <v>20</v>
      </c>
      <c r="F13" s="8" t="s">
        <v>93</v>
      </c>
      <c r="H13" s="5"/>
      <c r="I13" s="10"/>
      <c r="J13" s="10"/>
      <c r="K13" s="10"/>
      <c r="L13" s="10"/>
      <c r="M13" s="10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</row>
    <row r="14" spans="1:132" x14ac:dyDescent="0.25">
      <c r="A14" s="6" t="s">
        <v>103</v>
      </c>
      <c r="B14" s="17" t="s">
        <v>104</v>
      </c>
      <c r="C14" s="55">
        <v>90</v>
      </c>
      <c r="D14" s="55">
        <v>90</v>
      </c>
      <c r="E14" s="17" t="s">
        <v>20</v>
      </c>
      <c r="F14" s="8" t="s">
        <v>114</v>
      </c>
      <c r="H14" s="5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</row>
    <row r="15" spans="1:132" x14ac:dyDescent="0.25">
      <c r="A15" s="6"/>
      <c r="B15" s="7"/>
      <c r="C15" s="18"/>
      <c r="D15" s="18"/>
      <c r="E15" s="7"/>
      <c r="F15" s="8"/>
      <c r="H15" s="5"/>
      <c r="I15" s="10"/>
      <c r="J15" s="10"/>
      <c r="K15" s="10"/>
      <c r="L15" s="10"/>
      <c r="M15" s="10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</row>
    <row r="16" spans="1:132" x14ac:dyDescent="0.25">
      <c r="A16" s="20" t="s">
        <v>14</v>
      </c>
      <c r="B16" s="7"/>
      <c r="C16" s="7"/>
      <c r="D16" s="7"/>
      <c r="E16" s="7"/>
      <c r="F16" s="8"/>
      <c r="H16" s="5"/>
      <c r="I16" s="10"/>
      <c r="J16" s="10"/>
      <c r="K16" s="10"/>
      <c r="L16" s="10"/>
      <c r="M16" s="1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</row>
    <row r="17" spans="1:132" x14ac:dyDescent="0.25">
      <c r="A17" s="6" t="s">
        <v>15</v>
      </c>
      <c r="B17" s="7" t="s">
        <v>16</v>
      </c>
      <c r="C17" s="56">
        <f>(1030*Pkw) + IF(Ctt=1,49500,IF(Ctt=2,-7500,96400))</f>
        <v>317300</v>
      </c>
      <c r="D17" s="55">
        <f>(1030*Pkw) + IF(Ctt=1,49500,IF(Ctt=2,-7500,96400))</f>
        <v>304590</v>
      </c>
      <c r="E17" s="7" t="s">
        <v>17</v>
      </c>
      <c r="F17" s="8" t="s">
        <v>107</v>
      </c>
      <c r="H17" s="5"/>
      <c r="I17" s="10"/>
      <c r="J17" s="10"/>
      <c r="K17" s="10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</row>
    <row r="18" spans="1:132" x14ac:dyDescent="0.25">
      <c r="A18" s="6" t="s">
        <v>110</v>
      </c>
      <c r="B18" s="17" t="s">
        <v>111</v>
      </c>
      <c r="C18" s="18">
        <f>IF(Ctt=1,Pkw,Pkw*Epto/100)</f>
        <v>260</v>
      </c>
      <c r="D18" s="18">
        <f>IF(Ctt=1,Pkw,Pkw*Epto/100)</f>
        <v>272.7</v>
      </c>
      <c r="E18" s="17" t="s">
        <v>69</v>
      </c>
      <c r="F18" s="23" t="s">
        <v>113</v>
      </c>
      <c r="H18" s="5"/>
      <c r="I18" s="10"/>
      <c r="J18" s="10"/>
      <c r="K18" s="10"/>
      <c r="L18" s="10"/>
      <c r="M18" s="10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</row>
    <row r="19" spans="1:132" ht="45.75" x14ac:dyDescent="0.25">
      <c r="A19" s="6" t="s">
        <v>18</v>
      </c>
      <c r="B19" s="7" t="s">
        <v>19</v>
      </c>
      <c r="C19" s="21">
        <f>100*IF(PkWpto&gt;112,(0.976-0.119*Ny^0.5-0.0019*H^0.5)^2,(0.942-0.1*Ny^0.5-0.0008*H^0.5)^2)</f>
        <v>40.700625104803855</v>
      </c>
      <c r="D19" s="21">
        <f>100*IF(PkWpto&gt;112,(0.976-0.119*Ny^0.5-0.0019*H^0.5)^2,(0.942-0.1*Ny^0.5-0.0008*H^0.5)^2)</f>
        <v>40.700625104803855</v>
      </c>
      <c r="E19" s="7" t="s">
        <v>20</v>
      </c>
      <c r="F19" s="50" t="s">
        <v>115</v>
      </c>
      <c r="H19" s="5"/>
      <c r="I19" s="5"/>
      <c r="J19" s="5"/>
      <c r="K19" s="5"/>
      <c r="L19" s="5"/>
      <c r="M19" s="5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</row>
    <row r="20" spans="1:132" x14ac:dyDescent="0.25">
      <c r="A20" s="6" t="s">
        <v>21</v>
      </c>
      <c r="B20" s="7" t="s">
        <v>22</v>
      </c>
      <c r="C20" s="18">
        <f>RV/100*P</f>
        <v>129143.08345754264</v>
      </c>
      <c r="D20" s="18">
        <f>RV/100*P</f>
        <v>123970.03400672207</v>
      </c>
      <c r="E20" s="7" t="s">
        <v>17</v>
      </c>
      <c r="F20" s="8" t="s">
        <v>23</v>
      </c>
      <c r="H20" s="5"/>
      <c r="I20" s="5"/>
      <c r="J20" s="5"/>
      <c r="K20" s="5"/>
      <c r="L20" s="5"/>
      <c r="M20" s="5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</row>
    <row r="21" spans="1:132" x14ac:dyDescent="0.25">
      <c r="A21" s="6" t="s">
        <v>24</v>
      </c>
      <c r="B21" s="7" t="s">
        <v>25</v>
      </c>
      <c r="C21" s="18">
        <f>P-SV/(1+i)^Ny</f>
        <v>220931.4427548527</v>
      </c>
      <c r="D21" s="18">
        <f>P-SV/(1+i)^Ny</f>
        <v>212081.65190261765</v>
      </c>
      <c r="E21" s="7" t="s">
        <v>26</v>
      </c>
      <c r="F21" s="23" t="s">
        <v>72</v>
      </c>
      <c r="H21" s="5"/>
      <c r="I21" s="5"/>
      <c r="J21" s="5"/>
      <c r="K21" s="5"/>
      <c r="L21" s="5"/>
      <c r="M21" s="5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</row>
    <row r="22" spans="1:132" x14ac:dyDescent="0.25">
      <c r="A22" s="6" t="s">
        <v>27</v>
      </c>
      <c r="B22" s="7" t="s">
        <v>28</v>
      </c>
      <c r="C22" s="18">
        <f>G64</f>
        <v>7128.9615533210363</v>
      </c>
      <c r="D22" s="18">
        <f>H64</f>
        <v>6843.3986748378647</v>
      </c>
      <c r="E22" s="7" t="s">
        <v>26</v>
      </c>
      <c r="F22" s="23" t="s">
        <v>108</v>
      </c>
      <c r="H22" s="5"/>
      <c r="I22" s="4"/>
      <c r="J22" s="5"/>
      <c r="K22" s="5"/>
      <c r="L22" s="5"/>
      <c r="M22" s="5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</row>
    <row r="23" spans="1:132" x14ac:dyDescent="0.25">
      <c r="A23" s="6" t="s">
        <v>85</v>
      </c>
      <c r="B23" s="7" t="s">
        <v>86</v>
      </c>
      <c r="C23" s="13">
        <f>1  -  (Sp/100-1)*(0.45*Pp/100 - 0.877)</f>
        <v>0.94830000000000003</v>
      </c>
      <c r="D23" s="13">
        <f>1  -  (Sp/100-1)*(0.45*Pp/100 - 0.877)</f>
        <v>0.94830000000000003</v>
      </c>
      <c r="E23" s="7" t="s">
        <v>87</v>
      </c>
      <c r="F23" s="23" t="s">
        <v>109</v>
      </c>
      <c r="H23" s="5"/>
      <c r="I23" s="4"/>
      <c r="J23" s="5"/>
      <c r="K23" s="5"/>
      <c r="L23" s="5"/>
      <c r="M23" s="5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</row>
    <row r="24" spans="1:132" ht="45.75" x14ac:dyDescent="0.25">
      <c r="A24" s="6" t="s">
        <v>29</v>
      </c>
      <c r="B24" s="7" t="s">
        <v>30</v>
      </c>
      <c r="C24" s="21">
        <f>PkWpto*(Pp/100)*(0.22+0.096/(Pp/100))*PTM  * Afc/100</f>
        <v>65.051862720000003</v>
      </c>
      <c r="D24" s="21">
        <f>PkWpto*(Pp/100)*(0.22+0.096/(Pp/100))*PTM  * Afc/100</f>
        <v>68.229396014399995</v>
      </c>
      <c r="E24" s="7" t="s">
        <v>73</v>
      </c>
      <c r="F24" s="50" t="s">
        <v>116</v>
      </c>
      <c r="H24" s="10"/>
      <c r="I24" s="5"/>
      <c r="J24" s="5"/>
      <c r="K24" s="5"/>
      <c r="L24" s="5"/>
      <c r="M24" s="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</row>
    <row r="25" spans="1:132" x14ac:dyDescent="0.25">
      <c r="A25" s="6" t="s">
        <v>31</v>
      </c>
      <c r="B25" s="7" t="s">
        <v>32</v>
      </c>
      <c r="C25" s="11">
        <f>0.00059*PkWpto+0.02169</f>
        <v>0.17509000000000002</v>
      </c>
      <c r="D25" s="11">
        <f>0.00059*PkWpto+0.02169</f>
        <v>0.182583</v>
      </c>
      <c r="E25" s="7" t="s">
        <v>73</v>
      </c>
      <c r="F25" s="8" t="s">
        <v>117</v>
      </c>
      <c r="G25" s="17"/>
      <c r="H25" s="5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</row>
    <row r="26" spans="1:132" x14ac:dyDescent="0.25">
      <c r="A26" s="6" t="s">
        <v>96</v>
      </c>
      <c r="B26" s="7" t="s">
        <v>97</v>
      </c>
      <c r="C26" s="13">
        <f>0.02*F</f>
        <v>1.3010372544000002</v>
      </c>
      <c r="D26" s="13">
        <f>0.02*F</f>
        <v>1.364587920288</v>
      </c>
      <c r="E26" s="7" t="s">
        <v>73</v>
      </c>
      <c r="F26" s="8" t="s">
        <v>102</v>
      </c>
      <c r="G26" s="17"/>
      <c r="H26" s="5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</row>
    <row r="27" spans="1:132" x14ac:dyDescent="0.25">
      <c r="A27" s="6" t="s">
        <v>33</v>
      </c>
      <c r="B27" s="7" t="s">
        <v>34</v>
      </c>
      <c r="C27" s="18">
        <f>F*H*Pf</f>
        <v>39031.117632000001</v>
      </c>
      <c r="D27" s="18">
        <f>F*H*Pf</f>
        <v>40937.637608639998</v>
      </c>
      <c r="E27" s="7" t="s">
        <v>35</v>
      </c>
      <c r="F27" s="23" t="s">
        <v>74</v>
      </c>
      <c r="H27" s="5"/>
      <c r="I27" s="10"/>
      <c r="J27" s="14"/>
      <c r="K27" s="10"/>
      <c r="L27" s="10"/>
      <c r="M27" s="10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</row>
    <row r="28" spans="1:132" x14ac:dyDescent="0.25">
      <c r="A28" s="6" t="s">
        <v>36</v>
      </c>
      <c r="B28" s="7" t="s">
        <v>37</v>
      </c>
      <c r="C28" s="13">
        <f>4*Pf</f>
        <v>4</v>
      </c>
      <c r="D28" s="13">
        <f>4*Pf</f>
        <v>4</v>
      </c>
      <c r="E28" s="7" t="s">
        <v>71</v>
      </c>
      <c r="F28" s="23" t="s">
        <v>75</v>
      </c>
      <c r="H28" s="5"/>
      <c r="I28" s="10"/>
      <c r="J28" s="10"/>
      <c r="K28" s="10"/>
      <c r="L28" s="10"/>
      <c r="M28" s="10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</row>
    <row r="29" spans="1:132" x14ac:dyDescent="0.25">
      <c r="A29" s="6" t="s">
        <v>38</v>
      </c>
      <c r="B29" s="7" t="s">
        <v>39</v>
      </c>
      <c r="C29" s="18">
        <f>L*H*PL</f>
        <v>420.21600000000007</v>
      </c>
      <c r="D29" s="18">
        <f>L*H*PL</f>
        <v>438.19919999999996</v>
      </c>
      <c r="E29" s="7" t="s">
        <v>35</v>
      </c>
      <c r="F29" s="23" t="s">
        <v>40</v>
      </c>
      <c r="H29" s="5"/>
      <c r="I29" s="10"/>
      <c r="J29" s="10"/>
      <c r="K29" s="10"/>
      <c r="L29" s="10"/>
      <c r="M29" s="10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</row>
    <row r="30" spans="1:132" x14ac:dyDescent="0.25">
      <c r="A30" s="6" t="s">
        <v>98</v>
      </c>
      <c r="B30" s="7" t="s">
        <v>99</v>
      </c>
      <c r="C30" s="18">
        <f>D*Pd*H</f>
        <v>780.62235264000014</v>
      </c>
      <c r="D30" s="18">
        <f>D*Pd*H</f>
        <v>818.7527521728</v>
      </c>
      <c r="E30" s="7" t="s">
        <v>35</v>
      </c>
      <c r="F30" s="23" t="s">
        <v>120</v>
      </c>
      <c r="H30" s="5"/>
      <c r="I30" s="10"/>
      <c r="J30" s="10"/>
      <c r="K30" s="10"/>
      <c r="L30" s="10"/>
      <c r="M30" s="10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</row>
    <row r="31" spans="1:132" x14ac:dyDescent="0.25">
      <c r="A31" s="6" t="s">
        <v>118</v>
      </c>
      <c r="B31" s="17" t="s">
        <v>13</v>
      </c>
      <c r="C31" s="18">
        <f>TIH*P/100</f>
        <v>6346</v>
      </c>
      <c r="D31" s="18">
        <f>TIH*P/100</f>
        <v>6091.8</v>
      </c>
      <c r="E31" s="17" t="s">
        <v>35</v>
      </c>
      <c r="F31" s="23" t="s">
        <v>121</v>
      </c>
      <c r="H31" s="5"/>
      <c r="I31" s="10"/>
      <c r="J31" s="10"/>
      <c r="K31" s="10"/>
      <c r="L31" s="10"/>
      <c r="M31" s="10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</row>
    <row r="32" spans="1:132" x14ac:dyDescent="0.25">
      <c r="A32" s="6"/>
      <c r="B32" s="7"/>
      <c r="C32" s="18"/>
      <c r="D32" s="18"/>
      <c r="E32" s="7"/>
      <c r="F32" s="23"/>
      <c r="H32" s="5"/>
      <c r="I32" s="10"/>
      <c r="J32" s="10"/>
      <c r="K32" s="10"/>
      <c r="L32" s="10"/>
      <c r="M32" s="1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</row>
    <row r="33" spans="1:132" x14ac:dyDescent="0.25">
      <c r="A33" s="20" t="s">
        <v>41</v>
      </c>
      <c r="B33" s="7"/>
      <c r="C33" s="21"/>
      <c r="D33" s="21"/>
      <c r="E33" s="21"/>
      <c r="F33" s="8"/>
      <c r="H33" s="5"/>
      <c r="I33" s="5"/>
      <c r="J33" s="5"/>
      <c r="K33" s="5"/>
      <c r="L33" s="5"/>
      <c r="M33" s="5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</row>
    <row r="34" spans="1:132" x14ac:dyDescent="0.25">
      <c r="A34" s="6" t="s">
        <v>42</v>
      </c>
      <c r="B34" s="7" t="s">
        <v>100</v>
      </c>
      <c r="C34" s="24">
        <f>PMT(i,Ny,-PV-RM)+TIHa</f>
        <v>51277.883432982271</v>
      </c>
      <c r="D34" s="24">
        <f>PMT(i,Ny,-PV-RM)+TIHa</f>
        <v>49223.859170665208</v>
      </c>
      <c r="E34" s="7" t="s">
        <v>35</v>
      </c>
      <c r="F34" s="25" t="s">
        <v>119</v>
      </c>
      <c r="H34" s="5"/>
      <c r="I34" s="5"/>
      <c r="J34" s="5"/>
      <c r="K34" s="5"/>
      <c r="L34" s="5"/>
      <c r="M34" s="5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</row>
    <row r="35" spans="1:132" x14ac:dyDescent="0.25">
      <c r="A35" s="6" t="s">
        <v>43</v>
      </c>
      <c r="B35" s="7" t="s">
        <v>101</v>
      </c>
      <c r="C35" s="24">
        <f>FC+LC+DC</f>
        <v>40231.955984640001</v>
      </c>
      <c r="D35" s="24">
        <f>FC+LC+DC</f>
        <v>42194.589560812798</v>
      </c>
      <c r="E35" s="7" t="s">
        <v>35</v>
      </c>
      <c r="F35" s="25" t="s">
        <v>44</v>
      </c>
      <c r="H35" s="5"/>
      <c r="I35" s="5"/>
      <c r="J35" s="5"/>
      <c r="K35" s="5"/>
      <c r="L35" s="5"/>
      <c r="M35" s="5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</row>
    <row r="36" spans="1:132" x14ac:dyDescent="0.25">
      <c r="A36" s="6" t="s">
        <v>45</v>
      </c>
      <c r="B36" s="7" t="s">
        <v>46</v>
      </c>
      <c r="C36" s="21">
        <f>(AC+FLC)/H</f>
        <v>152.51639902937046</v>
      </c>
      <c r="D36" s="21">
        <f>(AC+FLC)/H</f>
        <v>152.36408121913001</v>
      </c>
      <c r="E36" s="7" t="s">
        <v>47</v>
      </c>
      <c r="F36" s="27" t="s">
        <v>48</v>
      </c>
      <c r="H36" s="5"/>
      <c r="I36" s="4"/>
      <c r="J36" s="5"/>
      <c r="K36" s="5"/>
      <c r="L36" s="5"/>
      <c r="M36" s="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</row>
    <row r="37" spans="1:132" x14ac:dyDescent="0.25">
      <c r="A37" s="28" t="s">
        <v>49</v>
      </c>
      <c r="B37" s="7" t="s">
        <v>50</v>
      </c>
      <c r="C37" s="21">
        <f>AC/H</f>
        <v>85.463139054970455</v>
      </c>
      <c r="D37" s="21">
        <f>AC/H</f>
        <v>82.039765284442012</v>
      </c>
      <c r="E37" s="7" t="s">
        <v>47</v>
      </c>
      <c r="F37" s="29" t="s">
        <v>51</v>
      </c>
      <c r="H37" s="10"/>
      <c r="I37" s="19"/>
      <c r="J37" s="19"/>
      <c r="K37" s="19"/>
      <c r="L37" s="19"/>
      <c r="M37" s="19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</row>
    <row r="38" spans="1:132" s="33" customFormat="1" x14ac:dyDescent="0.25">
      <c r="A38" s="20" t="s">
        <v>52</v>
      </c>
      <c r="B38" s="30" t="s">
        <v>105</v>
      </c>
      <c r="C38" s="31">
        <f>HCtot/PkWpto</f>
        <v>0.58660153472834797</v>
      </c>
      <c r="D38" s="31">
        <f>HCtot/PkWpto</f>
        <v>0.55872417022049881</v>
      </c>
      <c r="E38" s="30" t="s">
        <v>76</v>
      </c>
      <c r="F38" s="32" t="s">
        <v>122</v>
      </c>
      <c r="H38" s="5"/>
      <c r="I38" s="10"/>
      <c r="J38" s="10"/>
      <c r="K38" s="10"/>
      <c r="L38" s="10"/>
      <c r="M38" s="10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</row>
    <row r="39" spans="1:132" s="33" customFormat="1" ht="32.25" thickBot="1" x14ac:dyDescent="0.3">
      <c r="A39" s="46" t="s">
        <v>53</v>
      </c>
      <c r="B39" s="51" t="s">
        <v>106</v>
      </c>
      <c r="C39" s="47">
        <f>HCnf/PkWpto</f>
        <v>0.32870438098065557</v>
      </c>
      <c r="D39" s="47">
        <f>HCnf/PkWpto</f>
        <v>0.30084255696531725</v>
      </c>
      <c r="E39" s="48" t="s">
        <v>76</v>
      </c>
      <c r="F39" s="49" t="s">
        <v>123</v>
      </c>
      <c r="H39" s="5"/>
      <c r="I39" s="10"/>
      <c r="J39" s="10"/>
      <c r="K39" s="10"/>
      <c r="L39" s="14"/>
      <c r="M39" s="10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</row>
    <row r="40" spans="1:132" x14ac:dyDescent="0.25">
      <c r="A40" s="34"/>
      <c r="B40" s="9"/>
      <c r="C40" s="35"/>
      <c r="D40" s="35"/>
      <c r="E40" s="36"/>
      <c r="F40" s="37"/>
      <c r="H40" s="5"/>
      <c r="I40" s="10"/>
      <c r="J40" s="10"/>
      <c r="K40" s="10"/>
      <c r="L40" s="10"/>
      <c r="M40" s="10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</row>
    <row r="41" spans="1:132" x14ac:dyDescent="0.25">
      <c r="B41" s="4" t="s">
        <v>54</v>
      </c>
      <c r="C41" s="5" t="s">
        <v>64</v>
      </c>
      <c r="D41" t="s">
        <v>65</v>
      </c>
      <c r="E41" s="5" t="s">
        <v>64</v>
      </c>
      <c r="F41" t="s">
        <v>65</v>
      </c>
      <c r="G41" s="5" t="s">
        <v>64</v>
      </c>
      <c r="H41" t="s">
        <v>65</v>
      </c>
      <c r="I41" s="10"/>
      <c r="J41" s="10"/>
      <c r="K41" s="10"/>
      <c r="L41" s="10"/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</row>
    <row r="42" spans="1:132" x14ac:dyDescent="0.25">
      <c r="B42" s="38" t="s">
        <v>55</v>
      </c>
      <c r="C42" s="38" t="s">
        <v>56</v>
      </c>
      <c r="D42" s="38" t="s">
        <v>56</v>
      </c>
      <c r="E42" s="38" t="s">
        <v>57</v>
      </c>
      <c r="F42" s="38" t="s">
        <v>57</v>
      </c>
      <c r="G42" s="38" t="s">
        <v>59</v>
      </c>
      <c r="H42" s="38" t="s">
        <v>59</v>
      </c>
      <c r="I42" s="5"/>
      <c r="J42" s="5"/>
      <c r="K42" s="5"/>
      <c r="L42" s="5"/>
      <c r="M42" s="5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</row>
    <row r="43" spans="1:132" x14ac:dyDescent="0.25">
      <c r="B43" s="38"/>
      <c r="C43" s="38"/>
      <c r="D43" s="38"/>
      <c r="E43" s="38" t="s">
        <v>58</v>
      </c>
      <c r="F43" s="38" t="s">
        <v>58</v>
      </c>
      <c r="G43" s="38" t="s">
        <v>60</v>
      </c>
      <c r="H43" s="38" t="s">
        <v>60</v>
      </c>
      <c r="I43" s="5"/>
      <c r="J43" s="5"/>
      <c r="K43" s="5"/>
      <c r="L43" s="5"/>
      <c r="M43" s="5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</row>
    <row r="44" spans="1:132" x14ac:dyDescent="0.25">
      <c r="B44" s="5">
        <v>1</v>
      </c>
      <c r="C44" s="19">
        <f t="shared" ref="C44:D63" si="0">IF(C$5&gt;$B44, IF(C$3&lt;74.57,0.007,0.003)*C$17*($B44*C$6/1000)^2,0)</f>
        <v>342.68399999999997</v>
      </c>
      <c r="D44" s="19">
        <f t="shared" si="0"/>
        <v>328.9572</v>
      </c>
      <c r="E44" s="19">
        <f>C44</f>
        <v>342.68399999999997</v>
      </c>
      <c r="F44" s="19">
        <f>D44</f>
        <v>328.9572</v>
      </c>
      <c r="G44" s="19">
        <f t="shared" ref="G44:G63" si="1">E44/(1+C$7)^$B44</f>
        <v>326.36571428571426</v>
      </c>
      <c r="H44" s="19">
        <f t="shared" ref="H44:H63" si="2">F44/(1+D$7)^$B44</f>
        <v>313.29257142857142</v>
      </c>
      <c r="I44" s="5"/>
      <c r="J44" s="5"/>
      <c r="K44" s="5"/>
      <c r="L44" s="5"/>
      <c r="M44" s="5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</row>
    <row r="45" spans="1:132" x14ac:dyDescent="0.25">
      <c r="B45" s="5">
        <v>2</v>
      </c>
      <c r="C45" s="19">
        <f t="shared" si="0"/>
        <v>1370.7359999999999</v>
      </c>
      <c r="D45" s="19">
        <f t="shared" si="0"/>
        <v>1315.8288</v>
      </c>
      <c r="E45" s="19">
        <f t="shared" ref="E45:E63" si="3">IF(C45&gt;0,C45-C44,0)</f>
        <v>1028.0519999999999</v>
      </c>
      <c r="F45" s="19">
        <f t="shared" ref="F45:F63" si="4">IF(D45&gt;0,D45-D44,0)</f>
        <v>986.87159999999994</v>
      </c>
      <c r="G45" s="19">
        <f t="shared" si="1"/>
        <v>932.47346938775502</v>
      </c>
      <c r="H45" s="19">
        <f t="shared" si="2"/>
        <v>895.12163265306117</v>
      </c>
      <c r="I45" s="4"/>
      <c r="J45" s="5"/>
      <c r="K45" s="5"/>
      <c r="L45" s="5"/>
      <c r="M45" s="5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</row>
    <row r="46" spans="1:132" x14ac:dyDescent="0.25">
      <c r="B46" s="5">
        <v>3</v>
      </c>
      <c r="C46" s="19">
        <f t="shared" si="0"/>
        <v>3084.1559999999999</v>
      </c>
      <c r="D46" s="19">
        <f t="shared" si="0"/>
        <v>2960.6148000000003</v>
      </c>
      <c r="E46" s="19">
        <f t="shared" si="3"/>
        <v>1713.42</v>
      </c>
      <c r="F46" s="19">
        <f t="shared" si="4"/>
        <v>1644.7860000000003</v>
      </c>
      <c r="G46" s="19">
        <f t="shared" si="1"/>
        <v>1480.1166180758016</v>
      </c>
      <c r="H46" s="19">
        <f t="shared" si="2"/>
        <v>1420.8279883381924</v>
      </c>
      <c r="I46" s="15"/>
      <c r="J46" s="15"/>
      <c r="K46" s="15"/>
      <c r="L46" s="15"/>
      <c r="M46" s="15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</row>
    <row r="47" spans="1:132" x14ac:dyDescent="0.25">
      <c r="B47" s="5">
        <v>4</v>
      </c>
      <c r="C47" s="19">
        <f t="shared" si="0"/>
        <v>5482.9439999999995</v>
      </c>
      <c r="D47" s="19">
        <f t="shared" si="0"/>
        <v>5263.3152</v>
      </c>
      <c r="E47" s="19">
        <f t="shared" si="3"/>
        <v>2398.7879999999996</v>
      </c>
      <c r="F47" s="19">
        <f t="shared" si="4"/>
        <v>2302.7003999999997</v>
      </c>
      <c r="G47" s="19">
        <f t="shared" si="1"/>
        <v>1973.4888241010685</v>
      </c>
      <c r="H47" s="19">
        <f t="shared" si="2"/>
        <v>1894.4373177842563</v>
      </c>
      <c r="I47" s="10"/>
      <c r="J47" s="10"/>
      <c r="K47" s="10"/>
      <c r="L47" s="10"/>
      <c r="M47" s="10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</row>
    <row r="48" spans="1:132" x14ac:dyDescent="0.25">
      <c r="B48" s="5">
        <v>5</v>
      </c>
      <c r="C48" s="19">
        <f t="shared" si="0"/>
        <v>8567.1</v>
      </c>
      <c r="D48" s="19">
        <f t="shared" si="0"/>
        <v>8223.93</v>
      </c>
      <c r="E48" s="19">
        <f t="shared" si="3"/>
        <v>3084.1560000000009</v>
      </c>
      <c r="F48" s="19">
        <f t="shared" si="4"/>
        <v>2960.6148000000003</v>
      </c>
      <c r="G48" s="19">
        <f t="shared" si="1"/>
        <v>2416.5169274706973</v>
      </c>
      <c r="H48" s="19">
        <f t="shared" si="2"/>
        <v>2319.7191646337837</v>
      </c>
      <c r="I48" s="10"/>
      <c r="J48" s="10"/>
      <c r="K48" s="10"/>
      <c r="L48" s="14"/>
      <c r="M48" s="1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</row>
    <row r="49" spans="2:132" x14ac:dyDescent="0.25">
      <c r="B49" s="5">
        <v>6</v>
      </c>
      <c r="C49" s="19">
        <f t="shared" si="0"/>
        <v>0</v>
      </c>
      <c r="D49" s="19">
        <f t="shared" si="0"/>
        <v>0</v>
      </c>
      <c r="E49" s="19">
        <f t="shared" si="3"/>
        <v>0</v>
      </c>
      <c r="F49" s="19">
        <f t="shared" si="4"/>
        <v>0</v>
      </c>
      <c r="G49" s="19">
        <f t="shared" si="1"/>
        <v>0</v>
      </c>
      <c r="H49" s="19">
        <f t="shared" si="2"/>
        <v>0</v>
      </c>
      <c r="I49" s="10"/>
      <c r="J49" s="10"/>
      <c r="K49" s="10"/>
      <c r="L49" s="10"/>
      <c r="M49" s="10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</row>
    <row r="50" spans="2:132" x14ac:dyDescent="0.25">
      <c r="B50" s="5">
        <v>7</v>
      </c>
      <c r="C50" s="19">
        <f t="shared" si="0"/>
        <v>0</v>
      </c>
      <c r="D50" s="19">
        <f t="shared" si="0"/>
        <v>0</v>
      </c>
      <c r="E50" s="19">
        <f t="shared" si="3"/>
        <v>0</v>
      </c>
      <c r="F50" s="19">
        <f t="shared" si="4"/>
        <v>0</v>
      </c>
      <c r="G50" s="19">
        <f t="shared" si="1"/>
        <v>0</v>
      </c>
      <c r="H50" s="19">
        <f t="shared" si="2"/>
        <v>0</v>
      </c>
      <c r="I50" s="10"/>
      <c r="J50" s="10"/>
      <c r="K50" s="10"/>
      <c r="L50" s="10"/>
      <c r="M50" s="10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</row>
    <row r="51" spans="2:132" x14ac:dyDescent="0.25">
      <c r="B51" s="5">
        <v>8</v>
      </c>
      <c r="C51" s="19">
        <f t="shared" si="0"/>
        <v>0</v>
      </c>
      <c r="D51" s="19">
        <f t="shared" si="0"/>
        <v>0</v>
      </c>
      <c r="E51" s="19">
        <f t="shared" si="3"/>
        <v>0</v>
      </c>
      <c r="F51" s="19">
        <f t="shared" si="4"/>
        <v>0</v>
      </c>
      <c r="G51" s="19">
        <f t="shared" si="1"/>
        <v>0</v>
      </c>
      <c r="H51" s="19">
        <f t="shared" si="2"/>
        <v>0</v>
      </c>
      <c r="I51" s="10"/>
      <c r="J51" s="10"/>
      <c r="K51" s="10"/>
      <c r="L51" s="10"/>
      <c r="M51" s="10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</row>
    <row r="52" spans="2:132" x14ac:dyDescent="0.25">
      <c r="B52" s="5">
        <v>9</v>
      </c>
      <c r="C52" s="19">
        <f t="shared" si="0"/>
        <v>0</v>
      </c>
      <c r="D52" s="19">
        <f t="shared" si="0"/>
        <v>0</v>
      </c>
      <c r="E52" s="19">
        <f t="shared" si="3"/>
        <v>0</v>
      </c>
      <c r="F52" s="19">
        <f t="shared" si="4"/>
        <v>0</v>
      </c>
      <c r="G52" s="19">
        <f t="shared" si="1"/>
        <v>0</v>
      </c>
      <c r="H52" s="19">
        <f t="shared" si="2"/>
        <v>0</v>
      </c>
      <c r="I52" s="10"/>
      <c r="J52" s="10"/>
      <c r="K52" s="10"/>
      <c r="L52" s="10"/>
      <c r="M52" s="1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</row>
    <row r="53" spans="2:132" x14ac:dyDescent="0.25">
      <c r="B53" s="5">
        <v>10</v>
      </c>
      <c r="C53" s="19">
        <f t="shared" si="0"/>
        <v>0</v>
      </c>
      <c r="D53" s="19">
        <f t="shared" si="0"/>
        <v>0</v>
      </c>
      <c r="E53" s="19">
        <f t="shared" si="3"/>
        <v>0</v>
      </c>
      <c r="F53" s="19">
        <f t="shared" si="4"/>
        <v>0</v>
      </c>
      <c r="G53" s="19">
        <f t="shared" si="1"/>
        <v>0</v>
      </c>
      <c r="H53" s="19">
        <f t="shared" si="2"/>
        <v>0</v>
      </c>
      <c r="I53" s="5"/>
      <c r="J53" s="5"/>
      <c r="K53" s="5"/>
      <c r="L53" s="5"/>
      <c r="M53" s="5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</row>
    <row r="54" spans="2:132" x14ac:dyDescent="0.25">
      <c r="B54" s="5">
        <v>11</v>
      </c>
      <c r="C54" s="19">
        <f t="shared" si="0"/>
        <v>0</v>
      </c>
      <c r="D54" s="19">
        <f t="shared" si="0"/>
        <v>0</v>
      </c>
      <c r="E54" s="19">
        <f t="shared" si="3"/>
        <v>0</v>
      </c>
      <c r="F54" s="19">
        <f t="shared" si="4"/>
        <v>0</v>
      </c>
      <c r="G54" s="19">
        <f t="shared" si="1"/>
        <v>0</v>
      </c>
      <c r="H54" s="19">
        <f t="shared" si="2"/>
        <v>0</v>
      </c>
      <c r="I54" s="5"/>
      <c r="J54" s="5"/>
      <c r="K54" s="5"/>
      <c r="L54" s="5"/>
      <c r="M54" s="5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</row>
    <row r="55" spans="2:132" x14ac:dyDescent="0.25">
      <c r="B55" s="5">
        <v>12</v>
      </c>
      <c r="C55" s="19">
        <f t="shared" si="0"/>
        <v>0</v>
      </c>
      <c r="D55" s="19">
        <f t="shared" si="0"/>
        <v>0</v>
      </c>
      <c r="E55" s="19">
        <f t="shared" si="3"/>
        <v>0</v>
      </c>
      <c r="F55" s="19">
        <f t="shared" si="4"/>
        <v>0</v>
      </c>
      <c r="G55" s="19">
        <f t="shared" si="1"/>
        <v>0</v>
      </c>
      <c r="H55" s="19">
        <f t="shared" si="2"/>
        <v>0</v>
      </c>
      <c r="I55" s="5"/>
      <c r="J55" s="5"/>
      <c r="K55" s="5"/>
      <c r="L55" s="5"/>
      <c r="M55" s="5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</row>
    <row r="56" spans="2:132" x14ac:dyDescent="0.25">
      <c r="B56" s="5">
        <v>13</v>
      </c>
      <c r="C56" s="19">
        <f t="shared" si="0"/>
        <v>0</v>
      </c>
      <c r="D56" s="19">
        <f t="shared" si="0"/>
        <v>0</v>
      </c>
      <c r="E56" s="19">
        <f t="shared" si="3"/>
        <v>0</v>
      </c>
      <c r="F56" s="19">
        <f t="shared" si="4"/>
        <v>0</v>
      </c>
      <c r="G56" s="19">
        <f t="shared" si="1"/>
        <v>0</v>
      </c>
      <c r="H56" s="19">
        <f t="shared" si="2"/>
        <v>0</v>
      </c>
      <c r="I56" s="4"/>
      <c r="J56" s="5"/>
      <c r="K56" s="5"/>
      <c r="L56" s="5"/>
      <c r="M56" s="5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</row>
    <row r="57" spans="2:132" x14ac:dyDescent="0.25">
      <c r="B57" s="5">
        <v>14</v>
      </c>
      <c r="C57" s="19">
        <f t="shared" si="0"/>
        <v>0</v>
      </c>
      <c r="D57" s="19">
        <f t="shared" si="0"/>
        <v>0</v>
      </c>
      <c r="E57" s="19">
        <f t="shared" si="3"/>
        <v>0</v>
      </c>
      <c r="F57" s="19">
        <f t="shared" si="4"/>
        <v>0</v>
      </c>
      <c r="G57" s="19">
        <f t="shared" si="1"/>
        <v>0</v>
      </c>
      <c r="H57" s="19">
        <f t="shared" si="2"/>
        <v>0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</row>
    <row r="58" spans="2:132" x14ac:dyDescent="0.25">
      <c r="B58" s="5">
        <v>15</v>
      </c>
      <c r="C58" s="19">
        <f t="shared" si="0"/>
        <v>0</v>
      </c>
      <c r="D58" s="19">
        <f t="shared" si="0"/>
        <v>0</v>
      </c>
      <c r="E58" s="19">
        <f t="shared" si="3"/>
        <v>0</v>
      </c>
      <c r="F58" s="19">
        <f t="shared" si="4"/>
        <v>0</v>
      </c>
      <c r="G58" s="19">
        <f t="shared" si="1"/>
        <v>0</v>
      </c>
      <c r="H58" s="19">
        <f t="shared" si="2"/>
        <v>0</v>
      </c>
      <c r="I58" s="10"/>
      <c r="J58" s="10"/>
      <c r="K58" s="10"/>
      <c r="L58" s="10"/>
      <c r="M58" s="10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</row>
    <row r="59" spans="2:132" x14ac:dyDescent="0.25">
      <c r="B59" s="5">
        <v>16</v>
      </c>
      <c r="C59" s="19">
        <f t="shared" si="0"/>
        <v>0</v>
      </c>
      <c r="D59" s="19">
        <f t="shared" si="0"/>
        <v>0</v>
      </c>
      <c r="E59" s="19">
        <f t="shared" si="3"/>
        <v>0</v>
      </c>
      <c r="F59" s="19">
        <f t="shared" si="4"/>
        <v>0</v>
      </c>
      <c r="G59" s="19">
        <f t="shared" si="1"/>
        <v>0</v>
      </c>
      <c r="H59" s="19">
        <f t="shared" si="2"/>
        <v>0</v>
      </c>
      <c r="I59" s="10"/>
      <c r="J59" s="10"/>
      <c r="K59" s="10"/>
      <c r="L59" s="10"/>
      <c r="M59" s="10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</row>
    <row r="60" spans="2:132" x14ac:dyDescent="0.25">
      <c r="B60" s="5">
        <v>17</v>
      </c>
      <c r="C60" s="19">
        <f t="shared" si="0"/>
        <v>0</v>
      </c>
      <c r="D60" s="19">
        <f t="shared" si="0"/>
        <v>0</v>
      </c>
      <c r="E60" s="19">
        <f t="shared" si="3"/>
        <v>0</v>
      </c>
      <c r="F60" s="19">
        <f t="shared" si="4"/>
        <v>0</v>
      </c>
      <c r="G60" s="19">
        <f t="shared" si="1"/>
        <v>0</v>
      </c>
      <c r="H60" s="19">
        <f t="shared" si="2"/>
        <v>0</v>
      </c>
      <c r="I60" s="10"/>
      <c r="J60" s="10"/>
      <c r="K60" s="10"/>
      <c r="L60" s="10"/>
      <c r="M60" s="10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</row>
    <row r="61" spans="2:132" x14ac:dyDescent="0.25">
      <c r="B61" s="5">
        <v>18</v>
      </c>
      <c r="C61" s="19">
        <f t="shared" si="0"/>
        <v>0</v>
      </c>
      <c r="D61" s="19">
        <f t="shared" si="0"/>
        <v>0</v>
      </c>
      <c r="E61" s="19">
        <f t="shared" si="3"/>
        <v>0</v>
      </c>
      <c r="F61" s="19">
        <f t="shared" si="4"/>
        <v>0</v>
      </c>
      <c r="G61" s="19">
        <f t="shared" si="1"/>
        <v>0</v>
      </c>
      <c r="H61" s="19">
        <f t="shared" si="2"/>
        <v>0</v>
      </c>
      <c r="I61" s="10"/>
      <c r="J61" s="10"/>
      <c r="K61" s="10"/>
      <c r="L61" s="14"/>
      <c r="M61" s="10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</row>
    <row r="62" spans="2:132" x14ac:dyDescent="0.25">
      <c r="B62" s="5">
        <v>19</v>
      </c>
      <c r="C62" s="19">
        <f t="shared" si="0"/>
        <v>0</v>
      </c>
      <c r="D62" s="19">
        <f t="shared" si="0"/>
        <v>0</v>
      </c>
      <c r="E62" s="19">
        <f t="shared" si="3"/>
        <v>0</v>
      </c>
      <c r="F62" s="19">
        <f t="shared" si="4"/>
        <v>0</v>
      </c>
      <c r="G62" s="19">
        <f t="shared" si="1"/>
        <v>0</v>
      </c>
      <c r="H62" s="19">
        <f t="shared" si="2"/>
        <v>0</v>
      </c>
      <c r="I62" s="10"/>
      <c r="J62" s="10"/>
      <c r="K62" s="10"/>
      <c r="L62" s="10"/>
      <c r="M62" s="1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</row>
    <row r="63" spans="2:132" x14ac:dyDescent="0.25">
      <c r="B63" s="5">
        <v>20</v>
      </c>
      <c r="C63" s="19">
        <f t="shared" si="0"/>
        <v>0</v>
      </c>
      <c r="D63" s="19">
        <f t="shared" si="0"/>
        <v>0</v>
      </c>
      <c r="E63" s="19">
        <f t="shared" si="3"/>
        <v>0</v>
      </c>
      <c r="F63" s="19">
        <f t="shared" si="4"/>
        <v>0</v>
      </c>
      <c r="G63" s="19">
        <f t="shared" si="1"/>
        <v>0</v>
      </c>
      <c r="H63" s="19">
        <f t="shared" si="2"/>
        <v>0</v>
      </c>
      <c r="I63" s="10"/>
      <c r="J63" s="10"/>
      <c r="K63" s="10"/>
      <c r="L63" s="10"/>
      <c r="M63" s="1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</row>
    <row r="64" spans="2:132" x14ac:dyDescent="0.25">
      <c r="B64" s="5"/>
      <c r="C64" s="5"/>
      <c r="D64" s="5"/>
      <c r="E64" s="5"/>
      <c r="F64" s="45" t="s">
        <v>61</v>
      </c>
      <c r="G64" s="19">
        <f>SUM(G44:G63)</f>
        <v>7128.9615533210363</v>
      </c>
      <c r="H64" s="19">
        <f>SUM(H44:H63)</f>
        <v>6843.3986748378647</v>
      </c>
      <c r="I64" s="10"/>
      <c r="J64" s="10"/>
      <c r="K64" s="10"/>
      <c r="L64" s="10"/>
      <c r="M64" s="1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</row>
    <row r="65" spans="1:132" x14ac:dyDescent="0.25">
      <c r="A65" t="s">
        <v>88</v>
      </c>
      <c r="B65" s="38"/>
      <c r="E65" s="5"/>
      <c r="I65" s="10"/>
      <c r="J65" s="10"/>
      <c r="K65" s="10"/>
      <c r="L65" s="10"/>
      <c r="M65" s="10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</row>
    <row r="66" spans="1:132" x14ac:dyDescent="0.25">
      <c r="A66" t="s">
        <v>89</v>
      </c>
      <c r="B66" s="38"/>
      <c r="E66" s="5"/>
      <c r="I66" s="10"/>
      <c r="J66" s="10"/>
      <c r="K66" s="10"/>
      <c r="L66" s="10"/>
      <c r="M66" s="10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</row>
    <row r="67" spans="1:132" x14ac:dyDescent="0.25">
      <c r="A67" t="s">
        <v>90</v>
      </c>
      <c r="B67" s="5"/>
      <c r="E67" s="5"/>
      <c r="H67" s="5"/>
      <c r="I67" s="10"/>
      <c r="J67" s="10"/>
      <c r="K67" s="10"/>
      <c r="L67" s="10"/>
      <c r="M67" s="1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</row>
    <row r="68" spans="1:132" x14ac:dyDescent="0.25">
      <c r="B68" s="5"/>
      <c r="E68" s="5"/>
      <c r="H68" s="5"/>
      <c r="I68" s="5"/>
      <c r="J68" s="5"/>
      <c r="K68" s="5"/>
      <c r="L68" s="5"/>
      <c r="M68" s="5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</row>
    <row r="69" spans="1:132" x14ac:dyDescent="0.25">
      <c r="B69" s="5"/>
      <c r="E69" s="5"/>
      <c r="H69" s="5"/>
      <c r="I69" s="5"/>
      <c r="J69" s="5"/>
      <c r="K69" s="5"/>
      <c r="L69" s="5"/>
      <c r="M69" s="5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</row>
    <row r="70" spans="1:132" x14ac:dyDescent="0.25">
      <c r="B70" s="5"/>
      <c r="E70" s="5"/>
      <c r="H70" s="5"/>
      <c r="I70" s="5"/>
      <c r="J70" s="5"/>
      <c r="K70" s="5"/>
      <c r="L70" s="5"/>
      <c r="M70" s="5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</row>
    <row r="71" spans="1:132" x14ac:dyDescent="0.25">
      <c r="B71" s="5"/>
      <c r="E71" s="5"/>
      <c r="H71" s="5"/>
      <c r="I71" s="5"/>
      <c r="J71" s="5"/>
      <c r="K71" s="5"/>
      <c r="L71" s="5"/>
      <c r="M71" s="5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</row>
    <row r="72" spans="1:132" x14ac:dyDescent="0.25">
      <c r="B72" s="5"/>
      <c r="E72" s="5"/>
      <c r="H72" s="5"/>
      <c r="I72" s="5"/>
      <c r="J72" s="5"/>
      <c r="K72" s="5"/>
      <c r="L72" s="5"/>
      <c r="M72" s="5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</row>
    <row r="73" spans="1:132" x14ac:dyDescent="0.25">
      <c r="B73" s="5"/>
      <c r="E73" s="5"/>
      <c r="H73" s="5"/>
      <c r="I73" s="5"/>
      <c r="J73" s="5"/>
      <c r="K73" s="5"/>
      <c r="L73" s="5"/>
      <c r="M73" s="5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</row>
    <row r="74" spans="1:132" x14ac:dyDescent="0.25">
      <c r="B74" s="5"/>
      <c r="E74" s="5"/>
      <c r="H74" s="5"/>
      <c r="I74" s="5"/>
      <c r="J74" s="5"/>
      <c r="K74" s="5"/>
      <c r="L74" s="5"/>
      <c r="M74" s="5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</row>
    <row r="75" spans="1:132" x14ac:dyDescent="0.25">
      <c r="B75" s="5"/>
      <c r="E75" s="5"/>
      <c r="H75" s="5"/>
      <c r="I75" s="5"/>
      <c r="J75" s="5"/>
      <c r="K75" s="5"/>
      <c r="L75" s="5"/>
      <c r="M75" s="5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</row>
    <row r="76" spans="1:132" x14ac:dyDescent="0.25">
      <c r="B76" s="5"/>
      <c r="E76" s="5"/>
      <c r="H76" s="5"/>
      <c r="I76" s="5"/>
      <c r="J76" s="5"/>
      <c r="K76" s="5"/>
      <c r="L76" s="5"/>
      <c r="M76" s="5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</row>
    <row r="77" spans="1:132" x14ac:dyDescent="0.25">
      <c r="B77" s="5"/>
      <c r="E77" s="5"/>
      <c r="H77" s="5"/>
      <c r="I77" s="5"/>
      <c r="J77" s="5"/>
      <c r="K77" s="5"/>
      <c r="L77" s="5"/>
      <c r="M77" s="5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</row>
    <row r="78" spans="1:132" x14ac:dyDescent="0.25">
      <c r="B78" s="5"/>
      <c r="E78" s="5"/>
      <c r="H78" s="5"/>
      <c r="I78" s="5"/>
      <c r="J78" s="5"/>
      <c r="K78" s="5"/>
      <c r="L78" s="5"/>
      <c r="M78" s="5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</row>
    <row r="79" spans="1:132" x14ac:dyDescent="0.25">
      <c r="B79" s="5"/>
      <c r="E79" s="5"/>
      <c r="H79" s="5"/>
      <c r="I79" s="5"/>
      <c r="J79" s="5"/>
      <c r="K79" s="5"/>
      <c r="L79" s="5"/>
      <c r="M79" s="5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</row>
    <row r="80" spans="1:132" x14ac:dyDescent="0.25">
      <c r="B80" s="5"/>
      <c r="E80" s="5"/>
      <c r="H80" s="5"/>
      <c r="I80" s="5"/>
      <c r="J80" s="5"/>
      <c r="K80" s="5"/>
      <c r="L80" s="5"/>
      <c r="M80" s="5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</row>
    <row r="81" spans="2:132" x14ac:dyDescent="0.25">
      <c r="B81" s="5"/>
      <c r="E81" s="5"/>
      <c r="H81" s="5"/>
      <c r="I81" s="5"/>
      <c r="J81" s="5"/>
      <c r="K81" s="5"/>
      <c r="L81" s="5"/>
      <c r="M81" s="5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</row>
    <row r="82" spans="2:132" x14ac:dyDescent="0.25">
      <c r="B82" s="5"/>
      <c r="E82" s="5"/>
      <c r="H82" s="5"/>
      <c r="I82" s="5"/>
      <c r="J82" s="5"/>
      <c r="K82" s="5"/>
      <c r="L82" s="5"/>
      <c r="M82" s="5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</row>
    <row r="83" spans="2:132" x14ac:dyDescent="0.25">
      <c r="B83" s="5"/>
      <c r="E83" s="5"/>
      <c r="H83" s="5"/>
      <c r="I83" s="5"/>
      <c r="J83" s="5"/>
      <c r="K83" s="5"/>
      <c r="L83" s="5"/>
      <c r="M83" s="5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</row>
    <row r="84" spans="2:132" x14ac:dyDescent="0.25">
      <c r="B84" s="5"/>
      <c r="E84" s="5"/>
      <c r="H84" s="5"/>
      <c r="I84" s="5"/>
      <c r="J84" s="5"/>
      <c r="K84" s="5"/>
      <c r="L84" s="5"/>
      <c r="M84" s="5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</row>
    <row r="85" spans="2:132" x14ac:dyDescent="0.25">
      <c r="B85" s="5"/>
      <c r="E85" s="5"/>
      <c r="H85" s="5"/>
      <c r="I85" s="5"/>
      <c r="J85" s="5"/>
      <c r="K85" s="5"/>
      <c r="L85" s="5"/>
      <c r="M85" s="5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</row>
    <row r="86" spans="2:132" x14ac:dyDescent="0.25">
      <c r="B86" s="5"/>
      <c r="E86" s="5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</row>
    <row r="87" spans="2:132" x14ac:dyDescent="0.25">
      <c r="B87" s="5"/>
      <c r="C87" s="5"/>
      <c r="D87" s="5"/>
      <c r="E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</row>
    <row r="88" spans="2:132" x14ac:dyDescent="0.25">
      <c r="B88" s="38"/>
      <c r="E88" s="5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</row>
    <row r="89" spans="2:132" x14ac:dyDescent="0.25">
      <c r="B89" s="38"/>
      <c r="E89" s="5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</row>
    <row r="90" spans="2:132" x14ac:dyDescent="0.25">
      <c r="B90" s="5"/>
      <c r="E90" s="5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</row>
    <row r="91" spans="2:132" x14ac:dyDescent="0.25">
      <c r="B91" s="5"/>
      <c r="E91" s="5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</row>
    <row r="92" spans="2:132" x14ac:dyDescent="0.25">
      <c r="B92" s="5"/>
      <c r="E92" s="5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</row>
    <row r="93" spans="2:132" x14ac:dyDescent="0.25">
      <c r="B93" s="5"/>
      <c r="E93" s="5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</row>
    <row r="94" spans="2:132" x14ac:dyDescent="0.25">
      <c r="B94" s="5"/>
      <c r="E94" s="5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</row>
    <row r="95" spans="2:132" x14ac:dyDescent="0.25">
      <c r="B95" s="5"/>
      <c r="E95" s="5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</row>
    <row r="96" spans="2:132" x14ac:dyDescent="0.25">
      <c r="B96" s="5"/>
      <c r="E96" s="5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</row>
    <row r="97" spans="1:132" x14ac:dyDescent="0.25">
      <c r="B97" s="5"/>
      <c r="E97" s="5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</row>
    <row r="98" spans="1:132" x14ac:dyDescent="0.25">
      <c r="B98" s="5"/>
      <c r="E98" s="5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</row>
    <row r="99" spans="1:132" x14ac:dyDescent="0.25">
      <c r="B99" s="5"/>
      <c r="E99" s="5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</row>
    <row r="100" spans="1:132" x14ac:dyDescent="0.25">
      <c r="B100" s="5"/>
      <c r="E100" s="5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</row>
    <row r="101" spans="1:132" x14ac:dyDescent="0.25">
      <c r="B101" s="5"/>
      <c r="E101" s="5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</row>
    <row r="102" spans="1:132" x14ac:dyDescent="0.25">
      <c r="B102" s="5"/>
      <c r="E102" s="5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</row>
    <row r="103" spans="1:132" x14ac:dyDescent="0.25">
      <c r="B103" s="5"/>
      <c r="E103" s="5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</row>
    <row r="104" spans="1:132" x14ac:dyDescent="0.25">
      <c r="B104" s="5"/>
      <c r="E104" s="5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</row>
    <row r="105" spans="1:132" x14ac:dyDescent="0.25">
      <c r="B105" s="5"/>
      <c r="E105" s="5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</row>
    <row r="106" spans="1:132" x14ac:dyDescent="0.25">
      <c r="B106" s="5"/>
      <c r="E106" s="5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</row>
    <row r="107" spans="1:132" x14ac:dyDescent="0.25">
      <c r="B107" s="5"/>
      <c r="E107" s="5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</row>
    <row r="108" spans="1:132" x14ac:dyDescent="0.25">
      <c r="B108" s="5"/>
      <c r="E108" s="5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</row>
    <row r="109" spans="1:132" x14ac:dyDescent="0.25">
      <c r="B109" s="5"/>
      <c r="E109" s="5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</row>
    <row r="110" spans="1:132" x14ac:dyDescent="0.25">
      <c r="B110" s="39"/>
      <c r="E110" s="5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</row>
    <row r="111" spans="1:132" x14ac:dyDescent="0.25">
      <c r="A111" s="5"/>
      <c r="B111" s="5"/>
      <c r="C111" s="5"/>
      <c r="D111" s="5"/>
      <c r="E111" s="5"/>
    </row>
    <row r="112" spans="1:132" x14ac:dyDescent="0.25">
      <c r="D112" s="5"/>
      <c r="E112" s="5"/>
    </row>
    <row r="113" spans="2:5" x14ac:dyDescent="0.25">
      <c r="B113" s="40"/>
      <c r="C113" s="40"/>
      <c r="D113" s="5"/>
      <c r="E113" s="5"/>
    </row>
    <row r="114" spans="2:5" x14ac:dyDescent="0.25">
      <c r="B114" s="41"/>
      <c r="C114" s="41"/>
      <c r="D114" s="5"/>
      <c r="E114" s="5"/>
    </row>
    <row r="115" spans="2:5" x14ac:dyDescent="0.25">
      <c r="B115" s="42"/>
      <c r="C115" s="42"/>
      <c r="D115" s="5"/>
      <c r="E115" s="5"/>
    </row>
    <row r="116" spans="2:5" x14ac:dyDescent="0.25">
      <c r="B116" s="42"/>
      <c r="C116" s="42"/>
    </row>
    <row r="117" spans="2:5" x14ac:dyDescent="0.25">
      <c r="B117" s="42"/>
      <c r="C117" s="42"/>
    </row>
    <row r="118" spans="2:5" x14ac:dyDescent="0.25">
      <c r="B118" s="42"/>
      <c r="C118" s="42"/>
    </row>
    <row r="119" spans="2:5" x14ac:dyDescent="0.25">
      <c r="B119" s="43"/>
      <c r="C119" s="41"/>
    </row>
  </sheetData>
  <sheetProtection sheet="1" objects="1" scenarios="1"/>
  <phoneticPr fontId="0" type="noConversion"/>
  <printOptions horizontalCentered="1" gridLines="1"/>
  <pageMargins left="0" right="0" top="0.5" bottom="0.25" header="0" footer="0"/>
  <pageSetup scale="51" orientation="landscape" horizontalDpi="300" verticalDpi="300" r:id="rId1"/>
  <headerFooter alignWithMargins="0">
    <oddHeader>&amp;F</oddHeader>
    <oddFooter>&amp;A</oddFooter>
  </headerFooter>
  <colBreaks count="1" manualBreakCount="1">
    <brk id="1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Line="0" autoPict="0">
                <anchor moveWithCells="1">
                  <from>
                    <xdr:col>2</xdr:col>
                    <xdr:colOff>0</xdr:colOff>
                    <xdr:row>3</xdr:row>
                    <xdr:rowOff>9525</xdr:rowOff>
                  </from>
                  <to>
                    <xdr:col>3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" name="Drop Down 28">
              <controlPr defaultSize="0" autoLine="0" autoPict="0">
                <anchor moveWithCells="1">
                  <from>
                    <xdr:col>3</xdr:col>
                    <xdr:colOff>0</xdr:colOff>
                    <xdr:row>3</xdr:row>
                    <xdr:rowOff>9525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82</vt:i4>
      </vt:variant>
    </vt:vector>
  </HeadingPairs>
  <TitlesOfParts>
    <vt:vector size="84" baseType="lpstr">
      <vt:lpstr>Engl Units (hp, gal)</vt:lpstr>
      <vt:lpstr>SI Units (kW,l)</vt:lpstr>
      <vt:lpstr>'Engl Units (hp, gal)'!Abbrev.</vt:lpstr>
      <vt:lpstr>Abbrev.</vt:lpstr>
      <vt:lpstr>'Engl Units (hp, gal)'!AC</vt:lpstr>
      <vt:lpstr>AC</vt:lpstr>
      <vt:lpstr>'Engl Units (hp, gal)'!Afc</vt:lpstr>
      <vt:lpstr>Afc</vt:lpstr>
      <vt:lpstr>'Engl Units (hp, gal)'!Articulated</vt:lpstr>
      <vt:lpstr>Articulated</vt:lpstr>
      <vt:lpstr>'Engl Units (hp, gal)'!Ctt</vt:lpstr>
      <vt:lpstr>Ctt</vt:lpstr>
      <vt:lpstr>'Engl Units (hp, gal)'!D</vt:lpstr>
      <vt:lpstr>D</vt:lpstr>
      <vt:lpstr>'Engl Units (hp, gal)'!DC</vt:lpstr>
      <vt:lpstr>DC</vt:lpstr>
      <vt:lpstr>'Engl Units (hp, gal)'!Epto</vt:lpstr>
      <vt:lpstr>Epto</vt:lpstr>
      <vt:lpstr>'Engl Units (hp, gal)'!F</vt:lpstr>
      <vt:lpstr>F</vt:lpstr>
      <vt:lpstr>'Engl Units (hp, gal)'!FC</vt:lpstr>
      <vt:lpstr>FC</vt:lpstr>
      <vt:lpstr>'Engl Units (hp, gal)'!Fixed_Frame</vt:lpstr>
      <vt:lpstr>Fixed_Frame</vt:lpstr>
      <vt:lpstr>'Engl Units (hp, gal)'!FLC</vt:lpstr>
      <vt:lpstr>FLC</vt:lpstr>
      <vt:lpstr>'Engl Units (hp, gal)'!H</vt:lpstr>
      <vt:lpstr>H</vt:lpstr>
      <vt:lpstr>'Engl Units (hp, gal)'!HCnf</vt:lpstr>
      <vt:lpstr>HCnf</vt:lpstr>
      <vt:lpstr>'Engl Units (hp, gal)'!HCtot</vt:lpstr>
      <vt:lpstr>HCtot</vt:lpstr>
      <vt:lpstr>'Engl Units (hp, gal)'!i</vt:lpstr>
      <vt:lpstr>i</vt:lpstr>
      <vt:lpstr>'Engl Units (hp, gal)'!Inputs</vt:lpstr>
      <vt:lpstr>Inputs</vt:lpstr>
      <vt:lpstr>'Engl Units (hp, gal)'!Intermediate</vt:lpstr>
      <vt:lpstr>Intermediate</vt:lpstr>
      <vt:lpstr>'Engl Units (hp, gal)'!L</vt:lpstr>
      <vt:lpstr>L</vt:lpstr>
      <vt:lpstr>'Engl Units (hp, gal)'!LC</vt:lpstr>
      <vt:lpstr>LC</vt:lpstr>
      <vt:lpstr>'Engl Units (hp, gal)'!Ny</vt:lpstr>
      <vt:lpstr>Ny</vt:lpstr>
      <vt:lpstr>'Engl Units (hp, gal)'!Output</vt:lpstr>
      <vt:lpstr>Output</vt:lpstr>
      <vt:lpstr>'Engl Units (hp, gal)'!P</vt:lpstr>
      <vt:lpstr>P</vt:lpstr>
      <vt:lpstr>'Engl Units (hp, gal)'!Pd</vt:lpstr>
      <vt:lpstr>Pd</vt:lpstr>
      <vt:lpstr>'Engl Units (hp, gal)'!Pf</vt:lpstr>
      <vt:lpstr>Pf</vt:lpstr>
      <vt:lpstr>Php</vt:lpstr>
      <vt:lpstr>Phppto</vt:lpstr>
      <vt:lpstr>'Engl Units (hp, gal)'!Pkw</vt:lpstr>
      <vt:lpstr>Pkw</vt:lpstr>
      <vt:lpstr>'Engl Units (hp, gal)'!PkWpto</vt:lpstr>
      <vt:lpstr>PkWpto</vt:lpstr>
      <vt:lpstr>'Engl Units (hp, gal)'!PL</vt:lpstr>
      <vt:lpstr>PL</vt:lpstr>
      <vt:lpstr>'Engl Units (hp, gal)'!Pp</vt:lpstr>
      <vt:lpstr>Pp</vt:lpstr>
      <vt:lpstr>'Engl Units (hp, gal)'!PTM</vt:lpstr>
      <vt:lpstr>PTM</vt:lpstr>
      <vt:lpstr>'Engl Units (hp, gal)'!PV</vt:lpstr>
      <vt:lpstr>PV</vt:lpstr>
      <vt:lpstr>'Engl Units (hp, gal)'!RM</vt:lpstr>
      <vt:lpstr>RM</vt:lpstr>
      <vt:lpstr>'Engl Units (hp, gal)'!RV</vt:lpstr>
      <vt:lpstr>RV</vt:lpstr>
      <vt:lpstr>'Engl Units (hp, gal)'!SCnf</vt:lpstr>
      <vt:lpstr>SCnf</vt:lpstr>
      <vt:lpstr>'Engl Units (hp, gal)'!SCtot</vt:lpstr>
      <vt:lpstr>SCtot</vt:lpstr>
      <vt:lpstr>'Engl Units (hp, gal)'!Sp</vt:lpstr>
      <vt:lpstr>Sp</vt:lpstr>
      <vt:lpstr>'Engl Units (hp, gal)'!SV</vt:lpstr>
      <vt:lpstr>SV</vt:lpstr>
      <vt:lpstr>'Engl Units (hp, gal)'!TIH</vt:lpstr>
      <vt:lpstr>TIH</vt:lpstr>
      <vt:lpstr>'Engl Units (hp, gal)'!TIHa</vt:lpstr>
      <vt:lpstr>TIHa</vt:lpstr>
      <vt:lpstr>'Engl Units (hp, gal)'!Track</vt:lpstr>
      <vt:lpstr>Track</vt:lpstr>
    </vt:vector>
  </TitlesOfParts>
  <Company>Agricultural &amp; Biological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Buckmaster, Dennis</cp:lastModifiedBy>
  <cp:lastPrinted>2003-04-30T15:27:09Z</cp:lastPrinted>
  <dcterms:created xsi:type="dcterms:W3CDTF">2003-04-30T15:11:12Z</dcterms:created>
  <dcterms:modified xsi:type="dcterms:W3CDTF">2015-04-22T11:58:28Z</dcterms:modified>
</cp:coreProperties>
</file>