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gl Units (hp, gal)" sheetId="1" state="visible" r:id="rId2"/>
    <sheet name="SI Units (kW,l)" sheetId="2" state="visible" r:id="rId3"/>
  </sheets>
  <definedNames>
    <definedName function="false" hidden="false" name="Abbrev." vbProcedure="false">'SI Units (kW,l)'!$B$1:$IV$1</definedName>
    <definedName function="false" hidden="false" name="AC" vbProcedure="false">'SI Units (kW,l)'!$B$34:$IV$34</definedName>
    <definedName function="false" hidden="false" name="Afc" vbProcedure="false">'SI Units (kW,l)'!$B$13:$IV$13</definedName>
    <definedName function="false" hidden="false" name="Articulated" vbProcedure="false">'SI Units (kW,l)'!$B$66:$IV$66</definedName>
    <definedName function="false" hidden="false" name="Ctt" vbProcedure="false">'SI Units (kW,l)'!$B$4:$IV$4</definedName>
    <definedName function="false" hidden="false" name="D" vbProcedure="false">'SI Units (kW,l)'!$B$26:$IV$26</definedName>
    <definedName function="false" hidden="false" name="DC" vbProcedure="false">'SI Units (kW,l)'!$B$30:$IV$30</definedName>
    <definedName function="false" hidden="false" name="Epto" vbProcedure="false">'SI Units (kW,l)'!$B$14:$IV$14</definedName>
    <definedName function="false" hidden="false" name="F" vbProcedure="false">'SI Units (kW,l)'!$B$24:$IV$24</definedName>
    <definedName function="false" hidden="false" name="FC" vbProcedure="false">'SI Units (kW,l)'!$B$27:$IV$27</definedName>
    <definedName function="false" hidden="false" name="Fixed_Frame" vbProcedure="false">'SI Units (kW,l)'!$B$65:$IV$65</definedName>
    <definedName function="false" hidden="false" name="FLC" vbProcedure="false">'SI Units (kW,l)'!$B$35:$IV$35</definedName>
    <definedName function="false" hidden="false" name="H" vbProcedure="false">'SI Units (kW,l)'!$B$6:$IV$6</definedName>
    <definedName function="false" hidden="false" name="HCnf" vbProcedure="false">'SI Units (kW,l)'!$B$37:$IV$37</definedName>
    <definedName function="false" hidden="false" name="HCtot" vbProcedure="false">'SI Units (kW,l)'!$B$36:$IV$36</definedName>
    <definedName function="false" hidden="false" name="i" vbProcedure="false">'SI Units (kW,l)'!$B$7:$IV$7</definedName>
    <definedName function="false" hidden="false" name="Inputs" vbProcedure="false">'SI Units (kW,l)'!$B$2:$IV$2</definedName>
    <definedName function="false" hidden="false" name="Intermediate" vbProcedure="false">'SI Units (kW,l)'!$B$16:$IV$16</definedName>
    <definedName function="false" hidden="false" name="L" vbProcedure="false">'SI Units (kW,l)'!$B$25:$IV$25</definedName>
    <definedName function="false" hidden="false" name="LC" vbProcedure="false">'SI Units (kW,l)'!$B$29:$IV$29</definedName>
    <definedName function="false" hidden="false" name="Ny" vbProcedure="false">'SI Units (kW,l)'!$B$5:$IV$5</definedName>
    <definedName function="false" hidden="false" name="Output" vbProcedure="false">'SI Units (kW,l)'!$B$33:$IV$33</definedName>
    <definedName function="false" hidden="false" name="P" vbProcedure="false">'SI Units (kW,l)'!$B$17:$IV$17</definedName>
    <definedName function="false" hidden="false" name="Pd" vbProcedure="false">'SI Units (kW,l)'!$B$9:$IV$9</definedName>
    <definedName function="false" hidden="false" name="Pf" vbProcedure="false">'SI Units (kW,l)'!$B$8:$IV$8</definedName>
    <definedName function="false" hidden="false" name="Php" vbProcedure="false">'Engl Units (hp, gal)'!$B$3:$xfd$3</definedName>
    <definedName function="false" hidden="false" name="Phppto" vbProcedure="false">'Engl Units (hp, gal)'!$B$18:$xfd$18</definedName>
    <definedName function="false" hidden="false" name="Pkw" vbProcedure="false">'SI Units (kW,l)'!$B$3:$IV$3</definedName>
    <definedName function="false" hidden="false" name="PkWpto" vbProcedure="false">'SI Units (kW,l)'!$B$18:$IV$18</definedName>
    <definedName function="false" hidden="false" name="PL" vbProcedure="false">'SI Units (kW,l)'!$B$28:$IV$28</definedName>
    <definedName function="false" hidden="false" name="Pp" vbProcedure="false">'SI Units (kW,l)'!$B$11:$IV$11</definedName>
    <definedName function="false" hidden="false" name="PTM" vbProcedure="false">'SI Units (kW,l)'!$B$23:$IV$23</definedName>
    <definedName function="false" hidden="false" name="PV" vbProcedure="false">'SI Units (kW,l)'!$B$21:$IV$21</definedName>
    <definedName function="false" hidden="false" name="RM" vbProcedure="false">'SI Units (kW,l)'!$B$22:$IV$22</definedName>
    <definedName function="false" hidden="false" name="RV" vbProcedure="false">'SI Units (kW,l)'!$B$19:$IV$19</definedName>
    <definedName function="false" hidden="false" name="SCnf" vbProcedure="false">'SI Units (kW,l)'!$B$39:$IV$39</definedName>
    <definedName function="false" hidden="false" name="SCtot" vbProcedure="false">'SI Units (kW,l)'!$B$38:$IV$38</definedName>
    <definedName function="false" hidden="false" name="Sp" vbProcedure="false">'SI Units (kW,l)'!$B$12:$IV$12</definedName>
    <definedName function="false" hidden="false" name="SV" vbProcedure="false">'SI Units (kW,l)'!$B$20:$IV$20</definedName>
    <definedName function="false" hidden="false" name="TIH" vbProcedure="false">'SI Units (kW,l)'!$B$10:$IV$10</definedName>
    <definedName function="false" hidden="false" name="TIHa" vbProcedure="false">'SI Units (kW,l)'!$B$31:$IV$31</definedName>
    <definedName function="false" hidden="false" name="Track" vbProcedure="false">'SI Units (kW,l)'!$B$67:$IV$67</definedName>
    <definedName function="false" hidden="false" localSheetId="0" name="Abbrev." vbProcedure="false">'Engl Units (hp, gal)'!$B$1:$xfd$1</definedName>
    <definedName function="false" hidden="false" localSheetId="0" name="AC" vbProcedure="false">'Engl Units (hp, gal)'!$B$34:$xfd$34</definedName>
    <definedName function="false" hidden="false" localSheetId="0" name="Afc" vbProcedure="false">'Engl Units (hp, gal)'!$B$13:$xfd$13</definedName>
    <definedName function="false" hidden="false" localSheetId="0" name="Articulated" vbProcedure="false">'Engl Units (hp, gal)'!$B$66:$xfd$66</definedName>
    <definedName function="false" hidden="false" localSheetId="0" name="Ctt" vbProcedure="false">'Engl Units (hp, gal)'!$B$4:$xfd$4</definedName>
    <definedName function="false" hidden="false" localSheetId="0" name="D" vbProcedure="false">'Engl Units (hp, gal)'!$B$26:$xfd$26</definedName>
    <definedName function="false" hidden="false" localSheetId="0" name="DC" vbProcedure="false">'Engl Units (hp, gal)'!$B$30:$xfd$30</definedName>
    <definedName function="false" hidden="false" localSheetId="0" name="Epto" vbProcedure="false">'Engl Units (hp, gal)'!$B$14:$xfd$14</definedName>
    <definedName function="false" hidden="false" localSheetId="0" name="F" vbProcedure="false">'Engl Units (hp, gal)'!$B$24:$xfd$24</definedName>
    <definedName function="false" hidden="false" localSheetId="0" name="FC" vbProcedure="false">'Engl Units (hp, gal)'!$B$27:$xfd$27</definedName>
    <definedName function="false" hidden="false" localSheetId="0" name="Fixed_Frame" vbProcedure="false">'Engl Units (hp, gal)'!$B$65:$xfd$65</definedName>
    <definedName function="false" hidden="false" localSheetId="0" name="FLC" vbProcedure="false">'Engl Units (hp, gal)'!$B$35:$xfd$35</definedName>
    <definedName function="false" hidden="false" localSheetId="0" name="H" vbProcedure="false">'Engl Units (hp, gal)'!$B$6:$xfd$6</definedName>
    <definedName function="false" hidden="false" localSheetId="0" name="HCnf" vbProcedure="false">'Engl Units (hp, gal)'!$B$37:$xfd$37</definedName>
    <definedName function="false" hidden="false" localSheetId="0" name="HCtot" vbProcedure="false">'Engl Units (hp, gal)'!$B$36:$xfd$36</definedName>
    <definedName function="false" hidden="false" localSheetId="0" name="i" vbProcedure="false">'Engl Units (hp, gal)'!$B$7:$xfd$7</definedName>
    <definedName function="false" hidden="false" localSheetId="0" name="Inputs" vbProcedure="false">'Engl Units (hp, gal)'!$B$2:$xfd$2</definedName>
    <definedName function="false" hidden="false" localSheetId="0" name="Intermediate" vbProcedure="false">'Engl Units (hp, gal)'!$B$16:$xfd$16</definedName>
    <definedName function="false" hidden="false" localSheetId="0" name="L" vbProcedure="false">'Engl Units (hp, gal)'!$B$25:$xfd$25</definedName>
    <definedName function="false" hidden="false" localSheetId="0" name="LC" vbProcedure="false">'Engl Units (hp, gal)'!$B$29:$xfd$29</definedName>
    <definedName function="false" hidden="false" localSheetId="0" name="Ny" vbProcedure="false">'Engl Units (hp, gal)'!$B$5:$xfd$5</definedName>
    <definedName function="false" hidden="false" localSheetId="0" name="Output" vbProcedure="false">'Engl Units (hp, gal)'!$B$33:$xfd$33</definedName>
    <definedName function="false" hidden="false" localSheetId="0" name="P" vbProcedure="false">'Engl Units (hp, gal)'!$B$17:$xfd$17</definedName>
    <definedName function="false" hidden="false" localSheetId="0" name="Pd" vbProcedure="false">'Engl Units (hp, gal)'!$B$9:$xfd$9</definedName>
    <definedName function="false" hidden="false" localSheetId="0" name="Pf" vbProcedure="false">'Engl Units (hp, gal)'!$B$8:$xfd$8</definedName>
    <definedName function="false" hidden="false" localSheetId="0" name="Pkw" vbProcedure="false">'Engl Units (hp, gal)'!$B$3:$IV$3</definedName>
    <definedName function="false" hidden="false" localSheetId="0" name="PkWpto" vbProcedure="false">'Engl Units (hp, gal)'!$B$18:$IV$18</definedName>
    <definedName function="false" hidden="false" localSheetId="0" name="PL" vbProcedure="false">'Engl Units (hp, gal)'!$B$28:$xfd$28</definedName>
    <definedName function="false" hidden="false" localSheetId="0" name="Pp" vbProcedure="false">'Engl Units (hp, gal)'!$B$11:$xfd$11</definedName>
    <definedName function="false" hidden="false" localSheetId="0" name="PTM" vbProcedure="false">'Engl Units (hp, gal)'!$B$23:$xfd$23</definedName>
    <definedName function="false" hidden="false" localSheetId="0" name="PV" vbProcedure="false">'Engl Units (hp, gal)'!$B$21:$xfd$21</definedName>
    <definedName function="false" hidden="false" localSheetId="0" name="RM" vbProcedure="false">'Engl Units (hp, gal)'!$B$22:$xfd$22</definedName>
    <definedName function="false" hidden="false" localSheetId="0" name="RV" vbProcedure="false">'Engl Units (hp, gal)'!$B$19:$xfd$19</definedName>
    <definedName function="false" hidden="false" localSheetId="0" name="SCnf" vbProcedure="false">'Engl Units (hp, gal)'!$B$39:$xfd$39</definedName>
    <definedName function="false" hidden="false" localSheetId="0" name="SCtot" vbProcedure="false">'Engl Units (hp, gal)'!$B$38:$xfd$38</definedName>
    <definedName function="false" hidden="false" localSheetId="0" name="solver_adj" vbProcedure="false">'Engl Units (hp, gal)'!$B$113:$B$117</definedName>
    <definedName function="false" hidden="false" localSheetId="0" name="solver_cvg" vbProcedure="false">0.0001</definedName>
    <definedName function="false" hidden="false" localSheetId="0" name="solver_drv" vbProcedure="false">2</definedName>
    <definedName function="false" hidden="false" localSheetId="0" name="solver_est" vbProcedure="false">2</definedName>
    <definedName function="false" hidden="false" localSheetId="0" name="solver_itr" vbProcedure="false">100</definedName>
    <definedName function="false" hidden="false" localSheetId="0" name="solver_lin" vbProcedure="false">2</definedName>
    <definedName function="false" hidden="false" localSheetId="0" name="solver_neg" vbProcedure="false">2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opt" vbProcedure="false">'Engl Units (hp, gal)'!$B$119</definedName>
    <definedName function="false" hidden="false" localSheetId="0" name="solver_pre" vbProcedure="false">0.000001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tim" vbProcedure="false">100</definedName>
    <definedName function="false" hidden="false" localSheetId="0" name="solver_tol" vbProcedure="false">0.02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p" vbProcedure="false">'Engl Units (hp, gal)'!$B$12:$xfd$12</definedName>
    <definedName function="false" hidden="false" localSheetId="0" name="SV" vbProcedure="false">'Engl Units (hp, gal)'!$B$20:$xfd$20</definedName>
    <definedName function="false" hidden="false" localSheetId="0" name="TIH" vbProcedure="false">'Engl Units (hp, gal)'!$B$10:$xfd$10</definedName>
    <definedName function="false" hidden="false" localSheetId="0" name="TIHa" vbProcedure="false">'Engl Units (hp, gal)'!$B$31:$xfd$31</definedName>
    <definedName function="false" hidden="false" localSheetId="0" name="Track" vbProcedure="false">'Engl Units (hp, gal)'!$B$67:$xfd$67</definedName>
    <definedName function="false" hidden="false" localSheetId="1" name="solver_adj" vbProcedure="false">'SI Units (kW,l)'!$B$113:$B$117</definedName>
    <definedName function="false" hidden="false" localSheetId="1" name="solver_cvg" vbProcedure="false">0.0001</definedName>
    <definedName function="false" hidden="false" localSheetId="1" name="solver_drv" vbProcedure="false">2</definedName>
    <definedName function="false" hidden="false" localSheetId="1" name="solver_est" vbProcedure="false">2</definedName>
    <definedName function="false" hidden="false" localSheetId="1" name="solver_itr" vbProcedure="false">100</definedName>
    <definedName function="false" hidden="false" localSheetId="1" name="solver_lin" vbProcedure="false">2</definedName>
    <definedName function="false" hidden="false" localSheetId="1" name="solver_neg" vbProcedure="false">2</definedName>
    <definedName function="false" hidden="false" localSheetId="1" name="solver_num" vbProcedure="false">0</definedName>
    <definedName function="false" hidden="false" localSheetId="1" name="solver_nwt" vbProcedure="false">1</definedName>
    <definedName function="false" hidden="false" localSheetId="1" name="solver_opt" vbProcedure="false">'SI Units (kW,l)'!$B$119</definedName>
    <definedName function="false" hidden="false" localSheetId="1" name="solver_pre" vbProcedure="false">0.000001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tim" vbProcedure="false">100</definedName>
    <definedName function="false" hidden="false" localSheetId="1" name="solver_tol" vbProcedure="false">0.02</definedName>
    <definedName function="false" hidden="false" localSheetId="1" name="solver_typ" vbProcedure="false">2</definedName>
    <definedName function="false" hidden="false" localSheetId="1" name="solver_val" vbProcedure="false">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Rated PTO power for fixed frame tractors.
Rated engine power for articulated and tracked tractors.</t>
        </r>
      </text>
    </comment>
    <comment ref="C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Override the function by entering a price if you have it.</t>
        </r>
      </text>
    </commen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Rated PTO power for fixed frame tractors.
Rated engine power for articulated and tracked tractors.</t>
        </r>
      </text>
    </comment>
    <comment ref="D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Override the function by entering a price if you have it.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Rated PTO power for fixed frame tractors.
Rated engine power for articulated and tracked tractors.</t>
        </r>
      </text>
    </comment>
    <comment ref="C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Override the function by entering a price if you have it.</t>
        </r>
      </text>
    </commen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Rated PTO power for fixed frame tractors.
Rated engine power for articulated and tracked tractors.</t>
        </r>
      </text>
    </comment>
    <comment ref="D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Override the function by entering a price if you have it.</t>
        </r>
      </text>
    </comment>
  </commentList>
</comments>
</file>

<file path=xl/sharedStrings.xml><?xml version="1.0" encoding="utf-8"?>
<sst xmlns="http://schemas.openxmlformats.org/spreadsheetml/2006/main" count="310" uniqueCount="137">
  <si>
    <t xml:space="preserve">Abbrev.</t>
  </si>
  <si>
    <t xml:space="preserve">Detailed description</t>
  </si>
  <si>
    <t xml:space="preserve">Scenario 1</t>
  </si>
  <si>
    <t xml:space="preserve">Scenario 2</t>
  </si>
  <si>
    <t xml:space="preserve">Units</t>
  </si>
  <si>
    <t xml:space="preserve">Documentation notes</t>
  </si>
  <si>
    <t xml:space="preserve">Inputs</t>
  </si>
  <si>
    <t xml:space="preserve">Php</t>
  </si>
  <si>
    <t xml:space="preserve">tractor power</t>
  </si>
  <si>
    <t xml:space="preserve">hp</t>
  </si>
  <si>
    <t xml:space="preserve">Ctt</t>
  </si>
  <si>
    <t xml:space="preserve">code for tractor type</t>
  </si>
  <si>
    <t xml:space="preserve">1, fixed frame, 2 articulated, 3 track</t>
  </si>
  <si>
    <t xml:space="preserve">Ny</t>
  </si>
  <si>
    <t xml:space="preserve">length of time to keep the tractor</t>
  </si>
  <si>
    <t xml:space="preserve">years</t>
  </si>
  <si>
    <t xml:space="preserve">H</t>
  </si>
  <si>
    <t xml:space="preserve">use of tractor each year</t>
  </si>
  <si>
    <t xml:space="preserve">hours</t>
  </si>
  <si>
    <t xml:space="preserve">i</t>
  </si>
  <si>
    <t xml:space="preserve">interest or discount rate</t>
  </si>
  <si>
    <t xml:space="preserve">decimal/y</t>
  </si>
  <si>
    <t xml:space="preserve">Pf</t>
  </si>
  <si>
    <t xml:space="preserve">price of fuel</t>
  </si>
  <si>
    <t xml:space="preserve">$/gal</t>
  </si>
  <si>
    <t xml:space="preserve">Pd</t>
  </si>
  <si>
    <t xml:space="preserve">price of diesel exhaust fluid</t>
  </si>
  <si>
    <t xml:space="preserve">TIH</t>
  </si>
  <si>
    <t xml:space="preserve">taxes, insurance, and housing</t>
  </si>
  <si>
    <t xml:space="preserve">% of price/y</t>
  </si>
  <si>
    <t xml:space="preserve">Pp</t>
  </si>
  <si>
    <t xml:space="preserve">operating power as a percent of rated power</t>
  </si>
  <si>
    <t xml:space="preserve">%</t>
  </si>
  <si>
    <t xml:space="preserve">affects fuel consumption</t>
  </si>
  <si>
    <t xml:space="preserve">Sp</t>
  </si>
  <si>
    <t xml:space="preserve">operating speed as a percent of rated speed</t>
  </si>
  <si>
    <t xml:space="preserve">Afc</t>
  </si>
  <si>
    <t xml:space="preserve">Adjustment to fuel consumption due to technology</t>
  </si>
  <si>
    <t xml:space="preserve">fuel consumption compared to tractors of 1980-2000</t>
  </si>
  <si>
    <t xml:space="preserve">Epto</t>
  </si>
  <si>
    <t xml:space="preserve">Efficiency of the driveline from engine to PTO</t>
  </si>
  <si>
    <t xml:space="preserve">ASABE D497 suggests 90%</t>
  </si>
  <si>
    <t xml:space="preserve">Intermediate</t>
  </si>
  <si>
    <t xml:space="preserve">P</t>
  </si>
  <si>
    <t xml:space="preserve">list purchase price of tractor</t>
  </si>
  <si>
    <t xml:space="preserve">$</t>
  </si>
  <si>
    <t xml:space="preserve">(1030*Php*0.746) + IF(Ctt=1,49500,IF(Ctt=2,-7500,96400))</t>
  </si>
  <si>
    <t xml:space="preserve">Phppto</t>
  </si>
  <si>
    <t xml:space="preserve">tractor power, PTO equivalent</t>
  </si>
  <si>
    <t xml:space="preserve">IF(Ctt=1,Php,Php*Epto/100)</t>
  </si>
  <si>
    <t xml:space="preserve">RV</t>
  </si>
  <si>
    <t xml:space="preserve">remaining value of tractor at end of period</t>
  </si>
  <si>
    <t xml:space="preserve">D497 f'n | 100*IF(Phppto*0.746&gt;112,(0.976-0.119*Ny^0.5-0.0019*H^0.5)^2,(0.942-0.1*Ny^0.5-0.0008*H^0.5)^2)</t>
  </si>
  <si>
    <t xml:space="preserve">SV</t>
  </si>
  <si>
    <t xml:space="preserve">salvage value in Ny years</t>
  </si>
  <si>
    <t xml:space="preserve">RV/100*P</t>
  </si>
  <si>
    <t xml:space="preserve">PV</t>
  </si>
  <si>
    <t xml:space="preserve">present value of price less SV</t>
  </si>
  <si>
    <t xml:space="preserve">$, today</t>
  </si>
  <si>
    <t xml:space="preserve">LP-SV/(1+i)^Ny</t>
  </si>
  <si>
    <t xml:space="preserve">RM</t>
  </si>
  <si>
    <t xml:space="preserve">repair &amp; maintenance cost</t>
  </si>
  <si>
    <t xml:space="preserve">sum from cumulative table below</t>
  </si>
  <si>
    <t xml:space="preserve">PTM</t>
  </si>
  <si>
    <t xml:space="preserve">partial throttle multiplier</t>
  </si>
  <si>
    <t xml:space="preserve"> --</t>
  </si>
  <si>
    <t xml:space="preserve">D497 f'n | 1 - (Sp/100-1)*(0.45*Pp/100-0.877)</t>
  </si>
  <si>
    <t xml:space="preserve">F</t>
  </si>
  <si>
    <t xml:space="preserve">average fuel consumption</t>
  </si>
  <si>
    <t xml:space="preserve">gal/h</t>
  </si>
  <si>
    <t xml:space="preserve">D497 f'n | (Phppto*0.746*(Pp/100)*(0.22+0.096/(Pp/100))*PTM  * Afc/100 ) / 3.78</t>
  </si>
  <si>
    <t xml:space="preserve">L</t>
  </si>
  <si>
    <t xml:space="preserve">lubrication consumption</t>
  </si>
  <si>
    <t xml:space="preserve">D497 f'n | 0.00059*Phppto*0.746+0.02169 ) / 3.78</t>
  </si>
  <si>
    <t xml:space="preserve">D</t>
  </si>
  <si>
    <t xml:space="preserve">diesel exhaust fluid consumption</t>
  </si>
  <si>
    <t xml:space="preserve">.02*F</t>
  </si>
  <si>
    <t xml:space="preserve">FC</t>
  </si>
  <si>
    <t xml:space="preserve">fuel cost</t>
  </si>
  <si>
    <t xml:space="preserve">$/y</t>
  </si>
  <si>
    <t xml:space="preserve">F*H*Pf</t>
  </si>
  <si>
    <t xml:space="preserve">PL</t>
  </si>
  <si>
    <t xml:space="preserve">price of lubricant</t>
  </si>
  <si>
    <t xml:space="preserve">$/l</t>
  </si>
  <si>
    <t xml:space="preserve">4*Pf, assumed</t>
  </si>
  <si>
    <t xml:space="preserve">LC</t>
  </si>
  <si>
    <t xml:space="preserve">lubricant cost</t>
  </si>
  <si>
    <t xml:space="preserve">L*H*PL</t>
  </si>
  <si>
    <t xml:space="preserve">DC</t>
  </si>
  <si>
    <t xml:space="preserve">diesel exhaust fluid cost</t>
  </si>
  <si>
    <t xml:space="preserve">D*Pd*H</t>
  </si>
  <si>
    <t xml:space="preserve">TIHa</t>
  </si>
  <si>
    <t xml:space="preserve">TIH*P/100</t>
  </si>
  <si>
    <t xml:space="preserve">Output</t>
  </si>
  <si>
    <t xml:space="preserve">AC</t>
  </si>
  <si>
    <t xml:space="preserve">cost for the tractor, without fuel, DEF, &amp; lube</t>
  </si>
  <si>
    <t xml:space="preserve">PMT(i,Ny,-PV-RM)+TIHa</t>
  </si>
  <si>
    <t xml:space="preserve">FLC</t>
  </si>
  <si>
    <t xml:space="preserve">fuel, DEF, and lubricant cost</t>
  </si>
  <si>
    <t xml:space="preserve">FC+LC</t>
  </si>
  <si>
    <t xml:space="preserve">HCtot</t>
  </si>
  <si>
    <t xml:space="preserve">hourly cost for the tractor</t>
  </si>
  <si>
    <t xml:space="preserve">$/hour</t>
  </si>
  <si>
    <t xml:space="preserve">(AC+FLC)/H</t>
  </si>
  <si>
    <t xml:space="preserve">HCnf</t>
  </si>
  <si>
    <t xml:space="preserve">hourly cost for the tractor, no fuel &amp; lube</t>
  </si>
  <si>
    <t xml:space="preserve">AC/H</t>
  </si>
  <si>
    <t xml:space="preserve">SCtot</t>
  </si>
  <si>
    <t xml:space="preserve">specific cost for tractor power (PTO power basis)</t>
  </si>
  <si>
    <t xml:space="preserve">$/hph</t>
  </si>
  <si>
    <t xml:space="preserve">HCtot/Phppto</t>
  </si>
  <si>
    <t xml:space="preserve">SCnf</t>
  </si>
  <si>
    <t xml:space="preserve">specific cost for tractor power, no fuel &amp; lube (PTO power basis)</t>
  </si>
  <si>
    <t xml:space="preserve">HCnf/Phppto</t>
  </si>
  <si>
    <t xml:space="preserve">R&amp;M Table</t>
  </si>
  <si>
    <t xml:space="preserve">Year</t>
  </si>
  <si>
    <t xml:space="preserve">Cumulative R&amp;M</t>
  </si>
  <si>
    <t xml:space="preserve">R&amp;M for</t>
  </si>
  <si>
    <t xml:space="preserve">R&amp;M</t>
  </si>
  <si>
    <t xml:space="preserve">the year</t>
  </si>
  <si>
    <t xml:space="preserve">todays $</t>
  </si>
  <si>
    <t xml:space="preserve">SUM:</t>
  </si>
  <si>
    <t xml:space="preserve">Fixed Frame</t>
  </si>
  <si>
    <t xml:space="preserve">Articulated</t>
  </si>
  <si>
    <t xml:space="preserve">Track</t>
  </si>
  <si>
    <t xml:space="preserve">Pkw</t>
  </si>
  <si>
    <t xml:space="preserve">kW</t>
  </si>
  <si>
    <t xml:space="preserve">(1030*Pkw) + IF(Ctt=1,49500,IF(Ctt=2,-7500,96400))</t>
  </si>
  <si>
    <t xml:space="preserve">PkWpto</t>
  </si>
  <si>
    <t xml:space="preserve">IF(Ctt=1,Pkw,Pkw*Epto/100)</t>
  </si>
  <si>
    <t xml:space="preserve">D497 f'n | 100*IF(PkWpto&gt;112,(0.976-0.119*Ny^0.5-0.0019*H^0.5)^2,(0.942-0.1*Ny^0.5-0.0008*H^0.5)^2)</t>
  </si>
  <si>
    <t xml:space="preserve">l/h</t>
  </si>
  <si>
    <t xml:space="preserve">D497 f'n | PkWpto*(Pp/100)*(0.22+0.096/(Pp/100))*PTM*Afc/100</t>
  </si>
  <si>
    <t xml:space="preserve">D497 f'n | 0.00059*PkWpto+0.02169</t>
  </si>
  <si>
    <t xml:space="preserve">$/kWh</t>
  </si>
  <si>
    <t xml:space="preserve">HCtot/PkWpto</t>
  </si>
  <si>
    <t xml:space="preserve">HCnf/PkWpto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</si>
</sst>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0.000"/>
    <numFmt numFmtId="167" formatCode="0.00"/>
    <numFmt numFmtId="168" formatCode="0.0"/>
    <numFmt numFmtId="169" formatCode="#,##0_);[RED]\(#,##0\)"/>
    <numFmt numFmtId="170" formatCode="0.0000"/>
    <numFmt numFmtId="171" formatCode="0.00000"/>
    <numFmt numFmtId="172" formatCode="0.000E+00"/>
  </numFmts>
  <fonts count="10">
    <font>
      <sz val="12"/>
      <name val="Times New Roma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B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.75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46.63"/>
    <col collapsed="false" customWidth="true" hidden="false" outlineLevel="0" max="4" min="3" style="0" width="9.5"/>
    <col collapsed="false" customWidth="true" hidden="false" outlineLevel="0" max="5" min="5" style="0" width="8.13"/>
    <col collapsed="false" customWidth="true" hidden="false" outlineLevel="0" max="6" min="6" style="0" width="48"/>
    <col collapsed="false" customWidth="true" hidden="false" outlineLevel="0" max="1025" min="7" style="0" width="8.62"/>
  </cols>
  <sheetData>
    <row r="1" customFormat="false" ht="16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false" outlineLevel="0" collapsed="false">
      <c r="A2" s="2" t="s">
        <v>6</v>
      </c>
      <c r="B2" s="3"/>
      <c r="C2" s="3"/>
      <c r="D2" s="3"/>
      <c r="E2" s="3"/>
      <c r="F2" s="4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</row>
    <row r="3" customFormat="false" ht="15.75" hidden="false" customHeight="false" outlineLevel="0" collapsed="false">
      <c r="A3" s="7" t="s">
        <v>7</v>
      </c>
      <c r="B3" s="8" t="s">
        <v>8</v>
      </c>
      <c r="C3" s="9" t="n">
        <v>350</v>
      </c>
      <c r="D3" s="9" t="n">
        <v>406</v>
      </c>
      <c r="E3" s="8" t="s">
        <v>9</v>
      </c>
      <c r="F3" s="10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</row>
    <row r="4" customFormat="false" ht="15.75" hidden="false" customHeight="false" outlineLevel="0" collapsed="false">
      <c r="A4" s="7" t="s">
        <v>10</v>
      </c>
      <c r="B4" s="8" t="s">
        <v>11</v>
      </c>
      <c r="C4" s="11" t="n">
        <v>1</v>
      </c>
      <c r="D4" s="11" t="n">
        <v>2</v>
      </c>
      <c r="E4" s="8" t="s">
        <v>12</v>
      </c>
      <c r="F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</row>
    <row r="5" customFormat="false" ht="15.75" hidden="false" customHeight="false" outlineLevel="0" collapsed="false">
      <c r="A5" s="7" t="s">
        <v>13</v>
      </c>
      <c r="B5" s="8" t="s">
        <v>14</v>
      </c>
      <c r="C5" s="11" t="n">
        <v>6</v>
      </c>
      <c r="D5" s="11" t="n">
        <v>6</v>
      </c>
      <c r="E5" s="8" t="s">
        <v>15</v>
      </c>
      <c r="F5" s="10"/>
      <c r="H5" s="6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</row>
    <row r="6" customFormat="false" ht="15.75" hidden="false" customHeight="false" outlineLevel="0" collapsed="false">
      <c r="A6" s="7" t="s">
        <v>16</v>
      </c>
      <c r="B6" s="8" t="s">
        <v>17</v>
      </c>
      <c r="C6" s="11" t="n">
        <v>600</v>
      </c>
      <c r="D6" s="11" t="n">
        <v>600</v>
      </c>
      <c r="E6" s="8" t="s">
        <v>18</v>
      </c>
      <c r="F6" s="10"/>
      <c r="H6" s="13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</row>
    <row r="7" customFormat="false" ht="15.75" hidden="false" customHeight="false" outlineLevel="0" collapsed="false">
      <c r="A7" s="7" t="s">
        <v>19</v>
      </c>
      <c r="B7" s="8" t="s">
        <v>20</v>
      </c>
      <c r="C7" s="14" t="n">
        <v>0.05</v>
      </c>
      <c r="D7" s="14" t="n">
        <v>0.05</v>
      </c>
      <c r="E7" s="8" t="s">
        <v>21</v>
      </c>
      <c r="F7" s="10"/>
      <c r="H7" s="6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</row>
    <row r="8" customFormat="false" ht="15.75" hidden="false" customHeight="false" outlineLevel="0" collapsed="false">
      <c r="A8" s="7" t="s">
        <v>22</v>
      </c>
      <c r="B8" s="8" t="s">
        <v>23</v>
      </c>
      <c r="C8" s="16" t="n">
        <v>3.78</v>
      </c>
      <c r="D8" s="16" t="n">
        <v>3.78</v>
      </c>
      <c r="E8" s="8" t="s">
        <v>24</v>
      </c>
      <c r="F8" s="10"/>
      <c r="H8" s="6"/>
      <c r="I8" s="13"/>
      <c r="J8" s="13"/>
      <c r="K8" s="13"/>
      <c r="L8" s="13"/>
      <c r="M8" s="17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</row>
    <row r="9" customFormat="false" ht="15.75" hidden="false" customHeight="false" outlineLevel="0" collapsed="false">
      <c r="A9" s="7" t="s">
        <v>25</v>
      </c>
      <c r="B9" s="8" t="s">
        <v>26</v>
      </c>
      <c r="C9" s="16" t="n">
        <v>3.78</v>
      </c>
      <c r="D9" s="16" t="n">
        <v>3.78</v>
      </c>
      <c r="E9" s="8" t="s">
        <v>24</v>
      </c>
      <c r="F9" s="10"/>
      <c r="H9" s="6"/>
      <c r="I9" s="13"/>
      <c r="J9" s="13"/>
      <c r="K9" s="13"/>
      <c r="L9" s="13"/>
      <c r="M9" s="17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</row>
    <row r="10" customFormat="false" ht="15.75" hidden="false" customHeight="false" outlineLevel="0" collapsed="false">
      <c r="A10" s="7" t="s">
        <v>27</v>
      </c>
      <c r="B10" s="20" t="s">
        <v>28</v>
      </c>
      <c r="C10" s="16" t="n">
        <v>2</v>
      </c>
      <c r="D10" s="16" t="n">
        <v>2</v>
      </c>
      <c r="E10" s="20" t="s">
        <v>29</v>
      </c>
      <c r="F10" s="10"/>
      <c r="H10" s="6"/>
      <c r="I10" s="13"/>
      <c r="J10" s="13"/>
      <c r="K10" s="13"/>
      <c r="L10" s="13"/>
      <c r="M10" s="13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</row>
    <row r="11" customFormat="false" ht="15.75" hidden="false" customHeight="false" outlineLevel="0" collapsed="false">
      <c r="A11" s="7" t="s">
        <v>30</v>
      </c>
      <c r="B11" s="20" t="s">
        <v>31</v>
      </c>
      <c r="C11" s="9" t="n">
        <v>80</v>
      </c>
      <c r="D11" s="9" t="n">
        <v>80</v>
      </c>
      <c r="E11" s="20" t="s">
        <v>32</v>
      </c>
      <c r="F11" s="10" t="s">
        <v>33</v>
      </c>
      <c r="H11" s="6"/>
      <c r="I11" s="13"/>
      <c r="J11" s="13"/>
      <c r="K11" s="13"/>
      <c r="L11" s="13"/>
      <c r="M11" s="13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</row>
    <row r="12" customFormat="false" ht="15.75" hidden="false" customHeight="false" outlineLevel="0" collapsed="false">
      <c r="A12" s="7" t="s">
        <v>34</v>
      </c>
      <c r="B12" s="20" t="s">
        <v>35</v>
      </c>
      <c r="C12" s="9" t="n">
        <v>90</v>
      </c>
      <c r="D12" s="9" t="n">
        <v>90</v>
      </c>
      <c r="E12" s="20" t="s">
        <v>32</v>
      </c>
      <c r="F12" s="10" t="s">
        <v>33</v>
      </c>
      <c r="H12" s="6"/>
      <c r="I12" s="13"/>
      <c r="J12" s="13"/>
      <c r="K12" s="13"/>
      <c r="L12" s="13"/>
      <c r="M12" s="13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</row>
    <row r="13" customFormat="false" ht="15.75" hidden="false" customHeight="false" outlineLevel="0" collapsed="false">
      <c r="A13" s="7" t="s">
        <v>36</v>
      </c>
      <c r="B13" s="20" t="s">
        <v>37</v>
      </c>
      <c r="C13" s="9" t="n">
        <v>97</v>
      </c>
      <c r="D13" s="9" t="n">
        <v>97</v>
      </c>
      <c r="E13" s="20" t="s">
        <v>32</v>
      </c>
      <c r="F13" s="10" t="s">
        <v>38</v>
      </c>
      <c r="H13" s="6"/>
      <c r="I13" s="13"/>
      <c r="J13" s="13"/>
      <c r="K13" s="13"/>
      <c r="L13" s="13"/>
      <c r="M13" s="13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</row>
    <row r="14" customFormat="false" ht="15.75" hidden="false" customHeight="false" outlineLevel="0" collapsed="false">
      <c r="A14" s="7" t="s">
        <v>39</v>
      </c>
      <c r="B14" s="20" t="s">
        <v>40</v>
      </c>
      <c r="C14" s="9" t="n">
        <v>90</v>
      </c>
      <c r="D14" s="9" t="n">
        <v>90</v>
      </c>
      <c r="E14" s="20" t="s">
        <v>32</v>
      </c>
      <c r="F14" s="10" t="s">
        <v>41</v>
      </c>
      <c r="H14" s="6"/>
      <c r="I14" s="13"/>
      <c r="J14" s="13"/>
      <c r="K14" s="13"/>
      <c r="L14" s="13"/>
      <c r="M14" s="13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</row>
    <row r="15" customFormat="false" ht="15.75" hidden="false" customHeight="false" outlineLevel="0" collapsed="false">
      <c r="A15" s="7"/>
      <c r="B15" s="8"/>
      <c r="C15" s="21"/>
      <c r="D15" s="21"/>
      <c r="E15" s="8"/>
      <c r="F15" s="10"/>
      <c r="H15" s="6"/>
      <c r="I15" s="13"/>
      <c r="J15" s="13"/>
      <c r="K15" s="13"/>
      <c r="L15" s="13"/>
      <c r="M15" s="13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</row>
    <row r="16" customFormat="false" ht="15.75" hidden="false" customHeight="false" outlineLevel="0" collapsed="false">
      <c r="A16" s="23" t="s">
        <v>42</v>
      </c>
      <c r="B16" s="8"/>
      <c r="C16" s="8"/>
      <c r="D16" s="8"/>
      <c r="E16" s="8"/>
      <c r="F16" s="10"/>
      <c r="H16" s="6"/>
      <c r="I16" s="13"/>
      <c r="J16" s="13"/>
      <c r="K16" s="13"/>
      <c r="L16" s="13"/>
      <c r="M16" s="13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</row>
    <row r="17" customFormat="false" ht="30.75" hidden="false" customHeight="false" outlineLevel="0" collapsed="false">
      <c r="A17" s="7" t="s">
        <v>43</v>
      </c>
      <c r="B17" s="8" t="s">
        <v>44</v>
      </c>
      <c r="C17" s="11" t="n">
        <f aca="false">(1030*Php*0.746) + IF(Ctt=1,49500,IF(Ctt=2,-7500,96400))</f>
        <v>318433</v>
      </c>
      <c r="D17" s="11" t="n">
        <f aca="false">(1030*Php*0.746) + IF(Ctt=1,49500,IF(Ctt=2,-7500,96400))</f>
        <v>304462.28</v>
      </c>
      <c r="E17" s="8" t="s">
        <v>45</v>
      </c>
      <c r="F17" s="24" t="s">
        <v>46</v>
      </c>
      <c r="H17" s="6"/>
      <c r="I17" s="13"/>
      <c r="J17" s="13"/>
      <c r="K17" s="13"/>
      <c r="L17" s="13"/>
      <c r="M17" s="13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</row>
    <row r="18" customFormat="false" ht="15.75" hidden="false" customHeight="false" outlineLevel="0" collapsed="false">
      <c r="A18" s="7" t="s">
        <v>47</v>
      </c>
      <c r="B18" s="20" t="s">
        <v>48</v>
      </c>
      <c r="C18" s="21" t="n">
        <f aca="false">IF(Ctt=1,Php,Php*Epto/100)</f>
        <v>350</v>
      </c>
      <c r="D18" s="21" t="n">
        <f aca="false">IF(Ctt=1,Php,Php*Epto/100)</f>
        <v>365.4</v>
      </c>
      <c r="E18" s="20" t="s">
        <v>9</v>
      </c>
      <c r="F18" s="25" t="s">
        <v>49</v>
      </c>
      <c r="H18" s="6"/>
      <c r="I18" s="13"/>
      <c r="J18" s="13"/>
      <c r="K18" s="13"/>
      <c r="L18" s="13"/>
      <c r="M18" s="13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</row>
    <row r="19" customFormat="false" ht="45.75" hidden="false" customHeight="false" outlineLevel="0" collapsed="false">
      <c r="A19" s="7" t="s">
        <v>50</v>
      </c>
      <c r="B19" s="8" t="s">
        <v>51</v>
      </c>
      <c r="C19" s="26" t="n">
        <f aca="false">100*IF(Phppto*0.746&gt;112,(0.976-0.119*Ny^0.5-0.0019*H^0.5)^2,(0.942-0.1*Ny^0.5-0.0008*H^0.5)^2)</f>
        <v>40.7006251048039</v>
      </c>
      <c r="D19" s="26" t="n">
        <f aca="false">100*IF(Phppto*0.746&gt;112,(0.976-0.119*Ny^0.5-0.0019*H^0.5)^2,(0.942-0.1*Ny^0.5-0.0008*H^0.5)^2)</f>
        <v>40.7006251048039</v>
      </c>
      <c r="E19" s="8" t="s">
        <v>32</v>
      </c>
      <c r="F19" s="27" t="s">
        <v>52</v>
      </c>
      <c r="H19" s="6"/>
      <c r="I19" s="6"/>
      <c r="J19" s="6"/>
      <c r="K19" s="6"/>
      <c r="L19" s="6"/>
      <c r="M19" s="6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</row>
    <row r="20" customFormat="false" ht="15.75" hidden="false" customHeight="false" outlineLevel="0" collapsed="false">
      <c r="A20" s="7" t="s">
        <v>53</v>
      </c>
      <c r="B20" s="8" t="s">
        <v>54</v>
      </c>
      <c r="C20" s="21" t="n">
        <f aca="false">RV/100*P</f>
        <v>129604.22153998</v>
      </c>
      <c r="D20" s="21" t="n">
        <f aca="false">RV/100*P</f>
        <v>123918.051168338</v>
      </c>
      <c r="E20" s="8" t="s">
        <v>45</v>
      </c>
      <c r="F20" s="10" t="s">
        <v>55</v>
      </c>
      <c r="H20" s="6"/>
      <c r="I20" s="6"/>
      <c r="J20" s="6"/>
      <c r="K20" s="6"/>
      <c r="L20" s="6"/>
      <c r="M20" s="6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</row>
    <row r="21" customFormat="false" ht="15.75" hidden="false" customHeight="false" outlineLevel="0" collapsed="false">
      <c r="A21" s="7" t="s">
        <v>56</v>
      </c>
      <c r="B21" s="8" t="s">
        <v>57</v>
      </c>
      <c r="C21" s="21" t="n">
        <f aca="false">P-SV/(1+i)^Ny</f>
        <v>221720.334417762</v>
      </c>
      <c r="D21" s="21" t="n">
        <f aca="false">P-SV/(1+i)^Ny</f>
        <v>211992.722296981</v>
      </c>
      <c r="E21" s="8" t="s">
        <v>58</v>
      </c>
      <c r="F21" s="25" t="s">
        <v>59</v>
      </c>
      <c r="H21" s="6"/>
      <c r="I21" s="6"/>
      <c r="J21" s="6"/>
      <c r="K21" s="6"/>
      <c r="L21" s="6"/>
      <c r="M21" s="6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</row>
    <row r="22" customFormat="false" ht="15.75" hidden="false" customHeight="false" outlineLevel="0" collapsed="false">
      <c r="A22" s="7" t="s">
        <v>60</v>
      </c>
      <c r="B22" s="8" t="s">
        <v>61</v>
      </c>
      <c r="C22" s="21" t="n">
        <f aca="false">G64</f>
        <v>7154.41731581682</v>
      </c>
      <c r="D22" s="21" t="n">
        <f aca="false">H64</f>
        <v>6840.52911615652</v>
      </c>
      <c r="E22" s="8" t="s">
        <v>58</v>
      </c>
      <c r="F22" s="25" t="s">
        <v>62</v>
      </c>
      <c r="H22" s="6"/>
      <c r="I22" s="5"/>
      <c r="J22" s="6"/>
      <c r="K22" s="6"/>
      <c r="L22" s="6"/>
      <c r="M22" s="6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</row>
    <row r="23" customFormat="false" ht="15.75" hidden="false" customHeight="false" outlineLevel="0" collapsed="false">
      <c r="A23" s="7" t="s">
        <v>63</v>
      </c>
      <c r="B23" s="8" t="s">
        <v>64</v>
      </c>
      <c r="C23" s="29" t="n">
        <f aca="false">1  -  (Sp/100-1)*(0.45*Pp/100 - 0.877)</f>
        <v>0.9483</v>
      </c>
      <c r="D23" s="29" t="n">
        <f aca="false">1  -  (Sp/100-1)*(0.45*Pp/100 - 0.877)</f>
        <v>0.9483</v>
      </c>
      <c r="E23" s="8" t="s">
        <v>65</v>
      </c>
      <c r="F23" s="25" t="s">
        <v>66</v>
      </c>
      <c r="H23" s="6"/>
      <c r="I23" s="5"/>
      <c r="J23" s="6"/>
      <c r="K23" s="6"/>
      <c r="L23" s="6"/>
      <c r="M23" s="6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</row>
    <row r="24" customFormat="false" ht="45.75" hidden="false" customHeight="false" outlineLevel="0" collapsed="false">
      <c r="A24" s="7" t="s">
        <v>67</v>
      </c>
      <c r="B24" s="8" t="s">
        <v>68</v>
      </c>
      <c r="C24" s="26" t="n">
        <f aca="false">(Phppto*0.746*(Pp/100)*(0.22+0.096/(Pp/100))*PTM  * Afc/100 ) / 3.78</f>
        <v>17.2822968622222</v>
      </c>
      <c r="D24" s="26" t="n">
        <f aca="false">(Phppto*0.746*(Pp/100)*(0.22+0.096/(Pp/100))*PTM  * Afc/100 ) / 3.78</f>
        <v>18.04271792416</v>
      </c>
      <c r="E24" s="8" t="s">
        <v>69</v>
      </c>
      <c r="F24" s="27" t="s">
        <v>70</v>
      </c>
      <c r="H24" s="13"/>
      <c r="I24" s="6"/>
      <c r="J24" s="6"/>
      <c r="K24" s="6"/>
      <c r="L24" s="6"/>
      <c r="M24" s="6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</row>
    <row r="25" customFormat="false" ht="15.75" hidden="false" customHeight="false" outlineLevel="0" collapsed="false">
      <c r="A25" s="7" t="s">
        <v>71</v>
      </c>
      <c r="B25" s="8" t="s">
        <v>72</v>
      </c>
      <c r="C25" s="30" t="n">
        <f aca="false">(0.00059*Phppto*0.746+0.02169 ) / 3.78</f>
        <v>0.046491798941799</v>
      </c>
      <c r="D25" s="30" t="n">
        <f aca="false">(0.00059*Phppto*0.746+0.02169 ) / 3.78</f>
        <v>0.0482849619047619</v>
      </c>
      <c r="E25" s="8" t="s">
        <v>69</v>
      </c>
      <c r="F25" s="31" t="s">
        <v>73</v>
      </c>
      <c r="G25" s="20"/>
      <c r="H25" s="6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</row>
    <row r="26" customFormat="false" ht="15.75" hidden="false" customHeight="false" outlineLevel="0" collapsed="false">
      <c r="A26" s="7" t="s">
        <v>74</v>
      </c>
      <c r="B26" s="8" t="s">
        <v>75</v>
      </c>
      <c r="C26" s="29" t="n">
        <f aca="false">0.02*F</f>
        <v>0.345645937244444</v>
      </c>
      <c r="D26" s="29" t="n">
        <f aca="false">0.02*F</f>
        <v>0.3608543584832</v>
      </c>
      <c r="E26" s="8" t="s">
        <v>69</v>
      </c>
      <c r="F26" s="10" t="s">
        <v>76</v>
      </c>
      <c r="G26" s="20"/>
      <c r="H26" s="6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</row>
    <row r="27" customFormat="false" ht="15.75" hidden="false" customHeight="false" outlineLevel="0" collapsed="false">
      <c r="A27" s="7" t="s">
        <v>77</v>
      </c>
      <c r="B27" s="8" t="s">
        <v>78</v>
      </c>
      <c r="C27" s="21" t="n">
        <f aca="false">F*H*Pf</f>
        <v>39196.24928352</v>
      </c>
      <c r="D27" s="21" t="n">
        <f aca="false">F*H*Pf</f>
        <v>40920.8842519949</v>
      </c>
      <c r="E27" s="8" t="s">
        <v>79</v>
      </c>
      <c r="F27" s="25" t="s">
        <v>80</v>
      </c>
      <c r="H27" s="6"/>
      <c r="I27" s="13"/>
      <c r="J27" s="17"/>
      <c r="K27" s="13"/>
      <c r="L27" s="13"/>
      <c r="M27" s="13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</row>
    <row r="28" customFormat="false" ht="15.75" hidden="false" customHeight="false" outlineLevel="0" collapsed="false">
      <c r="A28" s="7" t="s">
        <v>81</v>
      </c>
      <c r="B28" s="8" t="s">
        <v>82</v>
      </c>
      <c r="C28" s="29" t="n">
        <f aca="false">4*Pf</f>
        <v>15.12</v>
      </c>
      <c r="D28" s="29" t="n">
        <f aca="false">4*Pf</f>
        <v>15.12</v>
      </c>
      <c r="E28" s="8" t="s">
        <v>83</v>
      </c>
      <c r="F28" s="25" t="s">
        <v>84</v>
      </c>
      <c r="H28" s="6"/>
      <c r="I28" s="13"/>
      <c r="J28" s="13"/>
      <c r="K28" s="13"/>
      <c r="L28" s="13"/>
      <c r="M28" s="13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</row>
    <row r="29" customFormat="false" ht="15.75" hidden="false" customHeight="false" outlineLevel="0" collapsed="false">
      <c r="A29" s="7" t="s">
        <v>85</v>
      </c>
      <c r="B29" s="8" t="s">
        <v>86</v>
      </c>
      <c r="C29" s="21" t="n">
        <f aca="false">L*H*PL</f>
        <v>421.7736</v>
      </c>
      <c r="D29" s="21" t="n">
        <f aca="false">L*H*PL</f>
        <v>438.0411744</v>
      </c>
      <c r="E29" s="8" t="s">
        <v>79</v>
      </c>
      <c r="F29" s="25" t="s">
        <v>87</v>
      </c>
      <c r="H29" s="32"/>
      <c r="I29" s="13"/>
      <c r="J29" s="13"/>
      <c r="K29" s="13"/>
      <c r="L29" s="13"/>
      <c r="M29" s="13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</row>
    <row r="30" customFormat="false" ht="15.75" hidden="false" customHeight="false" outlineLevel="0" collapsed="false">
      <c r="A30" s="7" t="s">
        <v>88</v>
      </c>
      <c r="B30" s="8" t="s">
        <v>89</v>
      </c>
      <c r="C30" s="21" t="n">
        <f aca="false">D*Pd*H</f>
        <v>783.9249856704</v>
      </c>
      <c r="D30" s="21" t="n">
        <f aca="false">D*Pd*H</f>
        <v>818.417685039898</v>
      </c>
      <c r="E30" s="8" t="s">
        <v>79</v>
      </c>
      <c r="F30" s="25" t="s">
        <v>90</v>
      </c>
      <c r="H30" s="6"/>
      <c r="I30" s="13"/>
      <c r="J30" s="13"/>
      <c r="K30" s="13"/>
      <c r="L30" s="13"/>
      <c r="M30" s="13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</row>
    <row r="31" customFormat="false" ht="15.75" hidden="false" customHeight="false" outlineLevel="0" collapsed="false">
      <c r="A31" s="7" t="s">
        <v>91</v>
      </c>
      <c r="B31" s="20" t="s">
        <v>28</v>
      </c>
      <c r="C31" s="21" t="n">
        <f aca="false">TIH*P/100</f>
        <v>6368.66</v>
      </c>
      <c r="D31" s="21" t="n">
        <f aca="false">TIH*P/100</f>
        <v>6089.2456</v>
      </c>
      <c r="E31" s="20" t="s">
        <v>79</v>
      </c>
      <c r="F31" s="25" t="s">
        <v>92</v>
      </c>
      <c r="H31" s="6"/>
      <c r="I31" s="13"/>
      <c r="J31" s="13"/>
      <c r="K31" s="13"/>
      <c r="L31" s="13"/>
      <c r="M31" s="13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</row>
    <row r="32" customFormat="false" ht="15.75" hidden="false" customHeight="false" outlineLevel="0" collapsed="false">
      <c r="A32" s="7"/>
      <c r="B32" s="8"/>
      <c r="C32" s="21"/>
      <c r="D32" s="21"/>
      <c r="E32" s="8"/>
      <c r="F32" s="25"/>
      <c r="H32" s="6"/>
      <c r="I32" s="13"/>
      <c r="J32" s="13"/>
      <c r="K32" s="13"/>
      <c r="L32" s="13"/>
      <c r="M32" s="13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</row>
    <row r="33" customFormat="false" ht="15.75" hidden="false" customHeight="false" outlineLevel="0" collapsed="false">
      <c r="A33" s="23" t="s">
        <v>93</v>
      </c>
      <c r="B33" s="8"/>
      <c r="C33" s="26"/>
      <c r="D33" s="26"/>
      <c r="E33" s="26"/>
      <c r="F33" s="10"/>
      <c r="H33" s="6"/>
      <c r="I33" s="6"/>
      <c r="J33" s="6"/>
      <c r="K33" s="6"/>
      <c r="L33" s="6"/>
      <c r="M33" s="6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</row>
    <row r="34" customFormat="false" ht="15.75" hidden="false" customHeight="false" outlineLevel="0" collapsed="false">
      <c r="A34" s="7" t="s">
        <v>94</v>
      </c>
      <c r="B34" s="8" t="s">
        <v>95</v>
      </c>
      <c r="C34" s="33" t="n">
        <f aca="false">PMT(i,Ny,-PV-RM)+TIHa</f>
        <v>51460.9841008977</v>
      </c>
      <c r="D34" s="33" t="n">
        <f aca="false">PMT(i,Ny,-PV-RM)+TIHa</f>
        <v>49203.2187317366</v>
      </c>
      <c r="E34" s="8" t="s">
        <v>79</v>
      </c>
      <c r="F34" s="34" t="s">
        <v>96</v>
      </c>
      <c r="H34" s="6"/>
      <c r="I34" s="6"/>
      <c r="J34" s="6"/>
      <c r="K34" s="6"/>
      <c r="L34" s="6"/>
      <c r="M34" s="6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</row>
    <row r="35" customFormat="false" ht="15.75" hidden="false" customHeight="false" outlineLevel="0" collapsed="false">
      <c r="A35" s="7" t="s">
        <v>97</v>
      </c>
      <c r="B35" s="8" t="s">
        <v>98</v>
      </c>
      <c r="C35" s="33" t="n">
        <f aca="false">FC+LC+DC</f>
        <v>40401.9478691904</v>
      </c>
      <c r="D35" s="33" t="n">
        <f aca="false">FC+LC+DC</f>
        <v>42177.3431114348</v>
      </c>
      <c r="E35" s="8" t="s">
        <v>79</v>
      </c>
      <c r="F35" s="34" t="s">
        <v>99</v>
      </c>
      <c r="H35" s="6"/>
      <c r="I35" s="6"/>
      <c r="J35" s="6"/>
      <c r="K35" s="6"/>
      <c r="L35" s="6"/>
      <c r="M35" s="6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</row>
    <row r="36" customFormat="false" ht="15.75" hidden="false" customHeight="false" outlineLevel="0" collapsed="false">
      <c r="A36" s="7" t="s">
        <v>100</v>
      </c>
      <c r="B36" s="8" t="s">
        <v>101</v>
      </c>
      <c r="C36" s="26" t="n">
        <f aca="false">(AC+FLC)/H</f>
        <v>153.104886616814</v>
      </c>
      <c r="D36" s="26" t="n">
        <f aca="false">(AC+FLC)/H</f>
        <v>152.300936405286</v>
      </c>
      <c r="E36" s="8" t="s">
        <v>102</v>
      </c>
      <c r="F36" s="36" t="s">
        <v>103</v>
      </c>
      <c r="H36" s="6"/>
      <c r="I36" s="5"/>
      <c r="J36" s="6"/>
      <c r="K36" s="6"/>
      <c r="L36" s="6"/>
      <c r="M36" s="6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</row>
    <row r="37" customFormat="false" ht="15.75" hidden="false" customHeight="false" outlineLevel="0" collapsed="false">
      <c r="A37" s="37" t="s">
        <v>104</v>
      </c>
      <c r="B37" s="8" t="s">
        <v>105</v>
      </c>
      <c r="C37" s="26" t="n">
        <f aca="false">AC/H</f>
        <v>85.7683068348295</v>
      </c>
      <c r="D37" s="26" t="n">
        <f aca="false">AC/H</f>
        <v>82.0053645528943</v>
      </c>
      <c r="E37" s="8" t="s">
        <v>102</v>
      </c>
      <c r="F37" s="38" t="s">
        <v>106</v>
      </c>
      <c r="H37" s="13"/>
      <c r="I37" s="22"/>
      <c r="J37" s="22"/>
      <c r="K37" s="22"/>
      <c r="L37" s="22"/>
      <c r="M37" s="22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</row>
    <row r="38" s="42" customFormat="true" ht="15.75" hidden="false" customHeight="false" outlineLevel="0" collapsed="false">
      <c r="A38" s="23" t="s">
        <v>107</v>
      </c>
      <c r="B38" s="39" t="s">
        <v>108</v>
      </c>
      <c r="C38" s="40" t="n">
        <f aca="false">HCtot/Phppto</f>
        <v>0.437442533190896</v>
      </c>
      <c r="D38" s="40" t="n">
        <f aca="false">HCtot/Phppto</f>
        <v>0.41680606569591</v>
      </c>
      <c r="E38" s="39" t="s">
        <v>109</v>
      </c>
      <c r="F38" s="41" t="s">
        <v>110</v>
      </c>
      <c r="H38" s="6"/>
      <c r="I38" s="13"/>
      <c r="J38" s="13"/>
      <c r="K38" s="13"/>
      <c r="L38" s="13"/>
      <c r="M38" s="13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</row>
    <row r="39" s="42" customFormat="true" ht="32.25" hidden="false" customHeight="false" outlineLevel="0" collapsed="false">
      <c r="A39" s="43" t="s">
        <v>111</v>
      </c>
      <c r="B39" s="44" t="s">
        <v>112</v>
      </c>
      <c r="C39" s="45" t="n">
        <f aca="false">HCnf/Phppto</f>
        <v>0.24505230524237</v>
      </c>
      <c r="D39" s="45" t="n">
        <f aca="false">HCnf/Phppto</f>
        <v>0.224426285038025</v>
      </c>
      <c r="E39" s="46" t="s">
        <v>109</v>
      </c>
      <c r="F39" s="47" t="s">
        <v>113</v>
      </c>
      <c r="H39" s="6"/>
      <c r="I39" s="13"/>
      <c r="J39" s="13"/>
      <c r="K39" s="13"/>
      <c r="L39" s="17"/>
      <c r="M39" s="13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</row>
    <row r="40" customFormat="false" ht="15.75" hidden="false" customHeight="false" outlineLevel="0" collapsed="false">
      <c r="A40" s="48"/>
      <c r="B40" s="12"/>
      <c r="C40" s="49"/>
      <c r="D40" s="49"/>
      <c r="E40" s="50"/>
      <c r="F40" s="49"/>
      <c r="H40" s="6"/>
      <c r="I40" s="13"/>
      <c r="J40" s="13"/>
      <c r="K40" s="13"/>
      <c r="L40" s="13"/>
      <c r="M40" s="13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</row>
    <row r="41" customFormat="false" ht="15.75" hidden="false" customHeight="false" outlineLevel="0" collapsed="false">
      <c r="B41" s="5" t="s">
        <v>114</v>
      </c>
      <c r="C41" s="6" t="s">
        <v>2</v>
      </c>
      <c r="D41" s="0" t="s">
        <v>3</v>
      </c>
      <c r="E41" s="6" t="s">
        <v>2</v>
      </c>
      <c r="F41" s="0" t="s">
        <v>3</v>
      </c>
      <c r="G41" s="6" t="s">
        <v>2</v>
      </c>
      <c r="H41" s="0" t="s">
        <v>3</v>
      </c>
      <c r="I41" s="13"/>
      <c r="J41" s="13"/>
      <c r="K41" s="13"/>
      <c r="L41" s="13"/>
      <c r="M41" s="13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</row>
    <row r="42" customFormat="false" ht="15.75" hidden="false" customHeight="false" outlineLevel="0" collapsed="false">
      <c r="B42" s="51" t="s">
        <v>115</v>
      </c>
      <c r="C42" s="51" t="s">
        <v>116</v>
      </c>
      <c r="D42" s="51" t="s">
        <v>116</v>
      </c>
      <c r="E42" s="51" t="s">
        <v>117</v>
      </c>
      <c r="F42" s="51" t="s">
        <v>117</v>
      </c>
      <c r="G42" s="51" t="s">
        <v>118</v>
      </c>
      <c r="H42" s="51" t="s">
        <v>118</v>
      </c>
      <c r="I42" s="6"/>
      <c r="J42" s="6"/>
      <c r="K42" s="6"/>
      <c r="L42" s="6"/>
      <c r="M42" s="6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</row>
    <row r="43" customFormat="false" ht="15.75" hidden="false" customHeight="false" outlineLevel="0" collapsed="false">
      <c r="B43" s="51"/>
      <c r="C43" s="51"/>
      <c r="D43" s="51"/>
      <c r="E43" s="51" t="s">
        <v>119</v>
      </c>
      <c r="F43" s="51" t="s">
        <v>119</v>
      </c>
      <c r="G43" s="51" t="s">
        <v>120</v>
      </c>
      <c r="H43" s="51" t="s">
        <v>120</v>
      </c>
      <c r="I43" s="6"/>
      <c r="J43" s="6"/>
      <c r="K43" s="6"/>
      <c r="L43" s="6"/>
      <c r="M43" s="6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51"/>
      <c r="DZ43" s="51"/>
      <c r="EA43" s="51"/>
      <c r="EB43" s="51"/>
    </row>
    <row r="44" customFormat="false" ht="15.75" hidden="false" customHeight="false" outlineLevel="0" collapsed="false">
      <c r="B44" s="6" t="n">
        <v>1</v>
      </c>
      <c r="C44" s="22" t="n">
        <f aca="false">IF(C$5&gt;$B44, IF(C$3&lt;74.57,0.007,0.003)*C$17*($B44*C$6/1000)^2,0)</f>
        <v>343.90764</v>
      </c>
      <c r="D44" s="22" t="n">
        <f aca="false">IF(D$5&gt;$B44, IF(D$3&lt;74.57,0.007,0.003)*D$17*($B44*D$6/1000)^2,0)</f>
        <v>328.8192624</v>
      </c>
      <c r="E44" s="22" t="n">
        <f aca="false">C44</f>
        <v>343.90764</v>
      </c>
      <c r="F44" s="22" t="n">
        <f aca="false">D44</f>
        <v>328.8192624</v>
      </c>
      <c r="G44" s="22" t="n">
        <f aca="false">E44/(1+C$7)^$B44</f>
        <v>327.531085714286</v>
      </c>
      <c r="H44" s="22" t="n">
        <f aca="false">F44/(1+D$7)^$B44</f>
        <v>313.161202285714</v>
      </c>
      <c r="I44" s="6"/>
      <c r="J44" s="6"/>
      <c r="K44" s="6"/>
      <c r="L44" s="6"/>
      <c r="M44" s="6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</row>
    <row r="45" customFormat="false" ht="15.75" hidden="false" customHeight="false" outlineLevel="0" collapsed="false">
      <c r="B45" s="6" t="n">
        <v>2</v>
      </c>
      <c r="C45" s="22" t="n">
        <f aca="false">IF(C$5&gt;$B45, IF(C$3&lt;74.57,0.007,0.003)*C$17*($B45*C$6/1000)^2,0)</f>
        <v>1375.63056</v>
      </c>
      <c r="D45" s="22" t="n">
        <f aca="false">IF(D$5&gt;$B45, IF(D$3&lt;74.57,0.007,0.003)*D$17*($B45*D$6/1000)^2,0)</f>
        <v>1315.2770496</v>
      </c>
      <c r="E45" s="22" t="n">
        <f aca="false">IF(C45&gt;0,C45-C44,0)</f>
        <v>1031.72292</v>
      </c>
      <c r="F45" s="22" t="n">
        <f aca="false">IF(D45&gt;0,D45-D44,0)</f>
        <v>986.4577872</v>
      </c>
      <c r="G45" s="22" t="n">
        <f aca="false">E45/(1+C$7)^$B45</f>
        <v>935.803102040816</v>
      </c>
      <c r="H45" s="22" t="n">
        <f aca="false">F45/(1+D$7)^$B45</f>
        <v>894.746292244898</v>
      </c>
      <c r="I45" s="5"/>
      <c r="J45" s="6"/>
      <c r="K45" s="6"/>
      <c r="L45" s="6"/>
      <c r="M45" s="6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</row>
    <row r="46" customFormat="false" ht="15.75" hidden="false" customHeight="false" outlineLevel="0" collapsed="false">
      <c r="B46" s="6" t="n">
        <v>3</v>
      </c>
      <c r="C46" s="22" t="n">
        <f aca="false">IF(C$5&gt;$B46, IF(C$3&lt;74.57,0.007,0.003)*C$17*($B46*C$6/1000)^2,0)</f>
        <v>3095.16876</v>
      </c>
      <c r="D46" s="22" t="n">
        <f aca="false">IF(D$5&gt;$B46, IF(D$3&lt;74.57,0.007,0.003)*D$17*($B46*D$6/1000)^2,0)</f>
        <v>2959.3733616</v>
      </c>
      <c r="E46" s="22" t="n">
        <f aca="false">IF(C46&gt;0,C46-C45,0)</f>
        <v>1719.5382</v>
      </c>
      <c r="F46" s="22" t="n">
        <f aca="false">IF(D46&gt;0,D46-D45,0)</f>
        <v>1644.096312</v>
      </c>
      <c r="G46" s="22" t="n">
        <f aca="false">E46/(1+C$7)^$B46</f>
        <v>1485.40174927114</v>
      </c>
      <c r="H46" s="22" t="n">
        <f aca="false">F46/(1+D$7)^$B46</f>
        <v>1420.23220991254</v>
      </c>
      <c r="I46" s="18"/>
      <c r="J46" s="18"/>
      <c r="K46" s="18"/>
      <c r="L46" s="18"/>
      <c r="M46" s="18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</row>
    <row r="47" customFormat="false" ht="15.75" hidden="false" customHeight="false" outlineLevel="0" collapsed="false">
      <c r="B47" s="6" t="n">
        <v>4</v>
      </c>
      <c r="C47" s="22" t="n">
        <f aca="false">IF(C$5&gt;$B47, IF(C$3&lt;74.57,0.007,0.003)*C$17*($B47*C$6/1000)^2,0)</f>
        <v>5502.52224</v>
      </c>
      <c r="D47" s="22" t="n">
        <f aca="false">IF(D$5&gt;$B47, IF(D$3&lt;74.57,0.007,0.003)*D$17*($B47*D$6/1000)^2,0)</f>
        <v>5261.1081984</v>
      </c>
      <c r="E47" s="22" t="n">
        <f aca="false">IF(C47&gt;0,C47-C46,0)</f>
        <v>2407.35348</v>
      </c>
      <c r="F47" s="22" t="n">
        <f aca="false">IF(D47&gt;0,D47-D46,0)</f>
        <v>2301.7348368</v>
      </c>
      <c r="G47" s="22" t="n">
        <f aca="false">E47/(1+C$7)^$B47</f>
        <v>1980.53566569485</v>
      </c>
      <c r="H47" s="22" t="n">
        <f aca="false">F47/(1+D$7)^$B47</f>
        <v>1893.64294655005</v>
      </c>
      <c r="I47" s="13"/>
      <c r="J47" s="13"/>
      <c r="K47" s="13"/>
      <c r="L47" s="13"/>
      <c r="M47" s="13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</row>
    <row r="48" customFormat="false" ht="15.75" hidden="false" customHeight="false" outlineLevel="0" collapsed="false">
      <c r="B48" s="6" t="n">
        <v>5</v>
      </c>
      <c r="C48" s="22" t="n">
        <f aca="false">IF(C$5&gt;$B48, IF(C$3&lt;74.57,0.007,0.003)*C$17*($B48*C$6/1000)^2,0)</f>
        <v>8597.691</v>
      </c>
      <c r="D48" s="22" t="n">
        <f aca="false">IF(D$5&gt;$B48, IF(D$3&lt;74.57,0.007,0.003)*D$17*($B48*D$6/1000)^2,0)</f>
        <v>8220.48156</v>
      </c>
      <c r="E48" s="22" t="n">
        <f aca="false">IF(C48&gt;0,C48-C47,0)</f>
        <v>3095.16876</v>
      </c>
      <c r="F48" s="22" t="n">
        <f aca="false">IF(D48&gt;0,D48-D47,0)</f>
        <v>2959.3733616</v>
      </c>
      <c r="G48" s="22" t="n">
        <f aca="false">E48/(1+C$7)^$B48</f>
        <v>2425.14571309573</v>
      </c>
      <c r="H48" s="22" t="n">
        <f aca="false">F48/(1+D$7)^$B48</f>
        <v>2318.74646516332</v>
      </c>
      <c r="I48" s="13"/>
      <c r="J48" s="13"/>
      <c r="K48" s="13"/>
      <c r="L48" s="17"/>
      <c r="M48" s="13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</row>
    <row r="49" customFormat="false" ht="15.75" hidden="false" customHeight="false" outlineLevel="0" collapsed="false">
      <c r="B49" s="6" t="n">
        <v>6</v>
      </c>
      <c r="C49" s="22" t="n">
        <f aca="false">IF(C$5&gt;$B49, IF(C$3&lt;74.57,0.007,0.003)*C$17*($B49*C$6/1000)^2,0)</f>
        <v>0</v>
      </c>
      <c r="D49" s="22" t="n">
        <f aca="false">IF(D$5&gt;$B49, IF(D$3&lt;74.57,0.007,0.003)*D$17*($B49*D$6/1000)^2,0)</f>
        <v>0</v>
      </c>
      <c r="E49" s="22" t="n">
        <f aca="false">IF(C49&gt;0,C49-C48,0)</f>
        <v>0</v>
      </c>
      <c r="F49" s="22" t="n">
        <f aca="false">IF(D49&gt;0,D49-D48,0)</f>
        <v>0</v>
      </c>
      <c r="G49" s="22" t="n">
        <f aca="false">E49/(1+C$7)^$B49</f>
        <v>0</v>
      </c>
      <c r="H49" s="22" t="n">
        <f aca="false">F49/(1+D$7)^$B49</f>
        <v>0</v>
      </c>
      <c r="I49" s="13"/>
      <c r="J49" s="13"/>
      <c r="K49" s="13"/>
      <c r="L49" s="13"/>
      <c r="M49" s="13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</row>
    <row r="50" customFormat="false" ht="15.75" hidden="false" customHeight="false" outlineLevel="0" collapsed="false">
      <c r="B50" s="6" t="n">
        <v>7</v>
      </c>
      <c r="C50" s="22" t="n">
        <f aca="false">IF(C$5&gt;$B50, IF(C$3&lt;74.57,0.007,0.003)*C$17*($B50*C$6/1000)^2,0)</f>
        <v>0</v>
      </c>
      <c r="D50" s="22" t="n">
        <f aca="false">IF(D$5&gt;$B50, IF(D$3&lt;74.57,0.007,0.003)*D$17*($B50*D$6/1000)^2,0)</f>
        <v>0</v>
      </c>
      <c r="E50" s="22" t="n">
        <f aca="false">IF(C50&gt;0,C50-C49,0)</f>
        <v>0</v>
      </c>
      <c r="F50" s="22" t="n">
        <f aca="false">IF(D50&gt;0,D50-D49,0)</f>
        <v>0</v>
      </c>
      <c r="G50" s="22" t="n">
        <f aca="false">E50/(1+C$7)^$B50</f>
        <v>0</v>
      </c>
      <c r="H50" s="22" t="n">
        <f aca="false">F50/(1+D$7)^$B50</f>
        <v>0</v>
      </c>
      <c r="I50" s="13"/>
      <c r="J50" s="13"/>
      <c r="K50" s="13"/>
      <c r="L50" s="13"/>
      <c r="M50" s="13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</row>
    <row r="51" customFormat="false" ht="15.75" hidden="false" customHeight="false" outlineLevel="0" collapsed="false">
      <c r="B51" s="6" t="n">
        <v>8</v>
      </c>
      <c r="C51" s="22" t="n">
        <f aca="false">IF(C$5&gt;$B51, IF(C$3&lt;74.57,0.007,0.003)*C$17*($B51*C$6/1000)^2,0)</f>
        <v>0</v>
      </c>
      <c r="D51" s="22" t="n">
        <f aca="false">IF(D$5&gt;$B51, IF(D$3&lt;74.57,0.007,0.003)*D$17*($B51*D$6/1000)^2,0)</f>
        <v>0</v>
      </c>
      <c r="E51" s="22" t="n">
        <f aca="false">IF(C51&gt;0,C51-C50,0)</f>
        <v>0</v>
      </c>
      <c r="F51" s="22" t="n">
        <f aca="false">IF(D51&gt;0,D51-D50,0)</f>
        <v>0</v>
      </c>
      <c r="G51" s="22" t="n">
        <f aca="false">E51/(1+C$7)^$B51</f>
        <v>0</v>
      </c>
      <c r="H51" s="22" t="n">
        <f aca="false">F51/(1+D$7)^$B51</f>
        <v>0</v>
      </c>
      <c r="I51" s="13"/>
      <c r="J51" s="13"/>
      <c r="K51" s="13"/>
      <c r="L51" s="13"/>
      <c r="M51" s="13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</row>
    <row r="52" customFormat="false" ht="15.75" hidden="false" customHeight="false" outlineLevel="0" collapsed="false">
      <c r="B52" s="6" t="n">
        <v>9</v>
      </c>
      <c r="C52" s="22" t="n">
        <f aca="false">IF(C$5&gt;$B52, IF(C$3&lt;74.57,0.007,0.003)*C$17*($B52*C$6/1000)^2,0)</f>
        <v>0</v>
      </c>
      <c r="D52" s="22" t="n">
        <f aca="false">IF(D$5&gt;$B52, IF(D$3&lt;74.57,0.007,0.003)*D$17*($B52*D$6/1000)^2,0)</f>
        <v>0</v>
      </c>
      <c r="E52" s="22" t="n">
        <f aca="false">IF(C52&gt;0,C52-C51,0)</f>
        <v>0</v>
      </c>
      <c r="F52" s="22" t="n">
        <f aca="false">IF(D52&gt;0,D52-D51,0)</f>
        <v>0</v>
      </c>
      <c r="G52" s="22" t="n">
        <f aca="false">E52/(1+C$7)^$B52</f>
        <v>0</v>
      </c>
      <c r="H52" s="22" t="n">
        <f aca="false">F52/(1+D$7)^$B52</f>
        <v>0</v>
      </c>
      <c r="I52" s="13"/>
      <c r="J52" s="13"/>
      <c r="K52" s="13"/>
      <c r="L52" s="13"/>
      <c r="M52" s="13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</row>
    <row r="53" customFormat="false" ht="15.75" hidden="false" customHeight="false" outlineLevel="0" collapsed="false">
      <c r="B53" s="6" t="n">
        <v>10</v>
      </c>
      <c r="C53" s="22" t="n">
        <f aca="false">IF(C$5&gt;$B53, IF(C$3&lt;74.57,0.007,0.003)*C$17*($B53*C$6/1000)^2,0)</f>
        <v>0</v>
      </c>
      <c r="D53" s="22" t="n">
        <f aca="false">IF(D$5&gt;$B53, IF(D$3&lt;74.57,0.007,0.003)*D$17*($B53*D$6/1000)^2,0)</f>
        <v>0</v>
      </c>
      <c r="E53" s="22" t="n">
        <f aca="false">IF(C53&gt;0,C53-C52,0)</f>
        <v>0</v>
      </c>
      <c r="F53" s="22" t="n">
        <f aca="false">IF(D53&gt;0,D53-D52,0)</f>
        <v>0</v>
      </c>
      <c r="G53" s="22" t="n">
        <f aca="false">E53/(1+C$7)^$B53</f>
        <v>0</v>
      </c>
      <c r="H53" s="22" t="n">
        <f aca="false">F53/(1+D$7)^$B53</f>
        <v>0</v>
      </c>
      <c r="I53" s="6"/>
      <c r="J53" s="6"/>
      <c r="K53" s="6"/>
      <c r="L53" s="6"/>
      <c r="M53" s="6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</row>
    <row r="54" customFormat="false" ht="15.75" hidden="false" customHeight="false" outlineLevel="0" collapsed="false">
      <c r="B54" s="6" t="n">
        <v>11</v>
      </c>
      <c r="C54" s="22" t="n">
        <f aca="false">IF(C$5&gt;$B54, IF(C$3&lt;74.57,0.007,0.003)*C$17*($B54*C$6/1000)^2,0)</f>
        <v>0</v>
      </c>
      <c r="D54" s="22" t="n">
        <f aca="false">IF(D$5&gt;$B54, IF(D$3&lt;74.57,0.007,0.003)*D$17*($B54*D$6/1000)^2,0)</f>
        <v>0</v>
      </c>
      <c r="E54" s="22" t="n">
        <f aca="false">IF(C54&gt;0,C54-C53,0)</f>
        <v>0</v>
      </c>
      <c r="F54" s="22" t="n">
        <f aca="false">IF(D54&gt;0,D54-D53,0)</f>
        <v>0</v>
      </c>
      <c r="G54" s="22" t="n">
        <f aca="false">E54/(1+C$7)^$B54</f>
        <v>0</v>
      </c>
      <c r="H54" s="22" t="n">
        <f aca="false">F54/(1+D$7)^$B54</f>
        <v>0</v>
      </c>
      <c r="I54" s="6"/>
      <c r="J54" s="6"/>
      <c r="K54" s="6"/>
      <c r="L54" s="6"/>
      <c r="M54" s="6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</row>
    <row r="55" customFormat="false" ht="15.75" hidden="false" customHeight="false" outlineLevel="0" collapsed="false">
      <c r="B55" s="6" t="n">
        <v>12</v>
      </c>
      <c r="C55" s="22" t="n">
        <f aca="false">IF(C$5&gt;$B55, IF(C$3&lt;74.57,0.007,0.003)*C$17*($B55*C$6/1000)^2,0)</f>
        <v>0</v>
      </c>
      <c r="D55" s="22" t="n">
        <f aca="false">IF(D$5&gt;$B55, IF(D$3&lt;74.57,0.007,0.003)*D$17*($B55*D$6/1000)^2,0)</f>
        <v>0</v>
      </c>
      <c r="E55" s="22" t="n">
        <f aca="false">IF(C55&gt;0,C55-C54,0)</f>
        <v>0</v>
      </c>
      <c r="F55" s="22" t="n">
        <f aca="false">IF(D55&gt;0,D55-D54,0)</f>
        <v>0</v>
      </c>
      <c r="G55" s="22" t="n">
        <f aca="false">E55/(1+C$7)^$B55</f>
        <v>0</v>
      </c>
      <c r="H55" s="22" t="n">
        <f aca="false">F55/(1+D$7)^$B55</f>
        <v>0</v>
      </c>
      <c r="I55" s="6"/>
      <c r="J55" s="6"/>
      <c r="K55" s="6"/>
      <c r="L55" s="6"/>
      <c r="M55" s="6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</row>
    <row r="56" customFormat="false" ht="15.75" hidden="false" customHeight="false" outlineLevel="0" collapsed="false">
      <c r="B56" s="6" t="n">
        <v>13</v>
      </c>
      <c r="C56" s="22" t="n">
        <f aca="false">IF(C$5&gt;$B56, IF(C$3&lt;74.57,0.007,0.003)*C$17*($B56*C$6/1000)^2,0)</f>
        <v>0</v>
      </c>
      <c r="D56" s="22" t="n">
        <f aca="false">IF(D$5&gt;$B56, IF(D$3&lt;74.57,0.007,0.003)*D$17*($B56*D$6/1000)^2,0)</f>
        <v>0</v>
      </c>
      <c r="E56" s="22" t="n">
        <f aca="false">IF(C56&gt;0,C56-C55,0)</f>
        <v>0</v>
      </c>
      <c r="F56" s="22" t="n">
        <f aca="false">IF(D56&gt;0,D56-D55,0)</f>
        <v>0</v>
      </c>
      <c r="G56" s="22" t="n">
        <f aca="false">E56/(1+C$7)^$B56</f>
        <v>0</v>
      </c>
      <c r="H56" s="22" t="n">
        <f aca="false">F56/(1+D$7)^$B56</f>
        <v>0</v>
      </c>
      <c r="I56" s="5"/>
      <c r="J56" s="6"/>
      <c r="K56" s="6"/>
      <c r="L56" s="6"/>
      <c r="M56" s="6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</row>
    <row r="57" customFormat="false" ht="15.75" hidden="false" customHeight="false" outlineLevel="0" collapsed="false">
      <c r="B57" s="6" t="n">
        <v>14</v>
      </c>
      <c r="C57" s="22" t="n">
        <f aca="false">IF(C$5&gt;$B57, IF(C$3&lt;74.57,0.007,0.003)*C$17*($B57*C$6/1000)^2,0)</f>
        <v>0</v>
      </c>
      <c r="D57" s="22" t="n">
        <f aca="false">IF(D$5&gt;$B57, IF(D$3&lt;74.57,0.007,0.003)*D$17*($B57*D$6/1000)^2,0)</f>
        <v>0</v>
      </c>
      <c r="E57" s="22" t="n">
        <f aca="false">IF(C57&gt;0,C57-C56,0)</f>
        <v>0</v>
      </c>
      <c r="F57" s="22" t="n">
        <f aca="false">IF(D57&gt;0,D57-D56,0)</f>
        <v>0</v>
      </c>
      <c r="G57" s="22" t="n">
        <f aca="false">E57/(1+C$7)^$B57</f>
        <v>0</v>
      </c>
      <c r="H57" s="22" t="n">
        <f aca="false">F57/(1+D$7)^$B57</f>
        <v>0</v>
      </c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</row>
    <row r="58" customFormat="false" ht="15.75" hidden="false" customHeight="false" outlineLevel="0" collapsed="false">
      <c r="B58" s="6" t="n">
        <v>15</v>
      </c>
      <c r="C58" s="22" t="n">
        <f aca="false">IF(C$5&gt;$B58, IF(C$3&lt;74.57,0.007,0.003)*C$17*($B58*C$6/1000)^2,0)</f>
        <v>0</v>
      </c>
      <c r="D58" s="22" t="n">
        <f aca="false">IF(D$5&gt;$B58, IF(D$3&lt;74.57,0.007,0.003)*D$17*($B58*D$6/1000)^2,0)</f>
        <v>0</v>
      </c>
      <c r="E58" s="22" t="n">
        <f aca="false">IF(C58&gt;0,C58-C57,0)</f>
        <v>0</v>
      </c>
      <c r="F58" s="22" t="n">
        <f aca="false">IF(D58&gt;0,D58-D57,0)</f>
        <v>0</v>
      </c>
      <c r="G58" s="22" t="n">
        <f aca="false">E58/(1+C$7)^$B58</f>
        <v>0</v>
      </c>
      <c r="H58" s="22" t="n">
        <f aca="false">F58/(1+D$7)^$B58</f>
        <v>0</v>
      </c>
      <c r="I58" s="13"/>
      <c r="J58" s="13"/>
      <c r="K58" s="13"/>
      <c r="L58" s="13"/>
      <c r="M58" s="13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</row>
    <row r="59" customFormat="false" ht="15.75" hidden="false" customHeight="false" outlineLevel="0" collapsed="false">
      <c r="B59" s="6" t="n">
        <v>16</v>
      </c>
      <c r="C59" s="22" t="n">
        <f aca="false">IF(C$5&gt;$B59, IF(C$3&lt;74.57,0.007,0.003)*C$17*($B59*C$6/1000)^2,0)</f>
        <v>0</v>
      </c>
      <c r="D59" s="22" t="n">
        <f aca="false">IF(D$5&gt;$B59, IF(D$3&lt;74.57,0.007,0.003)*D$17*($B59*D$6/1000)^2,0)</f>
        <v>0</v>
      </c>
      <c r="E59" s="22" t="n">
        <f aca="false">IF(C59&gt;0,C59-C58,0)</f>
        <v>0</v>
      </c>
      <c r="F59" s="22" t="n">
        <f aca="false">IF(D59&gt;0,D59-D58,0)</f>
        <v>0</v>
      </c>
      <c r="G59" s="22" t="n">
        <f aca="false">E59/(1+C$7)^$B59</f>
        <v>0</v>
      </c>
      <c r="H59" s="22" t="n">
        <f aca="false">F59/(1+D$7)^$B59</f>
        <v>0</v>
      </c>
      <c r="I59" s="13"/>
      <c r="J59" s="13"/>
      <c r="K59" s="13"/>
      <c r="L59" s="13"/>
      <c r="M59" s="13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</row>
    <row r="60" customFormat="false" ht="15.75" hidden="false" customHeight="false" outlineLevel="0" collapsed="false">
      <c r="B60" s="6" t="n">
        <v>17</v>
      </c>
      <c r="C60" s="22" t="n">
        <f aca="false">IF(C$5&gt;$B60, IF(C$3&lt;74.57,0.007,0.003)*C$17*($B60*C$6/1000)^2,0)</f>
        <v>0</v>
      </c>
      <c r="D60" s="22" t="n">
        <f aca="false">IF(D$5&gt;$B60, IF(D$3&lt;74.57,0.007,0.003)*D$17*($B60*D$6/1000)^2,0)</f>
        <v>0</v>
      </c>
      <c r="E60" s="22" t="n">
        <f aca="false">IF(C60&gt;0,C60-C59,0)</f>
        <v>0</v>
      </c>
      <c r="F60" s="22" t="n">
        <f aca="false">IF(D60&gt;0,D60-D59,0)</f>
        <v>0</v>
      </c>
      <c r="G60" s="22" t="n">
        <f aca="false">E60/(1+C$7)^$B60</f>
        <v>0</v>
      </c>
      <c r="H60" s="22" t="n">
        <f aca="false">F60/(1+D$7)^$B60</f>
        <v>0</v>
      </c>
      <c r="I60" s="13"/>
      <c r="J60" s="13"/>
      <c r="K60" s="13"/>
      <c r="L60" s="13"/>
      <c r="M60" s="13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</row>
    <row r="61" customFormat="false" ht="15.75" hidden="false" customHeight="false" outlineLevel="0" collapsed="false">
      <c r="B61" s="6" t="n">
        <v>18</v>
      </c>
      <c r="C61" s="22" t="n">
        <f aca="false">IF(C$5&gt;$B61, IF(C$3&lt;74.57,0.007,0.003)*C$17*($B61*C$6/1000)^2,0)</f>
        <v>0</v>
      </c>
      <c r="D61" s="22" t="n">
        <f aca="false">IF(D$5&gt;$B61, IF(D$3&lt;74.57,0.007,0.003)*D$17*($B61*D$6/1000)^2,0)</f>
        <v>0</v>
      </c>
      <c r="E61" s="22" t="n">
        <f aca="false">IF(C61&gt;0,C61-C60,0)</f>
        <v>0</v>
      </c>
      <c r="F61" s="22" t="n">
        <f aca="false">IF(D61&gt;0,D61-D60,0)</f>
        <v>0</v>
      </c>
      <c r="G61" s="22" t="n">
        <f aca="false">E61/(1+C$7)^$B61</f>
        <v>0</v>
      </c>
      <c r="H61" s="22" t="n">
        <f aca="false">F61/(1+D$7)^$B61</f>
        <v>0</v>
      </c>
      <c r="I61" s="13"/>
      <c r="J61" s="13"/>
      <c r="K61" s="13"/>
      <c r="L61" s="17"/>
      <c r="M61" s="13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</row>
    <row r="62" customFormat="false" ht="15.75" hidden="false" customHeight="false" outlineLevel="0" collapsed="false">
      <c r="B62" s="6" t="n">
        <v>19</v>
      </c>
      <c r="C62" s="22" t="n">
        <f aca="false">IF(C$5&gt;$B62, IF(C$3&lt;74.57,0.007,0.003)*C$17*($B62*C$6/1000)^2,0)</f>
        <v>0</v>
      </c>
      <c r="D62" s="22" t="n">
        <f aca="false">IF(D$5&gt;$B62, IF(D$3&lt;74.57,0.007,0.003)*D$17*($B62*D$6/1000)^2,0)</f>
        <v>0</v>
      </c>
      <c r="E62" s="22" t="n">
        <f aca="false">IF(C62&gt;0,C62-C61,0)</f>
        <v>0</v>
      </c>
      <c r="F62" s="22" t="n">
        <f aca="false">IF(D62&gt;0,D62-D61,0)</f>
        <v>0</v>
      </c>
      <c r="G62" s="22" t="n">
        <f aca="false">E62/(1+C$7)^$B62</f>
        <v>0</v>
      </c>
      <c r="H62" s="22" t="n">
        <f aca="false">F62/(1+D$7)^$B62</f>
        <v>0</v>
      </c>
      <c r="I62" s="13"/>
      <c r="J62" s="13"/>
      <c r="K62" s="13"/>
      <c r="L62" s="13"/>
      <c r="M62" s="13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</row>
    <row r="63" customFormat="false" ht="15.75" hidden="false" customHeight="false" outlineLevel="0" collapsed="false">
      <c r="B63" s="6" t="n">
        <v>20</v>
      </c>
      <c r="C63" s="22" t="n">
        <f aca="false">IF(C$5&gt;$B63, IF(C$3&lt;74.57,0.007,0.003)*C$17*($B63*C$6/1000)^2,0)</f>
        <v>0</v>
      </c>
      <c r="D63" s="22" t="n">
        <f aca="false">IF(D$5&gt;$B63, IF(D$3&lt;74.57,0.007,0.003)*D$17*($B63*D$6/1000)^2,0)</f>
        <v>0</v>
      </c>
      <c r="E63" s="22" t="n">
        <f aca="false">IF(C63&gt;0,C63-C62,0)</f>
        <v>0</v>
      </c>
      <c r="F63" s="22" t="n">
        <f aca="false">IF(D63&gt;0,D63-D62,0)</f>
        <v>0</v>
      </c>
      <c r="G63" s="22" t="n">
        <f aca="false">E63/(1+C$7)^$B63</f>
        <v>0</v>
      </c>
      <c r="H63" s="22" t="n">
        <f aca="false">F63/(1+D$7)^$B63</f>
        <v>0</v>
      </c>
      <c r="I63" s="13"/>
      <c r="J63" s="13"/>
      <c r="K63" s="13"/>
      <c r="L63" s="13"/>
      <c r="M63" s="13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</row>
    <row r="64" customFormat="false" ht="15.75" hidden="false" customHeight="false" outlineLevel="0" collapsed="false">
      <c r="B64" s="6"/>
      <c r="C64" s="6"/>
      <c r="D64" s="6"/>
      <c r="E64" s="6"/>
      <c r="F64" s="52" t="s">
        <v>121</v>
      </c>
      <c r="G64" s="22" t="n">
        <f aca="false">SUM(G44:G63)</f>
        <v>7154.41731581682</v>
      </c>
      <c r="H64" s="22" t="n">
        <f aca="false">SUM(H44:H63)</f>
        <v>6840.52911615652</v>
      </c>
      <c r="I64" s="13"/>
      <c r="J64" s="13"/>
      <c r="K64" s="13"/>
      <c r="L64" s="13"/>
      <c r="M64" s="13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</row>
    <row r="65" customFormat="false" ht="15.75" hidden="false" customHeight="false" outlineLevel="0" collapsed="false">
      <c r="A65" s="0" t="s">
        <v>122</v>
      </c>
      <c r="B65" s="51"/>
      <c r="E65" s="6"/>
      <c r="I65" s="13"/>
      <c r="J65" s="13"/>
      <c r="K65" s="13"/>
      <c r="L65" s="13"/>
      <c r="M65" s="13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</row>
    <row r="66" customFormat="false" ht="15.75" hidden="false" customHeight="false" outlineLevel="0" collapsed="false">
      <c r="A66" s="0" t="s">
        <v>123</v>
      </c>
      <c r="B66" s="51"/>
      <c r="E66" s="6"/>
      <c r="I66" s="13"/>
      <c r="J66" s="13"/>
      <c r="K66" s="13"/>
      <c r="L66" s="13"/>
      <c r="M66" s="13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</row>
    <row r="67" customFormat="false" ht="15.75" hidden="false" customHeight="false" outlineLevel="0" collapsed="false">
      <c r="A67" s="0" t="s">
        <v>124</v>
      </c>
      <c r="B67" s="6"/>
      <c r="E67" s="6"/>
      <c r="H67" s="6"/>
      <c r="I67" s="13"/>
      <c r="J67" s="13"/>
      <c r="K67" s="13"/>
      <c r="L67" s="13"/>
      <c r="M67" s="13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</row>
    <row r="68" customFormat="false" ht="15.75" hidden="false" customHeight="false" outlineLevel="0" collapsed="false">
      <c r="B68" s="6"/>
      <c r="E68" s="6"/>
      <c r="H68" s="6"/>
      <c r="I68" s="6"/>
      <c r="J68" s="6"/>
      <c r="K68" s="6"/>
      <c r="L68" s="6"/>
      <c r="M68" s="6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</row>
    <row r="69" customFormat="false" ht="15.75" hidden="false" customHeight="false" outlineLevel="0" collapsed="false">
      <c r="B69" s="6"/>
      <c r="E69" s="6"/>
      <c r="H69" s="6"/>
      <c r="I69" s="6"/>
      <c r="J69" s="6"/>
      <c r="K69" s="6"/>
      <c r="L69" s="6"/>
      <c r="M69" s="6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</row>
    <row r="70" customFormat="false" ht="15.75" hidden="false" customHeight="false" outlineLevel="0" collapsed="false">
      <c r="B70" s="6"/>
      <c r="E70" s="6"/>
      <c r="H70" s="6"/>
      <c r="I70" s="6"/>
      <c r="J70" s="6"/>
      <c r="K70" s="6"/>
      <c r="L70" s="6"/>
      <c r="M70" s="6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</row>
    <row r="71" customFormat="false" ht="15.75" hidden="false" customHeight="false" outlineLevel="0" collapsed="false">
      <c r="B71" s="6"/>
      <c r="E71" s="6"/>
      <c r="H71" s="6"/>
      <c r="I71" s="6"/>
      <c r="J71" s="6"/>
      <c r="K71" s="6"/>
      <c r="L71" s="6"/>
      <c r="M71" s="6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</row>
    <row r="72" customFormat="false" ht="15.75" hidden="false" customHeight="false" outlineLevel="0" collapsed="false">
      <c r="B72" s="6"/>
      <c r="E72" s="6"/>
      <c r="H72" s="6"/>
      <c r="I72" s="6"/>
      <c r="J72" s="6"/>
      <c r="K72" s="6"/>
      <c r="L72" s="6"/>
      <c r="M72" s="6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</row>
    <row r="73" customFormat="false" ht="15.75" hidden="false" customHeight="false" outlineLevel="0" collapsed="false">
      <c r="B73" s="6"/>
      <c r="E73" s="6"/>
      <c r="H73" s="6"/>
      <c r="I73" s="6"/>
      <c r="J73" s="6"/>
      <c r="K73" s="6"/>
      <c r="L73" s="6"/>
      <c r="M73" s="6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</row>
    <row r="74" customFormat="false" ht="15.75" hidden="false" customHeight="false" outlineLevel="0" collapsed="false">
      <c r="B74" s="6"/>
      <c r="E74" s="6"/>
      <c r="H74" s="6"/>
      <c r="I74" s="6"/>
      <c r="J74" s="6"/>
      <c r="K74" s="6"/>
      <c r="L74" s="6"/>
      <c r="M74" s="6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</row>
    <row r="75" customFormat="false" ht="15.75" hidden="false" customHeight="false" outlineLevel="0" collapsed="false">
      <c r="B75" s="6"/>
      <c r="E75" s="6"/>
      <c r="H75" s="6"/>
      <c r="I75" s="6"/>
      <c r="J75" s="6"/>
      <c r="K75" s="6"/>
      <c r="L75" s="6"/>
      <c r="M75" s="6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</row>
    <row r="76" customFormat="false" ht="15.75" hidden="false" customHeight="false" outlineLevel="0" collapsed="false">
      <c r="B76" s="6"/>
      <c r="E76" s="6"/>
      <c r="H76" s="6"/>
      <c r="I76" s="6"/>
      <c r="J76" s="6"/>
      <c r="K76" s="6"/>
      <c r="L76" s="6"/>
      <c r="M76" s="6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</row>
    <row r="77" customFormat="false" ht="15.75" hidden="false" customHeight="false" outlineLevel="0" collapsed="false">
      <c r="B77" s="6"/>
      <c r="E77" s="6"/>
      <c r="H77" s="6"/>
      <c r="I77" s="6"/>
      <c r="J77" s="6"/>
      <c r="K77" s="6"/>
      <c r="L77" s="6"/>
      <c r="M77" s="6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</row>
    <row r="78" customFormat="false" ht="15.75" hidden="false" customHeight="false" outlineLevel="0" collapsed="false">
      <c r="B78" s="6"/>
      <c r="E78" s="6"/>
      <c r="H78" s="6"/>
      <c r="I78" s="6"/>
      <c r="J78" s="6"/>
      <c r="K78" s="6"/>
      <c r="L78" s="6"/>
      <c r="M78" s="6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</row>
    <row r="79" customFormat="false" ht="15.75" hidden="false" customHeight="false" outlineLevel="0" collapsed="false">
      <c r="B79" s="6"/>
      <c r="E79" s="6"/>
      <c r="H79" s="6"/>
      <c r="I79" s="6"/>
      <c r="J79" s="6"/>
      <c r="K79" s="6"/>
      <c r="L79" s="6"/>
      <c r="M79" s="6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</row>
    <row r="80" customFormat="false" ht="15.75" hidden="false" customHeight="false" outlineLevel="0" collapsed="false">
      <c r="B80" s="6"/>
      <c r="E80" s="6"/>
      <c r="H80" s="6"/>
      <c r="I80" s="6"/>
      <c r="J80" s="6"/>
      <c r="K80" s="6"/>
      <c r="L80" s="6"/>
      <c r="M80" s="6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</row>
    <row r="81" customFormat="false" ht="15.75" hidden="false" customHeight="false" outlineLevel="0" collapsed="false">
      <c r="B81" s="6"/>
      <c r="E81" s="6"/>
      <c r="H81" s="6"/>
      <c r="I81" s="6"/>
      <c r="J81" s="6"/>
      <c r="K81" s="6"/>
      <c r="L81" s="6"/>
      <c r="M81" s="6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</row>
    <row r="82" customFormat="false" ht="15.75" hidden="false" customHeight="false" outlineLevel="0" collapsed="false">
      <c r="B82" s="6"/>
      <c r="E82" s="6"/>
      <c r="H82" s="6"/>
      <c r="I82" s="6"/>
      <c r="J82" s="6"/>
      <c r="K82" s="6"/>
      <c r="L82" s="6"/>
      <c r="M82" s="6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</row>
    <row r="83" customFormat="false" ht="15.75" hidden="false" customHeight="false" outlineLevel="0" collapsed="false">
      <c r="B83" s="6"/>
      <c r="E83" s="6"/>
      <c r="H83" s="6"/>
      <c r="I83" s="6"/>
      <c r="J83" s="6"/>
      <c r="K83" s="6"/>
      <c r="L83" s="6"/>
      <c r="M83" s="6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</row>
    <row r="84" customFormat="false" ht="15.75" hidden="false" customHeight="false" outlineLevel="0" collapsed="false">
      <c r="B84" s="6"/>
      <c r="E84" s="6"/>
      <c r="H84" s="6"/>
      <c r="I84" s="6"/>
      <c r="J84" s="6"/>
      <c r="K84" s="6"/>
      <c r="L84" s="6"/>
      <c r="M84" s="6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</row>
    <row r="85" customFormat="false" ht="15.75" hidden="false" customHeight="false" outlineLevel="0" collapsed="false">
      <c r="B85" s="6"/>
      <c r="E85" s="6"/>
      <c r="H85" s="6"/>
      <c r="I85" s="6"/>
      <c r="J85" s="6"/>
      <c r="K85" s="6"/>
      <c r="L85" s="6"/>
      <c r="M85" s="6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</row>
    <row r="86" customFormat="false" ht="15.75" hidden="false" customHeight="false" outlineLevel="0" collapsed="false">
      <c r="B86" s="6"/>
      <c r="E86" s="6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</row>
    <row r="87" customFormat="false" ht="15.75" hidden="false" customHeight="false" outlineLevel="0" collapsed="false">
      <c r="B87" s="6"/>
      <c r="C87" s="6"/>
      <c r="D87" s="6"/>
      <c r="E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</row>
    <row r="88" customFormat="false" ht="15.75" hidden="false" customHeight="false" outlineLevel="0" collapsed="false">
      <c r="B88" s="51"/>
      <c r="E88" s="6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</row>
    <row r="89" customFormat="false" ht="15.75" hidden="false" customHeight="false" outlineLevel="0" collapsed="false">
      <c r="B89" s="51"/>
      <c r="E89" s="6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</row>
    <row r="90" customFormat="false" ht="15.75" hidden="false" customHeight="false" outlineLevel="0" collapsed="false">
      <c r="B90" s="6"/>
      <c r="E90" s="6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</row>
    <row r="91" customFormat="false" ht="15.75" hidden="false" customHeight="false" outlineLevel="0" collapsed="false">
      <c r="B91" s="6"/>
      <c r="E91" s="6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</row>
    <row r="92" customFormat="false" ht="15.75" hidden="false" customHeight="false" outlineLevel="0" collapsed="false">
      <c r="B92" s="6"/>
      <c r="E92" s="6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</row>
    <row r="93" customFormat="false" ht="15.75" hidden="false" customHeight="false" outlineLevel="0" collapsed="false">
      <c r="B93" s="6"/>
      <c r="E93" s="6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</row>
    <row r="94" customFormat="false" ht="15.75" hidden="false" customHeight="false" outlineLevel="0" collapsed="false">
      <c r="B94" s="6"/>
      <c r="E94" s="6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</row>
    <row r="95" customFormat="false" ht="15.75" hidden="false" customHeight="false" outlineLevel="0" collapsed="false">
      <c r="B95" s="6"/>
      <c r="E95" s="6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</row>
    <row r="96" customFormat="false" ht="15.75" hidden="false" customHeight="false" outlineLevel="0" collapsed="false">
      <c r="B96" s="6"/>
      <c r="E96" s="6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</row>
    <row r="97" customFormat="false" ht="15.75" hidden="false" customHeight="false" outlineLevel="0" collapsed="false">
      <c r="B97" s="6"/>
      <c r="E97" s="6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</row>
    <row r="98" customFormat="false" ht="15.75" hidden="false" customHeight="false" outlineLevel="0" collapsed="false">
      <c r="B98" s="6"/>
      <c r="E98" s="6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</row>
    <row r="99" customFormat="false" ht="15.75" hidden="false" customHeight="false" outlineLevel="0" collapsed="false">
      <c r="B99" s="6"/>
      <c r="E99" s="6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</row>
    <row r="100" customFormat="false" ht="15.75" hidden="false" customHeight="false" outlineLevel="0" collapsed="false">
      <c r="B100" s="6"/>
      <c r="E100" s="6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</row>
    <row r="101" customFormat="false" ht="15.75" hidden="false" customHeight="false" outlineLevel="0" collapsed="false">
      <c r="B101" s="6"/>
      <c r="E101" s="6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</row>
    <row r="102" customFormat="false" ht="15.75" hidden="false" customHeight="false" outlineLevel="0" collapsed="false">
      <c r="B102" s="6"/>
      <c r="E102" s="6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</row>
    <row r="103" customFormat="false" ht="15.75" hidden="false" customHeight="false" outlineLevel="0" collapsed="false">
      <c r="B103" s="6"/>
      <c r="E103" s="6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</row>
    <row r="104" customFormat="false" ht="15.75" hidden="false" customHeight="false" outlineLevel="0" collapsed="false">
      <c r="B104" s="6"/>
      <c r="E104" s="6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</row>
    <row r="105" customFormat="false" ht="15.75" hidden="false" customHeight="false" outlineLevel="0" collapsed="false">
      <c r="B105" s="6"/>
      <c r="E105" s="6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</row>
    <row r="106" customFormat="false" ht="15.75" hidden="false" customHeight="false" outlineLevel="0" collapsed="false">
      <c r="B106" s="6"/>
      <c r="E106" s="6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</row>
    <row r="107" customFormat="false" ht="15.75" hidden="false" customHeight="false" outlineLevel="0" collapsed="false">
      <c r="B107" s="6"/>
      <c r="E107" s="6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</row>
    <row r="108" customFormat="false" ht="15.75" hidden="false" customHeight="false" outlineLevel="0" collapsed="false">
      <c r="B108" s="6"/>
      <c r="E108" s="6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</row>
    <row r="109" customFormat="false" ht="15.75" hidden="false" customHeight="false" outlineLevel="0" collapsed="false">
      <c r="B109" s="6"/>
      <c r="E109" s="6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</row>
    <row r="110" customFormat="false" ht="15.75" hidden="false" customHeight="false" outlineLevel="0" collapsed="false">
      <c r="B110" s="53"/>
      <c r="E110" s="6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</row>
    <row r="111" customFormat="false" ht="15.75" hidden="false" customHeight="false" outlineLevel="0" collapsed="false">
      <c r="A111" s="6"/>
      <c r="B111" s="6"/>
      <c r="C111" s="6"/>
      <c r="D111" s="6"/>
      <c r="E111" s="6"/>
    </row>
    <row r="112" customFormat="false" ht="15.75" hidden="false" customHeight="false" outlineLevel="0" collapsed="false">
      <c r="D112" s="6"/>
      <c r="E112" s="6"/>
    </row>
    <row r="113" customFormat="false" ht="15.75" hidden="false" customHeight="false" outlineLevel="0" collapsed="false">
      <c r="B113" s="54"/>
      <c r="C113" s="54"/>
      <c r="D113" s="6"/>
      <c r="E113" s="6"/>
    </row>
    <row r="114" customFormat="false" ht="15.75" hidden="false" customHeight="false" outlineLevel="0" collapsed="false">
      <c r="B114" s="55"/>
      <c r="C114" s="55"/>
      <c r="D114" s="6"/>
      <c r="E114" s="6"/>
    </row>
    <row r="115" customFormat="false" ht="15.75" hidden="false" customHeight="false" outlineLevel="0" collapsed="false">
      <c r="B115" s="56"/>
      <c r="C115" s="56"/>
      <c r="D115" s="6"/>
      <c r="E115" s="6"/>
    </row>
    <row r="116" customFormat="false" ht="15.75" hidden="false" customHeight="false" outlineLevel="0" collapsed="false">
      <c r="B116" s="56"/>
      <c r="C116" s="56"/>
    </row>
    <row r="117" customFormat="false" ht="15.75" hidden="false" customHeight="false" outlineLevel="0" collapsed="false">
      <c r="B117" s="56"/>
      <c r="C117" s="56"/>
    </row>
    <row r="118" customFormat="false" ht="15.75" hidden="false" customHeight="false" outlineLevel="0" collapsed="false">
      <c r="B118" s="56"/>
      <c r="C118" s="56"/>
    </row>
    <row r="119" customFormat="false" ht="15.75" hidden="false" customHeight="false" outlineLevel="0" collapsed="false">
      <c r="B119" s="57"/>
      <c r="C119" s="55"/>
    </row>
  </sheetData>
  <sheetProtection sheet="true" objects="true" scenarios="true"/>
  <printOptions headings="false" gridLines="true" gridLinesSet="true" horizontalCentered="true" verticalCentered="false"/>
  <pageMargins left="0" right="0" top="0.5" bottom="0.2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&amp;C&amp;F</oddHeader>
    <oddFooter>&amp;C&amp;A</oddFooter>
  </headerFooter>
  <colBreaks count="1" manualBreakCount="1">
    <brk id="17" man="true" max="65535" min="0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B1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.75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46.63"/>
    <col collapsed="false" customWidth="true" hidden="false" outlineLevel="0" max="4" min="3" style="0" width="9.5"/>
    <col collapsed="false" customWidth="true" hidden="false" outlineLevel="0" max="5" min="5" style="0" width="8.13"/>
    <col collapsed="false" customWidth="true" hidden="false" outlineLevel="0" max="6" min="6" style="0" width="48"/>
    <col collapsed="false" customWidth="true" hidden="false" outlineLevel="0" max="1025" min="7" style="0" width="8.62"/>
  </cols>
  <sheetData>
    <row r="1" customFormat="false" ht="16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false" outlineLevel="0" collapsed="false">
      <c r="A2" s="2" t="s">
        <v>6</v>
      </c>
      <c r="B2" s="3"/>
      <c r="C2" s="3"/>
      <c r="D2" s="3"/>
      <c r="E2" s="3"/>
      <c r="F2" s="4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</row>
    <row r="3" customFormat="false" ht="15.75" hidden="false" customHeight="false" outlineLevel="0" collapsed="false">
      <c r="A3" s="7" t="s">
        <v>125</v>
      </c>
      <c r="B3" s="8" t="s">
        <v>8</v>
      </c>
      <c r="C3" s="9" t="n">
        <v>450</v>
      </c>
      <c r="D3" s="9" t="n">
        <v>303</v>
      </c>
      <c r="E3" s="8" t="s">
        <v>126</v>
      </c>
      <c r="F3" s="10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</row>
    <row r="4" customFormat="false" ht="15.75" hidden="false" customHeight="false" outlineLevel="0" collapsed="false">
      <c r="A4" s="7" t="s">
        <v>10</v>
      </c>
      <c r="B4" s="8" t="s">
        <v>11</v>
      </c>
      <c r="C4" s="11" t="n">
        <v>1</v>
      </c>
      <c r="D4" s="11" t="n">
        <v>2</v>
      </c>
      <c r="E4" s="8" t="s">
        <v>12</v>
      </c>
      <c r="F4" s="1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</row>
    <row r="5" customFormat="false" ht="15.75" hidden="false" customHeight="false" outlineLevel="0" collapsed="false">
      <c r="A5" s="7" t="s">
        <v>13</v>
      </c>
      <c r="B5" s="8" t="s">
        <v>14</v>
      </c>
      <c r="C5" s="11" t="n">
        <v>6</v>
      </c>
      <c r="D5" s="11" t="n">
        <v>6</v>
      </c>
      <c r="E5" s="8" t="s">
        <v>15</v>
      </c>
      <c r="F5" s="10"/>
      <c r="H5" s="6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</row>
    <row r="6" customFormat="false" ht="15.75" hidden="false" customHeight="false" outlineLevel="0" collapsed="false">
      <c r="A6" s="7" t="s">
        <v>16</v>
      </c>
      <c r="B6" s="8" t="s">
        <v>17</v>
      </c>
      <c r="C6" s="11" t="n">
        <v>600</v>
      </c>
      <c r="D6" s="11" t="n">
        <v>600</v>
      </c>
      <c r="E6" s="8" t="s">
        <v>18</v>
      </c>
      <c r="F6" s="10"/>
      <c r="H6" s="13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</row>
    <row r="7" customFormat="false" ht="15.75" hidden="false" customHeight="false" outlineLevel="0" collapsed="false">
      <c r="A7" s="7" t="s">
        <v>19</v>
      </c>
      <c r="B7" s="8" t="s">
        <v>20</v>
      </c>
      <c r="C7" s="14" t="n">
        <v>0.05</v>
      </c>
      <c r="D7" s="14" t="n">
        <v>0.05</v>
      </c>
      <c r="E7" s="8" t="s">
        <v>21</v>
      </c>
      <c r="F7" s="10"/>
      <c r="H7" s="6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</row>
    <row r="8" customFormat="false" ht="15.75" hidden="false" customHeight="false" outlineLevel="0" collapsed="false">
      <c r="A8" s="7" t="s">
        <v>22</v>
      </c>
      <c r="B8" s="8" t="s">
        <v>23</v>
      </c>
      <c r="C8" s="16" t="n">
        <v>1</v>
      </c>
      <c r="D8" s="16" t="n">
        <v>1</v>
      </c>
      <c r="E8" s="8" t="s">
        <v>83</v>
      </c>
      <c r="F8" s="10"/>
      <c r="H8" s="6"/>
      <c r="I8" s="13"/>
      <c r="J8" s="13"/>
      <c r="K8" s="13"/>
      <c r="L8" s="13"/>
      <c r="M8" s="17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</row>
    <row r="9" customFormat="false" ht="15.75" hidden="false" customHeight="false" outlineLevel="0" collapsed="false">
      <c r="A9" s="7" t="s">
        <v>25</v>
      </c>
      <c r="B9" s="8" t="s">
        <v>26</v>
      </c>
      <c r="C9" s="16" t="n">
        <v>1</v>
      </c>
      <c r="D9" s="16" t="n">
        <v>1</v>
      </c>
      <c r="E9" s="8" t="s">
        <v>83</v>
      </c>
      <c r="F9" s="10"/>
      <c r="H9" s="6"/>
      <c r="I9" s="13"/>
      <c r="J9" s="13"/>
      <c r="K9" s="13"/>
      <c r="L9" s="13"/>
      <c r="M9" s="17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</row>
    <row r="10" customFormat="false" ht="15.75" hidden="false" customHeight="false" outlineLevel="0" collapsed="false">
      <c r="A10" s="7" t="s">
        <v>27</v>
      </c>
      <c r="B10" s="20" t="s">
        <v>28</v>
      </c>
      <c r="C10" s="16" t="n">
        <v>2</v>
      </c>
      <c r="D10" s="16" t="n">
        <v>2</v>
      </c>
      <c r="E10" s="20" t="s">
        <v>29</v>
      </c>
      <c r="F10" s="10"/>
      <c r="H10" s="6"/>
      <c r="I10" s="13"/>
      <c r="J10" s="13"/>
      <c r="K10" s="13"/>
      <c r="L10" s="13"/>
      <c r="M10" s="13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</row>
    <row r="11" customFormat="false" ht="15.75" hidden="false" customHeight="false" outlineLevel="0" collapsed="false">
      <c r="A11" s="7" t="s">
        <v>30</v>
      </c>
      <c r="B11" s="20" t="s">
        <v>31</v>
      </c>
      <c r="C11" s="9" t="n">
        <v>80</v>
      </c>
      <c r="D11" s="9" t="n">
        <v>80</v>
      </c>
      <c r="E11" s="20" t="s">
        <v>32</v>
      </c>
      <c r="F11" s="10" t="s">
        <v>33</v>
      </c>
      <c r="H11" s="6"/>
      <c r="I11" s="13"/>
      <c r="J11" s="13"/>
      <c r="K11" s="13"/>
      <c r="L11" s="13"/>
      <c r="M11" s="13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</row>
    <row r="12" customFormat="false" ht="15.75" hidden="false" customHeight="false" outlineLevel="0" collapsed="false">
      <c r="A12" s="7" t="s">
        <v>34</v>
      </c>
      <c r="B12" s="20" t="s">
        <v>35</v>
      </c>
      <c r="C12" s="9" t="n">
        <v>90</v>
      </c>
      <c r="D12" s="9" t="n">
        <v>90</v>
      </c>
      <c r="E12" s="20" t="s">
        <v>32</v>
      </c>
      <c r="F12" s="10" t="s">
        <v>33</v>
      </c>
      <c r="H12" s="6"/>
      <c r="I12" s="13"/>
      <c r="J12" s="13"/>
      <c r="K12" s="13"/>
      <c r="L12" s="13"/>
      <c r="M12" s="13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</row>
    <row r="13" customFormat="false" ht="15.75" hidden="false" customHeight="false" outlineLevel="0" collapsed="false">
      <c r="A13" s="7" t="s">
        <v>36</v>
      </c>
      <c r="B13" s="20" t="s">
        <v>37</v>
      </c>
      <c r="C13" s="9" t="n">
        <v>97</v>
      </c>
      <c r="D13" s="9" t="n">
        <v>97</v>
      </c>
      <c r="E13" s="20" t="s">
        <v>32</v>
      </c>
      <c r="F13" s="10" t="s">
        <v>38</v>
      </c>
      <c r="H13" s="6"/>
      <c r="I13" s="13"/>
      <c r="J13" s="13"/>
      <c r="K13" s="13"/>
      <c r="L13" s="13"/>
      <c r="M13" s="13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</row>
    <row r="14" customFormat="false" ht="15.75" hidden="false" customHeight="false" outlineLevel="0" collapsed="false">
      <c r="A14" s="7" t="s">
        <v>39</v>
      </c>
      <c r="B14" s="20" t="s">
        <v>40</v>
      </c>
      <c r="C14" s="9" t="n">
        <v>90</v>
      </c>
      <c r="D14" s="9" t="n">
        <v>90</v>
      </c>
      <c r="E14" s="20" t="s">
        <v>32</v>
      </c>
      <c r="F14" s="10" t="s">
        <v>41</v>
      </c>
      <c r="H14" s="6"/>
      <c r="I14" s="13"/>
      <c r="J14" s="13"/>
      <c r="K14" s="13"/>
      <c r="L14" s="13"/>
      <c r="M14" s="13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</row>
    <row r="15" customFormat="false" ht="15.75" hidden="false" customHeight="false" outlineLevel="0" collapsed="false">
      <c r="A15" s="7"/>
      <c r="B15" s="8"/>
      <c r="C15" s="21"/>
      <c r="D15" s="21"/>
      <c r="E15" s="8"/>
      <c r="F15" s="10"/>
      <c r="H15" s="6"/>
      <c r="I15" s="13"/>
      <c r="J15" s="13"/>
      <c r="K15" s="13"/>
      <c r="L15" s="13"/>
      <c r="M15" s="13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</row>
    <row r="16" customFormat="false" ht="15.75" hidden="false" customHeight="false" outlineLevel="0" collapsed="false">
      <c r="A16" s="23" t="s">
        <v>42</v>
      </c>
      <c r="B16" s="8"/>
      <c r="C16" s="8"/>
      <c r="D16" s="8"/>
      <c r="E16" s="8"/>
      <c r="F16" s="10"/>
      <c r="H16" s="6"/>
      <c r="I16" s="13"/>
      <c r="J16" s="13"/>
      <c r="K16" s="13"/>
      <c r="L16" s="13"/>
      <c r="M16" s="13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</row>
    <row r="17" customFormat="false" ht="15.75" hidden="false" customHeight="false" outlineLevel="0" collapsed="false">
      <c r="A17" s="7" t="s">
        <v>43</v>
      </c>
      <c r="B17" s="8" t="s">
        <v>44</v>
      </c>
      <c r="C17" s="11" t="n">
        <f aca="false">(1030*Pkw) + IF(Ctt=1,49500,IF(Ctt=2,-7500,96400))</f>
        <v>513000</v>
      </c>
      <c r="D17" s="9" t="n">
        <f aca="false">(1030*Pkw) + IF(Ctt=1,49500,IF(Ctt=2,-7500,96400))</f>
        <v>304590</v>
      </c>
      <c r="E17" s="8" t="s">
        <v>45</v>
      </c>
      <c r="F17" s="10" t="s">
        <v>127</v>
      </c>
      <c r="H17" s="6"/>
      <c r="I17" s="13"/>
      <c r="J17" s="13"/>
      <c r="K17" s="13"/>
      <c r="L17" s="13"/>
      <c r="M17" s="13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</row>
    <row r="18" customFormat="false" ht="15.75" hidden="false" customHeight="false" outlineLevel="0" collapsed="false">
      <c r="A18" s="7" t="s">
        <v>128</v>
      </c>
      <c r="B18" s="20" t="s">
        <v>48</v>
      </c>
      <c r="C18" s="21" t="n">
        <f aca="false">IF(Ctt=1,Pkw,Pkw*Epto/100)</f>
        <v>450</v>
      </c>
      <c r="D18" s="21" t="n">
        <f aca="false">IF(Ctt=1,Pkw,Pkw*Epto/100)</f>
        <v>272.7</v>
      </c>
      <c r="E18" s="20" t="s">
        <v>126</v>
      </c>
      <c r="F18" s="25" t="s">
        <v>129</v>
      </c>
      <c r="H18" s="6"/>
      <c r="I18" s="13"/>
      <c r="J18" s="13"/>
      <c r="K18" s="13"/>
      <c r="L18" s="13"/>
      <c r="M18" s="13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</row>
    <row r="19" customFormat="false" ht="45.75" hidden="false" customHeight="false" outlineLevel="0" collapsed="false">
      <c r="A19" s="7" t="s">
        <v>50</v>
      </c>
      <c r="B19" s="8" t="s">
        <v>51</v>
      </c>
      <c r="C19" s="26" t="n">
        <f aca="false">100*IF(PkWpto&gt;112,(0.976-0.119*Ny^0.5-0.0019*H^0.5)^2,(0.942-0.1*Ny^0.5-0.0008*H^0.5)^2)</f>
        <v>40.7006251048039</v>
      </c>
      <c r="D19" s="26" t="n">
        <f aca="false">100*IF(PkWpto&gt;112,(0.976-0.119*Ny^0.5-0.0019*H^0.5)^2,(0.942-0.1*Ny^0.5-0.0008*H^0.5)^2)</f>
        <v>40.7006251048039</v>
      </c>
      <c r="E19" s="8" t="s">
        <v>32</v>
      </c>
      <c r="F19" s="24" t="s">
        <v>130</v>
      </c>
      <c r="H19" s="6"/>
      <c r="I19" s="6"/>
      <c r="J19" s="6"/>
      <c r="K19" s="6"/>
      <c r="L19" s="6"/>
      <c r="M19" s="6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</row>
    <row r="20" customFormat="false" ht="15.75" hidden="false" customHeight="false" outlineLevel="0" collapsed="false">
      <c r="A20" s="7" t="s">
        <v>53</v>
      </c>
      <c r="B20" s="8" t="s">
        <v>54</v>
      </c>
      <c r="C20" s="21" t="n">
        <f aca="false">RV/100*P</f>
        <v>208794.206787644</v>
      </c>
      <c r="D20" s="21" t="n">
        <f aca="false">RV/100*P</f>
        <v>123970.034006722</v>
      </c>
      <c r="E20" s="8" t="s">
        <v>45</v>
      </c>
      <c r="F20" s="10" t="s">
        <v>55</v>
      </c>
      <c r="H20" s="6"/>
      <c r="I20" s="6"/>
      <c r="J20" s="6"/>
      <c r="K20" s="6"/>
      <c r="L20" s="6"/>
      <c r="M20" s="6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</row>
    <row r="21" customFormat="false" ht="15.75" hidden="false" customHeight="false" outlineLevel="0" collapsed="false">
      <c r="A21" s="7" t="s">
        <v>56</v>
      </c>
      <c r="B21" s="8" t="s">
        <v>57</v>
      </c>
      <c r="C21" s="21" t="n">
        <f aca="false">P-SV/(1+i)^Ny</f>
        <v>357194.548166528</v>
      </c>
      <c r="D21" s="21" t="n">
        <f aca="false">P-SV/(1+i)^Ny</f>
        <v>212081.651902618</v>
      </c>
      <c r="E21" s="8" t="s">
        <v>58</v>
      </c>
      <c r="F21" s="25" t="s">
        <v>59</v>
      </c>
      <c r="H21" s="6"/>
      <c r="I21" s="6"/>
      <c r="J21" s="6"/>
      <c r="K21" s="6"/>
      <c r="L21" s="6"/>
      <c r="M21" s="6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</row>
    <row r="22" customFormat="false" ht="15.75" hidden="false" customHeight="false" outlineLevel="0" collapsed="false">
      <c r="A22" s="7" t="s">
        <v>60</v>
      </c>
      <c r="B22" s="8" t="s">
        <v>61</v>
      </c>
      <c r="C22" s="21" t="n">
        <f aca="false">G64</f>
        <v>11525.8659844113</v>
      </c>
      <c r="D22" s="21" t="n">
        <f aca="false">H64</f>
        <v>6843.39867483786</v>
      </c>
      <c r="E22" s="8" t="s">
        <v>58</v>
      </c>
      <c r="F22" s="25" t="s">
        <v>62</v>
      </c>
      <c r="H22" s="6"/>
      <c r="I22" s="5"/>
      <c r="J22" s="6"/>
      <c r="K22" s="6"/>
      <c r="L22" s="6"/>
      <c r="M22" s="6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</row>
    <row r="23" customFormat="false" ht="15.75" hidden="false" customHeight="false" outlineLevel="0" collapsed="false">
      <c r="A23" s="7" t="s">
        <v>63</v>
      </c>
      <c r="B23" s="8" t="s">
        <v>64</v>
      </c>
      <c r="C23" s="29" t="n">
        <f aca="false">1  -  (Sp/100-1)*(0.45*Pp/100 - 0.877)</f>
        <v>0.9483</v>
      </c>
      <c r="D23" s="29" t="n">
        <f aca="false">1  -  (Sp/100-1)*(0.45*Pp/100 - 0.877)</f>
        <v>0.9483</v>
      </c>
      <c r="E23" s="8" t="s">
        <v>65</v>
      </c>
      <c r="F23" s="25" t="s">
        <v>66</v>
      </c>
      <c r="H23" s="6"/>
      <c r="I23" s="5"/>
      <c r="J23" s="6"/>
      <c r="K23" s="6"/>
      <c r="L23" s="6"/>
      <c r="M23" s="6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</row>
    <row r="24" customFormat="false" ht="45.75" hidden="false" customHeight="false" outlineLevel="0" collapsed="false">
      <c r="A24" s="7" t="s">
        <v>67</v>
      </c>
      <c r="B24" s="8" t="s">
        <v>68</v>
      </c>
      <c r="C24" s="26" t="n">
        <f aca="false">PkWpto*(Pp/100)*(0.22+0.096/(Pp/100))*PTM  * Afc/100</f>
        <v>112.5897624</v>
      </c>
      <c r="D24" s="26" t="n">
        <f aca="false">PkWpto*(Pp/100)*(0.22+0.096/(Pp/100))*PTM  * Afc/100</f>
        <v>68.2293960144</v>
      </c>
      <c r="E24" s="8" t="s">
        <v>131</v>
      </c>
      <c r="F24" s="24" t="s">
        <v>132</v>
      </c>
      <c r="H24" s="13"/>
      <c r="I24" s="6"/>
      <c r="J24" s="6"/>
      <c r="K24" s="6"/>
      <c r="L24" s="6"/>
      <c r="M24" s="6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</row>
    <row r="25" customFormat="false" ht="15.75" hidden="false" customHeight="false" outlineLevel="0" collapsed="false">
      <c r="A25" s="7" t="s">
        <v>71</v>
      </c>
      <c r="B25" s="8" t="s">
        <v>72</v>
      </c>
      <c r="C25" s="30" t="n">
        <f aca="false">0.00059*PkWpto+0.02169</f>
        <v>0.28719</v>
      </c>
      <c r="D25" s="30" t="n">
        <f aca="false">0.00059*PkWpto+0.02169</f>
        <v>0.182583</v>
      </c>
      <c r="E25" s="8" t="s">
        <v>131</v>
      </c>
      <c r="F25" s="10" t="s">
        <v>133</v>
      </c>
      <c r="G25" s="20"/>
      <c r="H25" s="6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</row>
    <row r="26" customFormat="false" ht="15.75" hidden="false" customHeight="false" outlineLevel="0" collapsed="false">
      <c r="A26" s="7" t="s">
        <v>74</v>
      </c>
      <c r="B26" s="8" t="s">
        <v>75</v>
      </c>
      <c r="C26" s="29" t="n">
        <f aca="false">0.02*F</f>
        <v>2.251795248</v>
      </c>
      <c r="D26" s="29" t="n">
        <f aca="false">0.02*F</f>
        <v>1.364587920288</v>
      </c>
      <c r="E26" s="8" t="s">
        <v>131</v>
      </c>
      <c r="F26" s="10" t="s">
        <v>76</v>
      </c>
      <c r="G26" s="20"/>
      <c r="H26" s="6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</row>
    <row r="27" customFormat="false" ht="15.75" hidden="false" customHeight="false" outlineLevel="0" collapsed="false">
      <c r="A27" s="7" t="s">
        <v>77</v>
      </c>
      <c r="B27" s="8" t="s">
        <v>78</v>
      </c>
      <c r="C27" s="21" t="n">
        <f aca="false">F*H*Pf</f>
        <v>67553.85744</v>
      </c>
      <c r="D27" s="21" t="n">
        <f aca="false">F*H*Pf</f>
        <v>40937.63760864</v>
      </c>
      <c r="E27" s="8" t="s">
        <v>79</v>
      </c>
      <c r="F27" s="25" t="s">
        <v>80</v>
      </c>
      <c r="H27" s="6"/>
      <c r="I27" s="13"/>
      <c r="J27" s="17"/>
      <c r="K27" s="13"/>
      <c r="L27" s="13"/>
      <c r="M27" s="13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</row>
    <row r="28" customFormat="false" ht="15.75" hidden="false" customHeight="false" outlineLevel="0" collapsed="false">
      <c r="A28" s="7" t="s">
        <v>81</v>
      </c>
      <c r="B28" s="8" t="s">
        <v>82</v>
      </c>
      <c r="C28" s="29" t="n">
        <f aca="false">4*Pf</f>
        <v>4</v>
      </c>
      <c r="D28" s="29" t="n">
        <f aca="false">4*Pf</f>
        <v>4</v>
      </c>
      <c r="E28" s="8" t="s">
        <v>83</v>
      </c>
      <c r="F28" s="25" t="s">
        <v>84</v>
      </c>
      <c r="H28" s="6"/>
      <c r="I28" s="13"/>
      <c r="J28" s="13"/>
      <c r="K28" s="13"/>
      <c r="L28" s="13"/>
      <c r="M28" s="13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</row>
    <row r="29" customFormat="false" ht="15.75" hidden="false" customHeight="false" outlineLevel="0" collapsed="false">
      <c r="A29" s="7" t="s">
        <v>85</v>
      </c>
      <c r="B29" s="8" t="s">
        <v>86</v>
      </c>
      <c r="C29" s="21" t="n">
        <f aca="false">L*H*PL</f>
        <v>689.256</v>
      </c>
      <c r="D29" s="21" t="n">
        <f aca="false">L*H*PL</f>
        <v>438.1992</v>
      </c>
      <c r="E29" s="8" t="s">
        <v>79</v>
      </c>
      <c r="F29" s="25" t="s">
        <v>87</v>
      </c>
      <c r="H29" s="6"/>
      <c r="I29" s="13"/>
      <c r="J29" s="13"/>
      <c r="K29" s="13"/>
      <c r="L29" s="13"/>
      <c r="M29" s="13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</row>
    <row r="30" customFormat="false" ht="15.75" hidden="false" customHeight="false" outlineLevel="0" collapsed="false">
      <c r="A30" s="7" t="s">
        <v>88</v>
      </c>
      <c r="B30" s="8" t="s">
        <v>89</v>
      </c>
      <c r="C30" s="21" t="n">
        <f aca="false">D*Pd*H</f>
        <v>1351.0771488</v>
      </c>
      <c r="D30" s="21" t="n">
        <f aca="false">D*Pd*H</f>
        <v>818.7527521728</v>
      </c>
      <c r="E30" s="8" t="s">
        <v>79</v>
      </c>
      <c r="F30" s="25" t="s">
        <v>90</v>
      </c>
      <c r="H30" s="6"/>
      <c r="I30" s="13"/>
      <c r="J30" s="13"/>
      <c r="K30" s="13"/>
      <c r="L30" s="13"/>
      <c r="M30" s="13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</row>
    <row r="31" customFormat="false" ht="15.75" hidden="false" customHeight="false" outlineLevel="0" collapsed="false">
      <c r="A31" s="7" t="s">
        <v>91</v>
      </c>
      <c r="B31" s="20" t="s">
        <v>28</v>
      </c>
      <c r="C31" s="21" t="n">
        <f aca="false">TIH*P/100</f>
        <v>10260</v>
      </c>
      <c r="D31" s="21" t="n">
        <f aca="false">TIH*P/100</f>
        <v>6091.8</v>
      </c>
      <c r="E31" s="20" t="s">
        <v>79</v>
      </c>
      <c r="F31" s="25" t="s">
        <v>92</v>
      </c>
      <c r="H31" s="6"/>
      <c r="I31" s="13"/>
      <c r="J31" s="13"/>
      <c r="K31" s="13"/>
      <c r="L31" s="13"/>
      <c r="M31" s="13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</row>
    <row r="32" customFormat="false" ht="15.75" hidden="false" customHeight="false" outlineLevel="0" collapsed="false">
      <c r="A32" s="7"/>
      <c r="B32" s="8"/>
      <c r="C32" s="21"/>
      <c r="D32" s="21"/>
      <c r="E32" s="8"/>
      <c r="F32" s="25"/>
      <c r="H32" s="6"/>
      <c r="I32" s="13"/>
      <c r="J32" s="13"/>
      <c r="K32" s="13"/>
      <c r="L32" s="13"/>
      <c r="M32" s="13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</row>
    <row r="33" customFormat="false" ht="15.75" hidden="false" customHeight="false" outlineLevel="0" collapsed="false">
      <c r="A33" s="23" t="s">
        <v>93</v>
      </c>
      <c r="B33" s="8"/>
      <c r="C33" s="26"/>
      <c r="D33" s="26"/>
      <c r="E33" s="26"/>
      <c r="F33" s="10"/>
      <c r="H33" s="6"/>
      <c r="I33" s="6"/>
      <c r="J33" s="6"/>
      <c r="K33" s="6"/>
      <c r="L33" s="6"/>
      <c r="M33" s="6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</row>
    <row r="34" customFormat="false" ht="15.75" hidden="false" customHeight="false" outlineLevel="0" collapsed="false">
      <c r="A34" s="7" t="s">
        <v>94</v>
      </c>
      <c r="B34" s="8" t="s">
        <v>95</v>
      </c>
      <c r="C34" s="33" t="n">
        <f aca="false">PMT(i,Ny,-PV-RM)+TIHa</f>
        <v>82904.3624365582</v>
      </c>
      <c r="D34" s="33" t="n">
        <f aca="false">PMT(i,Ny,-PV-RM)+TIHa</f>
        <v>49223.8591706652</v>
      </c>
      <c r="E34" s="8" t="s">
        <v>79</v>
      </c>
      <c r="F34" s="34" t="s">
        <v>96</v>
      </c>
      <c r="H34" s="6"/>
      <c r="I34" s="6"/>
      <c r="J34" s="6"/>
      <c r="K34" s="6"/>
      <c r="L34" s="6"/>
      <c r="M34" s="6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</row>
    <row r="35" customFormat="false" ht="15.75" hidden="false" customHeight="false" outlineLevel="0" collapsed="false">
      <c r="A35" s="7" t="s">
        <v>97</v>
      </c>
      <c r="B35" s="8" t="s">
        <v>98</v>
      </c>
      <c r="C35" s="33" t="n">
        <f aca="false">FC+LC+DC</f>
        <v>69594.1905888</v>
      </c>
      <c r="D35" s="33" t="n">
        <f aca="false">FC+LC+DC</f>
        <v>42194.5895608128</v>
      </c>
      <c r="E35" s="8" t="s">
        <v>79</v>
      </c>
      <c r="F35" s="34" t="s">
        <v>99</v>
      </c>
      <c r="H35" s="6"/>
      <c r="I35" s="6"/>
      <c r="J35" s="6"/>
      <c r="K35" s="6"/>
      <c r="L35" s="6"/>
      <c r="M35" s="6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</row>
    <row r="36" customFormat="false" ht="15.75" hidden="false" customHeight="false" outlineLevel="0" collapsed="false">
      <c r="A36" s="7" t="s">
        <v>100</v>
      </c>
      <c r="B36" s="8" t="s">
        <v>101</v>
      </c>
      <c r="C36" s="26" t="n">
        <f aca="false">(AC+FLC)/H</f>
        <v>254.164255042264</v>
      </c>
      <c r="D36" s="26" t="n">
        <f aca="false">(AC+FLC)/H</f>
        <v>152.36408121913</v>
      </c>
      <c r="E36" s="8" t="s">
        <v>102</v>
      </c>
      <c r="F36" s="36" t="s">
        <v>103</v>
      </c>
      <c r="H36" s="6"/>
      <c r="I36" s="5"/>
      <c r="J36" s="6"/>
      <c r="K36" s="6"/>
      <c r="L36" s="6"/>
      <c r="M36" s="6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</row>
    <row r="37" customFormat="false" ht="15.75" hidden="false" customHeight="false" outlineLevel="0" collapsed="false">
      <c r="A37" s="37" t="s">
        <v>104</v>
      </c>
      <c r="B37" s="8" t="s">
        <v>105</v>
      </c>
      <c r="C37" s="26" t="n">
        <f aca="false">AC/H</f>
        <v>138.173937394264</v>
      </c>
      <c r="D37" s="26" t="n">
        <f aca="false">AC/H</f>
        <v>82.039765284442</v>
      </c>
      <c r="E37" s="8" t="s">
        <v>102</v>
      </c>
      <c r="F37" s="38" t="s">
        <v>106</v>
      </c>
      <c r="H37" s="13"/>
      <c r="I37" s="22"/>
      <c r="J37" s="22"/>
      <c r="K37" s="22"/>
      <c r="L37" s="22"/>
      <c r="M37" s="22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</row>
    <row r="38" s="42" customFormat="true" ht="15.75" hidden="false" customHeight="false" outlineLevel="0" collapsed="false">
      <c r="A38" s="23" t="s">
        <v>107</v>
      </c>
      <c r="B38" s="39" t="s">
        <v>108</v>
      </c>
      <c r="C38" s="40" t="n">
        <f aca="false">HCtot/PkWpto</f>
        <v>0.564809455649475</v>
      </c>
      <c r="D38" s="40" t="n">
        <f aca="false">HCtot/PkWpto</f>
        <v>0.558724170220499</v>
      </c>
      <c r="E38" s="39" t="s">
        <v>134</v>
      </c>
      <c r="F38" s="41" t="s">
        <v>135</v>
      </c>
      <c r="H38" s="6"/>
      <c r="I38" s="13"/>
      <c r="J38" s="13"/>
      <c r="K38" s="13"/>
      <c r="L38" s="13"/>
      <c r="M38" s="13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</row>
    <row r="39" s="42" customFormat="true" ht="32.25" hidden="false" customHeight="false" outlineLevel="0" collapsed="false">
      <c r="A39" s="43" t="s">
        <v>111</v>
      </c>
      <c r="B39" s="44" t="s">
        <v>112</v>
      </c>
      <c r="C39" s="45" t="n">
        <f aca="false">HCnf/PkWpto</f>
        <v>0.307053194209475</v>
      </c>
      <c r="D39" s="45" t="n">
        <f aca="false">HCnf/PkWpto</f>
        <v>0.300842556965317</v>
      </c>
      <c r="E39" s="46" t="s">
        <v>134</v>
      </c>
      <c r="F39" s="47" t="s">
        <v>136</v>
      </c>
      <c r="H39" s="6"/>
      <c r="I39" s="13"/>
      <c r="J39" s="13"/>
      <c r="K39" s="13"/>
      <c r="L39" s="17"/>
      <c r="M39" s="13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</row>
    <row r="40" customFormat="false" ht="15.75" hidden="false" customHeight="false" outlineLevel="0" collapsed="false">
      <c r="A40" s="48"/>
      <c r="B40" s="12"/>
      <c r="C40" s="49"/>
      <c r="D40" s="49"/>
      <c r="E40" s="50"/>
      <c r="F40" s="49"/>
      <c r="H40" s="6"/>
      <c r="I40" s="13"/>
      <c r="J40" s="13"/>
      <c r="K40" s="13"/>
      <c r="L40" s="13"/>
      <c r="M40" s="13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</row>
    <row r="41" customFormat="false" ht="15.75" hidden="false" customHeight="false" outlineLevel="0" collapsed="false">
      <c r="B41" s="5" t="s">
        <v>114</v>
      </c>
      <c r="C41" s="6" t="s">
        <v>2</v>
      </c>
      <c r="D41" s="0" t="s">
        <v>3</v>
      </c>
      <c r="E41" s="6" t="s">
        <v>2</v>
      </c>
      <c r="F41" s="0" t="s">
        <v>3</v>
      </c>
      <c r="G41" s="6" t="s">
        <v>2</v>
      </c>
      <c r="H41" s="0" t="s">
        <v>3</v>
      </c>
      <c r="I41" s="13"/>
      <c r="J41" s="13"/>
      <c r="K41" s="13"/>
      <c r="L41" s="13"/>
      <c r="M41" s="13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</row>
    <row r="42" customFormat="false" ht="15.75" hidden="false" customHeight="false" outlineLevel="0" collapsed="false">
      <c r="B42" s="51" t="s">
        <v>115</v>
      </c>
      <c r="C42" s="51" t="s">
        <v>116</v>
      </c>
      <c r="D42" s="51" t="s">
        <v>116</v>
      </c>
      <c r="E42" s="51" t="s">
        <v>117</v>
      </c>
      <c r="F42" s="51" t="s">
        <v>117</v>
      </c>
      <c r="G42" s="51" t="s">
        <v>118</v>
      </c>
      <c r="H42" s="51" t="s">
        <v>118</v>
      </c>
      <c r="I42" s="6"/>
      <c r="J42" s="6"/>
      <c r="K42" s="6"/>
      <c r="L42" s="6"/>
      <c r="M42" s="6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</row>
    <row r="43" customFormat="false" ht="15.75" hidden="false" customHeight="false" outlineLevel="0" collapsed="false">
      <c r="B43" s="51"/>
      <c r="C43" s="51"/>
      <c r="D43" s="51"/>
      <c r="E43" s="51" t="s">
        <v>119</v>
      </c>
      <c r="F43" s="51" t="s">
        <v>119</v>
      </c>
      <c r="G43" s="51" t="s">
        <v>120</v>
      </c>
      <c r="H43" s="51" t="s">
        <v>120</v>
      </c>
      <c r="I43" s="6"/>
      <c r="J43" s="6"/>
      <c r="K43" s="6"/>
      <c r="L43" s="6"/>
      <c r="M43" s="6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51"/>
      <c r="DZ43" s="51"/>
      <c r="EA43" s="51"/>
      <c r="EB43" s="51"/>
    </row>
    <row r="44" customFormat="false" ht="15.75" hidden="false" customHeight="false" outlineLevel="0" collapsed="false">
      <c r="B44" s="6" t="n">
        <v>1</v>
      </c>
      <c r="C44" s="22" t="n">
        <f aca="false">IF(C$5&gt;$B44, IF(C$3&lt;74.57,0.007,0.003)*C$17*($B44*C$6/1000)^2,0)</f>
        <v>554.04</v>
      </c>
      <c r="D44" s="22" t="n">
        <f aca="false">IF(D$5&gt;$B44, IF(D$3&lt;74.57,0.007,0.003)*D$17*($B44*D$6/1000)^2,0)</f>
        <v>328.9572</v>
      </c>
      <c r="E44" s="22" t="n">
        <f aca="false">C44</f>
        <v>554.04</v>
      </c>
      <c r="F44" s="22" t="n">
        <f aca="false">D44</f>
        <v>328.9572</v>
      </c>
      <c r="G44" s="22" t="n">
        <f aca="false">E44/(1+C$7)^$B44</f>
        <v>527.657142857143</v>
      </c>
      <c r="H44" s="22" t="n">
        <f aca="false">F44/(1+D$7)^$B44</f>
        <v>313.292571428571</v>
      </c>
      <c r="I44" s="6"/>
      <c r="J44" s="6"/>
      <c r="K44" s="6"/>
      <c r="L44" s="6"/>
      <c r="M44" s="6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</row>
    <row r="45" customFormat="false" ht="15.75" hidden="false" customHeight="false" outlineLevel="0" collapsed="false">
      <c r="B45" s="6" t="n">
        <v>2</v>
      </c>
      <c r="C45" s="22" t="n">
        <f aca="false">IF(C$5&gt;$B45, IF(C$3&lt;74.57,0.007,0.003)*C$17*($B45*C$6/1000)^2,0)</f>
        <v>2216.16</v>
      </c>
      <c r="D45" s="22" t="n">
        <f aca="false">IF(D$5&gt;$B45, IF(D$3&lt;74.57,0.007,0.003)*D$17*($B45*D$6/1000)^2,0)</f>
        <v>1315.8288</v>
      </c>
      <c r="E45" s="22" t="n">
        <f aca="false">IF(C45&gt;0,C45-C44,0)</f>
        <v>1662.12</v>
      </c>
      <c r="F45" s="22" t="n">
        <f aca="false">IF(D45&gt;0,D45-D44,0)</f>
        <v>986.8716</v>
      </c>
      <c r="G45" s="22" t="n">
        <f aca="false">E45/(1+C$7)^$B45</f>
        <v>1507.59183673469</v>
      </c>
      <c r="H45" s="22" t="n">
        <f aca="false">F45/(1+D$7)^$B45</f>
        <v>895.121632653061</v>
      </c>
      <c r="I45" s="5"/>
      <c r="J45" s="6"/>
      <c r="K45" s="6"/>
      <c r="L45" s="6"/>
      <c r="M45" s="6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</row>
    <row r="46" customFormat="false" ht="15.75" hidden="false" customHeight="false" outlineLevel="0" collapsed="false">
      <c r="B46" s="6" t="n">
        <v>3</v>
      </c>
      <c r="C46" s="22" t="n">
        <f aca="false">IF(C$5&gt;$B46, IF(C$3&lt;74.57,0.007,0.003)*C$17*($B46*C$6/1000)^2,0)</f>
        <v>4986.36</v>
      </c>
      <c r="D46" s="22" t="n">
        <f aca="false">IF(D$5&gt;$B46, IF(D$3&lt;74.57,0.007,0.003)*D$17*($B46*D$6/1000)^2,0)</f>
        <v>2960.6148</v>
      </c>
      <c r="E46" s="22" t="n">
        <f aca="false">IF(C46&gt;0,C46-C45,0)</f>
        <v>2770.2</v>
      </c>
      <c r="F46" s="22" t="n">
        <f aca="false">IF(D46&gt;0,D46-D45,0)</f>
        <v>1644.786</v>
      </c>
      <c r="G46" s="22" t="n">
        <f aca="false">E46/(1+C$7)^$B46</f>
        <v>2393.0029154519</v>
      </c>
      <c r="H46" s="22" t="n">
        <f aca="false">F46/(1+D$7)^$B46</f>
        <v>1420.82798833819</v>
      </c>
      <c r="I46" s="18"/>
      <c r="J46" s="18"/>
      <c r="K46" s="18"/>
      <c r="L46" s="18"/>
      <c r="M46" s="18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</row>
    <row r="47" customFormat="false" ht="15.75" hidden="false" customHeight="false" outlineLevel="0" collapsed="false">
      <c r="B47" s="6" t="n">
        <v>4</v>
      </c>
      <c r="C47" s="22" t="n">
        <f aca="false">IF(C$5&gt;$B47, IF(C$3&lt;74.57,0.007,0.003)*C$17*($B47*C$6/1000)^2,0)</f>
        <v>8864.64</v>
      </c>
      <c r="D47" s="22" t="n">
        <f aca="false">IF(D$5&gt;$B47, IF(D$3&lt;74.57,0.007,0.003)*D$17*($B47*D$6/1000)^2,0)</f>
        <v>5263.3152</v>
      </c>
      <c r="E47" s="22" t="n">
        <f aca="false">IF(C47&gt;0,C47-C46,0)</f>
        <v>3878.28</v>
      </c>
      <c r="F47" s="22" t="n">
        <f aca="false">IF(D47&gt;0,D47-D46,0)</f>
        <v>2302.7004</v>
      </c>
      <c r="G47" s="22" t="n">
        <f aca="false">E47/(1+C$7)^$B47</f>
        <v>3190.67055393586</v>
      </c>
      <c r="H47" s="22" t="n">
        <f aca="false">F47/(1+D$7)^$B47</f>
        <v>1894.43731778426</v>
      </c>
      <c r="I47" s="13"/>
      <c r="J47" s="13"/>
      <c r="K47" s="13"/>
      <c r="L47" s="13"/>
      <c r="M47" s="13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</row>
    <row r="48" customFormat="false" ht="15.75" hidden="false" customHeight="false" outlineLevel="0" collapsed="false">
      <c r="B48" s="6" t="n">
        <v>5</v>
      </c>
      <c r="C48" s="22" t="n">
        <f aca="false">IF(C$5&gt;$B48, IF(C$3&lt;74.57,0.007,0.003)*C$17*($B48*C$6/1000)^2,0)</f>
        <v>13851</v>
      </c>
      <c r="D48" s="22" t="n">
        <f aca="false">IF(D$5&gt;$B48, IF(D$3&lt;74.57,0.007,0.003)*D$17*($B48*D$6/1000)^2,0)</f>
        <v>8223.93</v>
      </c>
      <c r="E48" s="22" t="n">
        <f aca="false">IF(C48&gt;0,C48-C47,0)</f>
        <v>4986.36</v>
      </c>
      <c r="F48" s="22" t="n">
        <f aca="false">IF(D48&gt;0,D48-D47,0)</f>
        <v>2960.6148</v>
      </c>
      <c r="G48" s="22" t="n">
        <f aca="false">E48/(1+C$7)^$B48</f>
        <v>3906.94353543166</v>
      </c>
      <c r="H48" s="22" t="n">
        <f aca="false">F48/(1+D$7)^$B48</f>
        <v>2319.71916463378</v>
      </c>
      <c r="I48" s="13"/>
      <c r="J48" s="13"/>
      <c r="K48" s="13"/>
      <c r="L48" s="17"/>
      <c r="M48" s="13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</row>
    <row r="49" customFormat="false" ht="15.75" hidden="false" customHeight="false" outlineLevel="0" collapsed="false">
      <c r="B49" s="6" t="n">
        <v>6</v>
      </c>
      <c r="C49" s="22" t="n">
        <f aca="false">IF(C$5&gt;$B49, IF(C$3&lt;74.57,0.007,0.003)*C$17*($B49*C$6/1000)^2,0)</f>
        <v>0</v>
      </c>
      <c r="D49" s="22" t="n">
        <f aca="false">IF(D$5&gt;$B49, IF(D$3&lt;74.57,0.007,0.003)*D$17*($B49*D$6/1000)^2,0)</f>
        <v>0</v>
      </c>
      <c r="E49" s="22" t="n">
        <f aca="false">IF(C49&gt;0,C49-C48,0)</f>
        <v>0</v>
      </c>
      <c r="F49" s="22" t="n">
        <f aca="false">IF(D49&gt;0,D49-D48,0)</f>
        <v>0</v>
      </c>
      <c r="G49" s="22" t="n">
        <f aca="false">E49/(1+C$7)^$B49</f>
        <v>0</v>
      </c>
      <c r="H49" s="22" t="n">
        <f aca="false">F49/(1+D$7)^$B49</f>
        <v>0</v>
      </c>
      <c r="I49" s="13"/>
      <c r="J49" s="13"/>
      <c r="K49" s="13"/>
      <c r="L49" s="13"/>
      <c r="M49" s="13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</row>
    <row r="50" customFormat="false" ht="15.75" hidden="false" customHeight="false" outlineLevel="0" collapsed="false">
      <c r="B50" s="6" t="n">
        <v>7</v>
      </c>
      <c r="C50" s="22" t="n">
        <f aca="false">IF(C$5&gt;$B50, IF(C$3&lt;74.57,0.007,0.003)*C$17*($B50*C$6/1000)^2,0)</f>
        <v>0</v>
      </c>
      <c r="D50" s="22" t="n">
        <f aca="false">IF(D$5&gt;$B50, IF(D$3&lt;74.57,0.007,0.003)*D$17*($B50*D$6/1000)^2,0)</f>
        <v>0</v>
      </c>
      <c r="E50" s="22" t="n">
        <f aca="false">IF(C50&gt;0,C50-C49,0)</f>
        <v>0</v>
      </c>
      <c r="F50" s="22" t="n">
        <f aca="false">IF(D50&gt;0,D50-D49,0)</f>
        <v>0</v>
      </c>
      <c r="G50" s="22" t="n">
        <f aca="false">E50/(1+C$7)^$B50</f>
        <v>0</v>
      </c>
      <c r="H50" s="22" t="n">
        <f aca="false">F50/(1+D$7)^$B50</f>
        <v>0</v>
      </c>
      <c r="I50" s="13"/>
      <c r="J50" s="13"/>
      <c r="K50" s="13"/>
      <c r="L50" s="13"/>
      <c r="M50" s="13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</row>
    <row r="51" customFormat="false" ht="15.75" hidden="false" customHeight="false" outlineLevel="0" collapsed="false">
      <c r="B51" s="6" t="n">
        <v>8</v>
      </c>
      <c r="C51" s="22" t="n">
        <f aca="false">IF(C$5&gt;$B51, IF(C$3&lt;74.57,0.007,0.003)*C$17*($B51*C$6/1000)^2,0)</f>
        <v>0</v>
      </c>
      <c r="D51" s="22" t="n">
        <f aca="false">IF(D$5&gt;$B51, IF(D$3&lt;74.57,0.007,0.003)*D$17*($B51*D$6/1000)^2,0)</f>
        <v>0</v>
      </c>
      <c r="E51" s="22" t="n">
        <f aca="false">IF(C51&gt;0,C51-C50,0)</f>
        <v>0</v>
      </c>
      <c r="F51" s="22" t="n">
        <f aca="false">IF(D51&gt;0,D51-D50,0)</f>
        <v>0</v>
      </c>
      <c r="G51" s="22" t="n">
        <f aca="false">E51/(1+C$7)^$B51</f>
        <v>0</v>
      </c>
      <c r="H51" s="22" t="n">
        <f aca="false">F51/(1+D$7)^$B51</f>
        <v>0</v>
      </c>
      <c r="I51" s="13"/>
      <c r="J51" s="13"/>
      <c r="K51" s="13"/>
      <c r="L51" s="13"/>
      <c r="M51" s="13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</row>
    <row r="52" customFormat="false" ht="15.75" hidden="false" customHeight="false" outlineLevel="0" collapsed="false">
      <c r="B52" s="6" t="n">
        <v>9</v>
      </c>
      <c r="C52" s="22" t="n">
        <f aca="false">IF(C$5&gt;$B52, IF(C$3&lt;74.57,0.007,0.003)*C$17*($B52*C$6/1000)^2,0)</f>
        <v>0</v>
      </c>
      <c r="D52" s="22" t="n">
        <f aca="false">IF(D$5&gt;$B52, IF(D$3&lt;74.57,0.007,0.003)*D$17*($B52*D$6/1000)^2,0)</f>
        <v>0</v>
      </c>
      <c r="E52" s="22" t="n">
        <f aca="false">IF(C52&gt;0,C52-C51,0)</f>
        <v>0</v>
      </c>
      <c r="F52" s="22" t="n">
        <f aca="false">IF(D52&gt;0,D52-D51,0)</f>
        <v>0</v>
      </c>
      <c r="G52" s="22" t="n">
        <f aca="false">E52/(1+C$7)^$B52</f>
        <v>0</v>
      </c>
      <c r="H52" s="22" t="n">
        <f aca="false">F52/(1+D$7)^$B52</f>
        <v>0</v>
      </c>
      <c r="I52" s="13"/>
      <c r="J52" s="13"/>
      <c r="K52" s="13"/>
      <c r="L52" s="13"/>
      <c r="M52" s="13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</row>
    <row r="53" customFormat="false" ht="15.75" hidden="false" customHeight="false" outlineLevel="0" collapsed="false">
      <c r="B53" s="6" t="n">
        <v>10</v>
      </c>
      <c r="C53" s="22" t="n">
        <f aca="false">IF(C$5&gt;$B53, IF(C$3&lt;74.57,0.007,0.003)*C$17*($B53*C$6/1000)^2,0)</f>
        <v>0</v>
      </c>
      <c r="D53" s="22" t="n">
        <f aca="false">IF(D$5&gt;$B53, IF(D$3&lt;74.57,0.007,0.003)*D$17*($B53*D$6/1000)^2,0)</f>
        <v>0</v>
      </c>
      <c r="E53" s="22" t="n">
        <f aca="false">IF(C53&gt;0,C53-C52,0)</f>
        <v>0</v>
      </c>
      <c r="F53" s="22" t="n">
        <f aca="false">IF(D53&gt;0,D53-D52,0)</f>
        <v>0</v>
      </c>
      <c r="G53" s="22" t="n">
        <f aca="false">E53/(1+C$7)^$B53</f>
        <v>0</v>
      </c>
      <c r="H53" s="22" t="n">
        <f aca="false">F53/(1+D$7)^$B53</f>
        <v>0</v>
      </c>
      <c r="I53" s="6"/>
      <c r="J53" s="6"/>
      <c r="K53" s="6"/>
      <c r="L53" s="6"/>
      <c r="M53" s="6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</row>
    <row r="54" customFormat="false" ht="15.75" hidden="false" customHeight="false" outlineLevel="0" collapsed="false">
      <c r="B54" s="6" t="n">
        <v>11</v>
      </c>
      <c r="C54" s="22" t="n">
        <f aca="false">IF(C$5&gt;$B54, IF(C$3&lt;74.57,0.007,0.003)*C$17*($B54*C$6/1000)^2,0)</f>
        <v>0</v>
      </c>
      <c r="D54" s="22" t="n">
        <f aca="false">IF(D$5&gt;$B54, IF(D$3&lt;74.57,0.007,0.003)*D$17*($B54*D$6/1000)^2,0)</f>
        <v>0</v>
      </c>
      <c r="E54" s="22" t="n">
        <f aca="false">IF(C54&gt;0,C54-C53,0)</f>
        <v>0</v>
      </c>
      <c r="F54" s="22" t="n">
        <f aca="false">IF(D54&gt;0,D54-D53,0)</f>
        <v>0</v>
      </c>
      <c r="G54" s="22" t="n">
        <f aca="false">E54/(1+C$7)^$B54</f>
        <v>0</v>
      </c>
      <c r="H54" s="22" t="n">
        <f aca="false">F54/(1+D$7)^$B54</f>
        <v>0</v>
      </c>
      <c r="I54" s="6"/>
      <c r="J54" s="6"/>
      <c r="K54" s="6"/>
      <c r="L54" s="6"/>
      <c r="M54" s="6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</row>
    <row r="55" customFormat="false" ht="15.75" hidden="false" customHeight="false" outlineLevel="0" collapsed="false">
      <c r="B55" s="6" t="n">
        <v>12</v>
      </c>
      <c r="C55" s="22" t="n">
        <f aca="false">IF(C$5&gt;$B55, IF(C$3&lt;74.57,0.007,0.003)*C$17*($B55*C$6/1000)^2,0)</f>
        <v>0</v>
      </c>
      <c r="D55" s="22" t="n">
        <f aca="false">IF(D$5&gt;$B55, IF(D$3&lt;74.57,0.007,0.003)*D$17*($B55*D$6/1000)^2,0)</f>
        <v>0</v>
      </c>
      <c r="E55" s="22" t="n">
        <f aca="false">IF(C55&gt;0,C55-C54,0)</f>
        <v>0</v>
      </c>
      <c r="F55" s="22" t="n">
        <f aca="false">IF(D55&gt;0,D55-D54,0)</f>
        <v>0</v>
      </c>
      <c r="G55" s="22" t="n">
        <f aca="false">E55/(1+C$7)^$B55</f>
        <v>0</v>
      </c>
      <c r="H55" s="22" t="n">
        <f aca="false">F55/(1+D$7)^$B55</f>
        <v>0</v>
      </c>
      <c r="I55" s="6"/>
      <c r="J55" s="6"/>
      <c r="K55" s="6"/>
      <c r="L55" s="6"/>
      <c r="M55" s="6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</row>
    <row r="56" customFormat="false" ht="15.75" hidden="false" customHeight="false" outlineLevel="0" collapsed="false">
      <c r="B56" s="6" t="n">
        <v>13</v>
      </c>
      <c r="C56" s="22" t="n">
        <f aca="false">IF(C$5&gt;$B56, IF(C$3&lt;74.57,0.007,0.003)*C$17*($B56*C$6/1000)^2,0)</f>
        <v>0</v>
      </c>
      <c r="D56" s="22" t="n">
        <f aca="false">IF(D$5&gt;$B56, IF(D$3&lt;74.57,0.007,0.003)*D$17*($B56*D$6/1000)^2,0)</f>
        <v>0</v>
      </c>
      <c r="E56" s="22" t="n">
        <f aca="false">IF(C56&gt;0,C56-C55,0)</f>
        <v>0</v>
      </c>
      <c r="F56" s="22" t="n">
        <f aca="false">IF(D56&gt;0,D56-D55,0)</f>
        <v>0</v>
      </c>
      <c r="G56" s="22" t="n">
        <f aca="false">E56/(1+C$7)^$B56</f>
        <v>0</v>
      </c>
      <c r="H56" s="22" t="n">
        <f aca="false">F56/(1+D$7)^$B56</f>
        <v>0</v>
      </c>
      <c r="I56" s="5"/>
      <c r="J56" s="6"/>
      <c r="K56" s="6"/>
      <c r="L56" s="6"/>
      <c r="M56" s="6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</row>
    <row r="57" customFormat="false" ht="15.75" hidden="false" customHeight="false" outlineLevel="0" collapsed="false">
      <c r="B57" s="6" t="n">
        <v>14</v>
      </c>
      <c r="C57" s="22" t="n">
        <f aca="false">IF(C$5&gt;$B57, IF(C$3&lt;74.57,0.007,0.003)*C$17*($B57*C$6/1000)^2,0)</f>
        <v>0</v>
      </c>
      <c r="D57" s="22" t="n">
        <f aca="false">IF(D$5&gt;$B57, IF(D$3&lt;74.57,0.007,0.003)*D$17*($B57*D$6/1000)^2,0)</f>
        <v>0</v>
      </c>
      <c r="E57" s="22" t="n">
        <f aca="false">IF(C57&gt;0,C57-C56,0)</f>
        <v>0</v>
      </c>
      <c r="F57" s="22" t="n">
        <f aca="false">IF(D57&gt;0,D57-D56,0)</f>
        <v>0</v>
      </c>
      <c r="G57" s="22" t="n">
        <f aca="false">E57/(1+C$7)^$B57</f>
        <v>0</v>
      </c>
      <c r="H57" s="22" t="n">
        <f aca="false">F57/(1+D$7)^$B57</f>
        <v>0</v>
      </c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</row>
    <row r="58" customFormat="false" ht="15.75" hidden="false" customHeight="false" outlineLevel="0" collapsed="false">
      <c r="B58" s="6" t="n">
        <v>15</v>
      </c>
      <c r="C58" s="22" t="n">
        <f aca="false">IF(C$5&gt;$B58, IF(C$3&lt;74.57,0.007,0.003)*C$17*($B58*C$6/1000)^2,0)</f>
        <v>0</v>
      </c>
      <c r="D58" s="22" t="n">
        <f aca="false">IF(D$5&gt;$B58, IF(D$3&lt;74.57,0.007,0.003)*D$17*($B58*D$6/1000)^2,0)</f>
        <v>0</v>
      </c>
      <c r="E58" s="22" t="n">
        <f aca="false">IF(C58&gt;0,C58-C57,0)</f>
        <v>0</v>
      </c>
      <c r="F58" s="22" t="n">
        <f aca="false">IF(D58&gt;0,D58-D57,0)</f>
        <v>0</v>
      </c>
      <c r="G58" s="22" t="n">
        <f aca="false">E58/(1+C$7)^$B58</f>
        <v>0</v>
      </c>
      <c r="H58" s="22" t="n">
        <f aca="false">F58/(1+D$7)^$B58</f>
        <v>0</v>
      </c>
      <c r="I58" s="13"/>
      <c r="J58" s="13"/>
      <c r="K58" s="13"/>
      <c r="L58" s="13"/>
      <c r="M58" s="13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</row>
    <row r="59" customFormat="false" ht="15.75" hidden="false" customHeight="false" outlineLevel="0" collapsed="false">
      <c r="B59" s="6" t="n">
        <v>16</v>
      </c>
      <c r="C59" s="22" t="n">
        <f aca="false">IF(C$5&gt;$B59, IF(C$3&lt;74.57,0.007,0.003)*C$17*($B59*C$6/1000)^2,0)</f>
        <v>0</v>
      </c>
      <c r="D59" s="22" t="n">
        <f aca="false">IF(D$5&gt;$B59, IF(D$3&lt;74.57,0.007,0.003)*D$17*($B59*D$6/1000)^2,0)</f>
        <v>0</v>
      </c>
      <c r="E59" s="22" t="n">
        <f aca="false">IF(C59&gt;0,C59-C58,0)</f>
        <v>0</v>
      </c>
      <c r="F59" s="22" t="n">
        <f aca="false">IF(D59&gt;0,D59-D58,0)</f>
        <v>0</v>
      </c>
      <c r="G59" s="22" t="n">
        <f aca="false">E59/(1+C$7)^$B59</f>
        <v>0</v>
      </c>
      <c r="H59" s="22" t="n">
        <f aca="false">F59/(1+D$7)^$B59</f>
        <v>0</v>
      </c>
      <c r="I59" s="13"/>
      <c r="J59" s="13"/>
      <c r="K59" s="13"/>
      <c r="L59" s="13"/>
      <c r="M59" s="13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</row>
    <row r="60" customFormat="false" ht="15.75" hidden="false" customHeight="false" outlineLevel="0" collapsed="false">
      <c r="B60" s="6" t="n">
        <v>17</v>
      </c>
      <c r="C60" s="22" t="n">
        <f aca="false">IF(C$5&gt;$B60, IF(C$3&lt;74.57,0.007,0.003)*C$17*($B60*C$6/1000)^2,0)</f>
        <v>0</v>
      </c>
      <c r="D60" s="22" t="n">
        <f aca="false">IF(D$5&gt;$B60, IF(D$3&lt;74.57,0.007,0.003)*D$17*($B60*D$6/1000)^2,0)</f>
        <v>0</v>
      </c>
      <c r="E60" s="22" t="n">
        <f aca="false">IF(C60&gt;0,C60-C59,0)</f>
        <v>0</v>
      </c>
      <c r="F60" s="22" t="n">
        <f aca="false">IF(D60&gt;0,D60-D59,0)</f>
        <v>0</v>
      </c>
      <c r="G60" s="22" t="n">
        <f aca="false">E60/(1+C$7)^$B60</f>
        <v>0</v>
      </c>
      <c r="H60" s="22" t="n">
        <f aca="false">F60/(1+D$7)^$B60</f>
        <v>0</v>
      </c>
      <c r="I60" s="13"/>
      <c r="J60" s="13"/>
      <c r="K60" s="13"/>
      <c r="L60" s="13"/>
      <c r="M60" s="13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</row>
    <row r="61" customFormat="false" ht="15.75" hidden="false" customHeight="false" outlineLevel="0" collapsed="false">
      <c r="B61" s="6" t="n">
        <v>18</v>
      </c>
      <c r="C61" s="22" t="n">
        <f aca="false">IF(C$5&gt;$B61, IF(C$3&lt;74.57,0.007,0.003)*C$17*($B61*C$6/1000)^2,0)</f>
        <v>0</v>
      </c>
      <c r="D61" s="22" t="n">
        <f aca="false">IF(D$5&gt;$B61, IF(D$3&lt;74.57,0.007,0.003)*D$17*($B61*D$6/1000)^2,0)</f>
        <v>0</v>
      </c>
      <c r="E61" s="22" t="n">
        <f aca="false">IF(C61&gt;0,C61-C60,0)</f>
        <v>0</v>
      </c>
      <c r="F61" s="22" t="n">
        <f aca="false">IF(D61&gt;0,D61-D60,0)</f>
        <v>0</v>
      </c>
      <c r="G61" s="22" t="n">
        <f aca="false">E61/(1+C$7)^$B61</f>
        <v>0</v>
      </c>
      <c r="H61" s="22" t="n">
        <f aca="false">F61/(1+D$7)^$B61</f>
        <v>0</v>
      </c>
      <c r="I61" s="13"/>
      <c r="J61" s="13"/>
      <c r="K61" s="13"/>
      <c r="L61" s="17"/>
      <c r="M61" s="13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</row>
    <row r="62" customFormat="false" ht="15.75" hidden="false" customHeight="false" outlineLevel="0" collapsed="false">
      <c r="B62" s="6" t="n">
        <v>19</v>
      </c>
      <c r="C62" s="22" t="n">
        <f aca="false">IF(C$5&gt;$B62, IF(C$3&lt;74.57,0.007,0.003)*C$17*($B62*C$6/1000)^2,0)</f>
        <v>0</v>
      </c>
      <c r="D62" s="22" t="n">
        <f aca="false">IF(D$5&gt;$B62, IF(D$3&lt;74.57,0.007,0.003)*D$17*($B62*D$6/1000)^2,0)</f>
        <v>0</v>
      </c>
      <c r="E62" s="22" t="n">
        <f aca="false">IF(C62&gt;0,C62-C61,0)</f>
        <v>0</v>
      </c>
      <c r="F62" s="22" t="n">
        <f aca="false">IF(D62&gt;0,D62-D61,0)</f>
        <v>0</v>
      </c>
      <c r="G62" s="22" t="n">
        <f aca="false">E62/(1+C$7)^$B62</f>
        <v>0</v>
      </c>
      <c r="H62" s="22" t="n">
        <f aca="false">F62/(1+D$7)^$B62</f>
        <v>0</v>
      </c>
      <c r="I62" s="13"/>
      <c r="J62" s="13"/>
      <c r="K62" s="13"/>
      <c r="L62" s="13"/>
      <c r="M62" s="13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</row>
    <row r="63" customFormat="false" ht="15.75" hidden="false" customHeight="false" outlineLevel="0" collapsed="false">
      <c r="B63" s="6" t="n">
        <v>20</v>
      </c>
      <c r="C63" s="22" t="n">
        <f aca="false">IF(C$5&gt;$B63, IF(C$3&lt;74.57,0.007,0.003)*C$17*($B63*C$6/1000)^2,0)</f>
        <v>0</v>
      </c>
      <c r="D63" s="22" t="n">
        <f aca="false">IF(D$5&gt;$B63, IF(D$3&lt;74.57,0.007,0.003)*D$17*($B63*D$6/1000)^2,0)</f>
        <v>0</v>
      </c>
      <c r="E63" s="22" t="n">
        <f aca="false">IF(C63&gt;0,C63-C62,0)</f>
        <v>0</v>
      </c>
      <c r="F63" s="22" t="n">
        <f aca="false">IF(D63&gt;0,D63-D62,0)</f>
        <v>0</v>
      </c>
      <c r="G63" s="22" t="n">
        <f aca="false">E63/(1+C$7)^$B63</f>
        <v>0</v>
      </c>
      <c r="H63" s="22" t="n">
        <f aca="false">F63/(1+D$7)^$B63</f>
        <v>0</v>
      </c>
      <c r="I63" s="13"/>
      <c r="J63" s="13"/>
      <c r="K63" s="13"/>
      <c r="L63" s="13"/>
      <c r="M63" s="13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</row>
    <row r="64" customFormat="false" ht="15.75" hidden="false" customHeight="false" outlineLevel="0" collapsed="false">
      <c r="B64" s="6"/>
      <c r="C64" s="6"/>
      <c r="D64" s="6"/>
      <c r="E64" s="6"/>
      <c r="F64" s="52" t="s">
        <v>121</v>
      </c>
      <c r="G64" s="22" t="n">
        <f aca="false">SUM(G44:G63)</f>
        <v>11525.8659844113</v>
      </c>
      <c r="H64" s="22" t="n">
        <f aca="false">SUM(H44:H63)</f>
        <v>6843.39867483786</v>
      </c>
      <c r="I64" s="13"/>
      <c r="J64" s="13"/>
      <c r="K64" s="13"/>
      <c r="L64" s="13"/>
      <c r="M64" s="13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</row>
    <row r="65" customFormat="false" ht="15.75" hidden="false" customHeight="false" outlineLevel="0" collapsed="false">
      <c r="A65" s="0" t="s">
        <v>122</v>
      </c>
      <c r="B65" s="51"/>
      <c r="E65" s="6"/>
      <c r="I65" s="13"/>
      <c r="J65" s="13"/>
      <c r="K65" s="13"/>
      <c r="L65" s="13"/>
      <c r="M65" s="13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</row>
    <row r="66" customFormat="false" ht="15.75" hidden="false" customHeight="false" outlineLevel="0" collapsed="false">
      <c r="A66" s="0" t="s">
        <v>123</v>
      </c>
      <c r="B66" s="51"/>
      <c r="E66" s="6"/>
      <c r="I66" s="13"/>
      <c r="J66" s="13"/>
      <c r="K66" s="13"/>
      <c r="L66" s="13"/>
      <c r="M66" s="13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</row>
    <row r="67" customFormat="false" ht="15.75" hidden="false" customHeight="false" outlineLevel="0" collapsed="false">
      <c r="A67" s="0" t="s">
        <v>124</v>
      </c>
      <c r="B67" s="6"/>
      <c r="E67" s="6"/>
      <c r="H67" s="6"/>
      <c r="I67" s="13"/>
      <c r="J67" s="13"/>
      <c r="K67" s="13"/>
      <c r="L67" s="13"/>
      <c r="M67" s="13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</row>
    <row r="68" customFormat="false" ht="15.75" hidden="false" customHeight="false" outlineLevel="0" collapsed="false">
      <c r="B68" s="6"/>
      <c r="E68" s="6"/>
      <c r="H68" s="6"/>
      <c r="I68" s="6"/>
      <c r="J68" s="6"/>
      <c r="K68" s="6"/>
      <c r="L68" s="6"/>
      <c r="M68" s="6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</row>
    <row r="69" customFormat="false" ht="15.75" hidden="false" customHeight="false" outlineLevel="0" collapsed="false">
      <c r="B69" s="6"/>
      <c r="E69" s="6"/>
      <c r="H69" s="6"/>
      <c r="I69" s="6"/>
      <c r="J69" s="6"/>
      <c r="K69" s="6"/>
      <c r="L69" s="6"/>
      <c r="M69" s="6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</row>
    <row r="70" customFormat="false" ht="15.75" hidden="false" customHeight="false" outlineLevel="0" collapsed="false">
      <c r="B70" s="6"/>
      <c r="E70" s="6"/>
      <c r="H70" s="6"/>
      <c r="I70" s="6"/>
      <c r="J70" s="6"/>
      <c r="K70" s="6"/>
      <c r="L70" s="6"/>
      <c r="M70" s="6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</row>
    <row r="71" customFormat="false" ht="15.75" hidden="false" customHeight="false" outlineLevel="0" collapsed="false">
      <c r="B71" s="6"/>
      <c r="E71" s="6"/>
      <c r="H71" s="6"/>
      <c r="I71" s="6"/>
      <c r="J71" s="6"/>
      <c r="K71" s="6"/>
      <c r="L71" s="6"/>
      <c r="M71" s="6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</row>
    <row r="72" customFormat="false" ht="15.75" hidden="false" customHeight="false" outlineLevel="0" collapsed="false">
      <c r="B72" s="6"/>
      <c r="E72" s="6"/>
      <c r="H72" s="6"/>
      <c r="I72" s="6"/>
      <c r="J72" s="6"/>
      <c r="K72" s="6"/>
      <c r="L72" s="6"/>
      <c r="M72" s="6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</row>
    <row r="73" customFormat="false" ht="15.75" hidden="false" customHeight="false" outlineLevel="0" collapsed="false">
      <c r="B73" s="6"/>
      <c r="E73" s="6"/>
      <c r="H73" s="6"/>
      <c r="I73" s="6"/>
      <c r="J73" s="6"/>
      <c r="K73" s="6"/>
      <c r="L73" s="6"/>
      <c r="M73" s="6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</row>
    <row r="74" customFormat="false" ht="15.75" hidden="false" customHeight="false" outlineLevel="0" collapsed="false">
      <c r="B74" s="6"/>
      <c r="E74" s="6"/>
      <c r="H74" s="6"/>
      <c r="I74" s="6"/>
      <c r="J74" s="6"/>
      <c r="K74" s="6"/>
      <c r="L74" s="6"/>
      <c r="M74" s="6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</row>
    <row r="75" customFormat="false" ht="15.75" hidden="false" customHeight="false" outlineLevel="0" collapsed="false">
      <c r="B75" s="6"/>
      <c r="E75" s="6"/>
      <c r="H75" s="6"/>
      <c r="I75" s="6"/>
      <c r="J75" s="6"/>
      <c r="K75" s="6"/>
      <c r="L75" s="6"/>
      <c r="M75" s="6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</row>
    <row r="76" customFormat="false" ht="15.75" hidden="false" customHeight="false" outlineLevel="0" collapsed="false">
      <c r="B76" s="6"/>
      <c r="E76" s="6"/>
      <c r="H76" s="6"/>
      <c r="I76" s="6"/>
      <c r="J76" s="6"/>
      <c r="K76" s="6"/>
      <c r="L76" s="6"/>
      <c r="M76" s="6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</row>
    <row r="77" customFormat="false" ht="15.75" hidden="false" customHeight="false" outlineLevel="0" collapsed="false">
      <c r="B77" s="6"/>
      <c r="E77" s="6"/>
      <c r="H77" s="6"/>
      <c r="I77" s="6"/>
      <c r="J77" s="6"/>
      <c r="K77" s="6"/>
      <c r="L77" s="6"/>
      <c r="M77" s="6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</row>
    <row r="78" customFormat="false" ht="15.75" hidden="false" customHeight="false" outlineLevel="0" collapsed="false">
      <c r="B78" s="6"/>
      <c r="E78" s="6"/>
      <c r="H78" s="6"/>
      <c r="I78" s="6"/>
      <c r="J78" s="6"/>
      <c r="K78" s="6"/>
      <c r="L78" s="6"/>
      <c r="M78" s="6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</row>
    <row r="79" customFormat="false" ht="15.75" hidden="false" customHeight="false" outlineLevel="0" collapsed="false">
      <c r="B79" s="6"/>
      <c r="E79" s="6"/>
      <c r="H79" s="6"/>
      <c r="I79" s="6"/>
      <c r="J79" s="6"/>
      <c r="K79" s="6"/>
      <c r="L79" s="6"/>
      <c r="M79" s="6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</row>
    <row r="80" customFormat="false" ht="15.75" hidden="false" customHeight="false" outlineLevel="0" collapsed="false">
      <c r="B80" s="6"/>
      <c r="E80" s="6"/>
      <c r="H80" s="6"/>
      <c r="I80" s="6"/>
      <c r="J80" s="6"/>
      <c r="K80" s="6"/>
      <c r="L80" s="6"/>
      <c r="M80" s="6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</row>
    <row r="81" customFormat="false" ht="15.75" hidden="false" customHeight="false" outlineLevel="0" collapsed="false">
      <c r="B81" s="6"/>
      <c r="E81" s="6"/>
      <c r="H81" s="6"/>
      <c r="I81" s="6"/>
      <c r="J81" s="6"/>
      <c r="K81" s="6"/>
      <c r="L81" s="6"/>
      <c r="M81" s="6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</row>
    <row r="82" customFormat="false" ht="15.75" hidden="false" customHeight="false" outlineLevel="0" collapsed="false">
      <c r="B82" s="6"/>
      <c r="E82" s="6"/>
      <c r="H82" s="6"/>
      <c r="I82" s="6"/>
      <c r="J82" s="6"/>
      <c r="K82" s="6"/>
      <c r="L82" s="6"/>
      <c r="M82" s="6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</row>
    <row r="83" customFormat="false" ht="15.75" hidden="false" customHeight="false" outlineLevel="0" collapsed="false">
      <c r="B83" s="6"/>
      <c r="E83" s="6"/>
      <c r="H83" s="6"/>
      <c r="I83" s="6"/>
      <c r="J83" s="6"/>
      <c r="K83" s="6"/>
      <c r="L83" s="6"/>
      <c r="M83" s="6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</row>
    <row r="84" customFormat="false" ht="15.75" hidden="false" customHeight="false" outlineLevel="0" collapsed="false">
      <c r="B84" s="6"/>
      <c r="E84" s="6"/>
      <c r="H84" s="6"/>
      <c r="I84" s="6"/>
      <c r="J84" s="6"/>
      <c r="K84" s="6"/>
      <c r="L84" s="6"/>
      <c r="M84" s="6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</row>
    <row r="85" customFormat="false" ht="15.75" hidden="false" customHeight="false" outlineLevel="0" collapsed="false">
      <c r="B85" s="6"/>
      <c r="E85" s="6"/>
      <c r="H85" s="6"/>
      <c r="I85" s="6"/>
      <c r="J85" s="6"/>
      <c r="K85" s="6"/>
      <c r="L85" s="6"/>
      <c r="M85" s="6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</row>
    <row r="86" customFormat="false" ht="15.75" hidden="false" customHeight="false" outlineLevel="0" collapsed="false">
      <c r="B86" s="6"/>
      <c r="E86" s="6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</row>
    <row r="87" customFormat="false" ht="15.75" hidden="false" customHeight="false" outlineLevel="0" collapsed="false">
      <c r="B87" s="6"/>
      <c r="C87" s="6"/>
      <c r="D87" s="6"/>
      <c r="E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</row>
    <row r="88" customFormat="false" ht="15.75" hidden="false" customHeight="false" outlineLevel="0" collapsed="false">
      <c r="B88" s="51"/>
      <c r="E88" s="6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</row>
    <row r="89" customFormat="false" ht="15.75" hidden="false" customHeight="false" outlineLevel="0" collapsed="false">
      <c r="B89" s="51"/>
      <c r="E89" s="6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</row>
    <row r="90" customFormat="false" ht="15.75" hidden="false" customHeight="false" outlineLevel="0" collapsed="false">
      <c r="B90" s="6"/>
      <c r="E90" s="6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</row>
    <row r="91" customFormat="false" ht="15.75" hidden="false" customHeight="false" outlineLevel="0" collapsed="false">
      <c r="B91" s="6"/>
      <c r="E91" s="6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</row>
    <row r="92" customFormat="false" ht="15.75" hidden="false" customHeight="false" outlineLevel="0" collapsed="false">
      <c r="B92" s="6"/>
      <c r="E92" s="6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</row>
    <row r="93" customFormat="false" ht="15.75" hidden="false" customHeight="false" outlineLevel="0" collapsed="false">
      <c r="B93" s="6"/>
      <c r="E93" s="6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</row>
    <row r="94" customFormat="false" ht="15.75" hidden="false" customHeight="false" outlineLevel="0" collapsed="false">
      <c r="B94" s="6"/>
      <c r="E94" s="6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</row>
    <row r="95" customFormat="false" ht="15.75" hidden="false" customHeight="false" outlineLevel="0" collapsed="false">
      <c r="B95" s="6"/>
      <c r="E95" s="6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</row>
    <row r="96" customFormat="false" ht="15.75" hidden="false" customHeight="false" outlineLevel="0" collapsed="false">
      <c r="B96" s="6"/>
      <c r="E96" s="6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</row>
    <row r="97" customFormat="false" ht="15.75" hidden="false" customHeight="false" outlineLevel="0" collapsed="false">
      <c r="B97" s="6"/>
      <c r="E97" s="6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</row>
    <row r="98" customFormat="false" ht="15.75" hidden="false" customHeight="false" outlineLevel="0" collapsed="false">
      <c r="B98" s="6"/>
      <c r="E98" s="6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</row>
    <row r="99" customFormat="false" ht="15.75" hidden="false" customHeight="false" outlineLevel="0" collapsed="false">
      <c r="B99" s="6"/>
      <c r="E99" s="6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</row>
    <row r="100" customFormat="false" ht="15.75" hidden="false" customHeight="false" outlineLevel="0" collapsed="false">
      <c r="B100" s="6"/>
      <c r="E100" s="6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</row>
    <row r="101" customFormat="false" ht="15.75" hidden="false" customHeight="false" outlineLevel="0" collapsed="false">
      <c r="B101" s="6"/>
      <c r="E101" s="6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</row>
    <row r="102" customFormat="false" ht="15.75" hidden="false" customHeight="false" outlineLevel="0" collapsed="false">
      <c r="B102" s="6"/>
      <c r="E102" s="6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</row>
    <row r="103" customFormat="false" ht="15.75" hidden="false" customHeight="false" outlineLevel="0" collapsed="false">
      <c r="B103" s="6"/>
      <c r="E103" s="6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</row>
    <row r="104" customFormat="false" ht="15.75" hidden="false" customHeight="false" outlineLevel="0" collapsed="false">
      <c r="B104" s="6"/>
      <c r="E104" s="6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</row>
    <row r="105" customFormat="false" ht="15.75" hidden="false" customHeight="false" outlineLevel="0" collapsed="false">
      <c r="B105" s="6"/>
      <c r="E105" s="6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</row>
    <row r="106" customFormat="false" ht="15.75" hidden="false" customHeight="false" outlineLevel="0" collapsed="false">
      <c r="B106" s="6"/>
      <c r="E106" s="6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</row>
    <row r="107" customFormat="false" ht="15.75" hidden="false" customHeight="false" outlineLevel="0" collapsed="false">
      <c r="B107" s="6"/>
      <c r="E107" s="6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</row>
    <row r="108" customFormat="false" ht="15.75" hidden="false" customHeight="false" outlineLevel="0" collapsed="false">
      <c r="B108" s="6"/>
      <c r="E108" s="6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</row>
    <row r="109" customFormat="false" ht="15.75" hidden="false" customHeight="false" outlineLevel="0" collapsed="false">
      <c r="B109" s="6"/>
      <c r="E109" s="6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</row>
    <row r="110" customFormat="false" ht="15.75" hidden="false" customHeight="false" outlineLevel="0" collapsed="false">
      <c r="B110" s="53"/>
      <c r="E110" s="6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</row>
    <row r="111" customFormat="false" ht="15.75" hidden="false" customHeight="false" outlineLevel="0" collapsed="false">
      <c r="A111" s="6"/>
      <c r="B111" s="6"/>
      <c r="C111" s="6"/>
      <c r="D111" s="6"/>
      <c r="E111" s="6"/>
    </row>
    <row r="112" customFormat="false" ht="15.75" hidden="false" customHeight="false" outlineLevel="0" collapsed="false">
      <c r="D112" s="6"/>
      <c r="E112" s="6"/>
    </row>
    <row r="113" customFormat="false" ht="15.75" hidden="false" customHeight="false" outlineLevel="0" collapsed="false">
      <c r="B113" s="54"/>
      <c r="C113" s="54"/>
      <c r="D113" s="6"/>
      <c r="E113" s="6"/>
    </row>
    <row r="114" customFormat="false" ht="15.75" hidden="false" customHeight="false" outlineLevel="0" collapsed="false">
      <c r="B114" s="55"/>
      <c r="C114" s="55"/>
      <c r="D114" s="6"/>
      <c r="E114" s="6"/>
    </row>
    <row r="115" customFormat="false" ht="15.75" hidden="false" customHeight="false" outlineLevel="0" collapsed="false">
      <c r="B115" s="56"/>
      <c r="C115" s="56"/>
      <c r="D115" s="6"/>
      <c r="E115" s="6"/>
    </row>
    <row r="116" customFormat="false" ht="15.75" hidden="false" customHeight="false" outlineLevel="0" collapsed="false">
      <c r="B116" s="56"/>
      <c r="C116" s="56"/>
    </row>
    <row r="117" customFormat="false" ht="15.75" hidden="false" customHeight="false" outlineLevel="0" collapsed="false">
      <c r="B117" s="56"/>
      <c r="C117" s="56"/>
    </row>
    <row r="118" customFormat="false" ht="15.75" hidden="false" customHeight="false" outlineLevel="0" collapsed="false">
      <c r="B118" s="56"/>
      <c r="C118" s="56"/>
    </row>
    <row r="119" customFormat="false" ht="15.75" hidden="false" customHeight="false" outlineLevel="0" collapsed="false">
      <c r="B119" s="57"/>
      <c r="C119" s="55"/>
    </row>
  </sheetData>
  <sheetProtection sheet="true" objects="true" scenarios="true"/>
  <printOptions headings="false" gridLines="true" gridLinesSet="true" horizontalCentered="true" verticalCentered="false"/>
  <pageMargins left="0" right="0" top="0.5" bottom="0.2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&amp;C&amp;F</oddHeader>
    <oddFooter>&amp;C&amp;A</oddFooter>
  </headerFooter>
  <colBreaks count="1" manualBreakCount="1">
    <brk id="17" man="true" max="65535" min="0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  <Company>Agricultural &amp; Biological Engineering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2003-04-30T15:11:12Z</dcterms:created>
  <dc:creator/>
  <dc:description/>
  <dc:language>en-US</dc:language>
  <cp:lastModifiedBy/>
  <cp:lastPrinted>2003-04-30T15:27:09Z</cp:lastPrinted>
  <dcterms:modified xsi:type="dcterms:W3CDTF">2019-04-29T12:35:46Z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Agricultural &amp; Biological Engineering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