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0" yWindow="0" windowWidth="28800" windowHeight="11640" activeTab="4"/>
  </bookViews>
  <sheets>
    <sheet name="SRnewremoved" sheetId="23" r:id="rId1"/>
    <sheet name="SRdougnew" sheetId="22" r:id="rId2"/>
    <sheet name="SRchannel" sheetId="24" r:id="rId3"/>
    <sheet name="SRnewgages" sheetId="28" r:id="rId4"/>
    <sheet name="SR" sheetId="27" r:id="rId5"/>
    <sheet name="SRcal1767" sheetId="29" r:id="rId6"/>
    <sheet name="loss" sheetId="20" r:id="rId7"/>
    <sheet name="Sold" sheetId="13" r:id="rId8"/>
    <sheet name="SRold2" sheetId="19" r:id="rId9"/>
    <sheet name="gagecorrect" sheetId="21" r:id="rId10"/>
    <sheet name="divcorrect" sheetId="18" r:id="rId11"/>
    <sheet name="needids" sheetId="17" r:id="rId12"/>
    <sheet name="stagedischarge" sheetId="14" r:id="rId13"/>
    <sheet name="defaultmethod" sheetId="7" r:id="rId14"/>
    <sheet name="evapfactors" sheetId="16" r:id="rId15"/>
    <sheet name="evap" sheetId="4" r:id="rId16"/>
  </sheets>
  <calcPr calcId="162913"/>
</workbook>
</file>

<file path=xl/calcChain.xml><?xml version="1.0" encoding="utf-8"?>
<calcChain xmlns="http://schemas.openxmlformats.org/spreadsheetml/2006/main">
  <c r="B10" i="29" l="1"/>
  <c r="F9" i="29"/>
  <c r="F10" i="29" s="1"/>
  <c r="F11" i="29" s="1"/>
  <c r="E9" i="29"/>
  <c r="E10" i="29" s="1"/>
  <c r="E11" i="29" s="1"/>
  <c r="D9" i="29"/>
  <c r="D10" i="29" s="1"/>
  <c r="D11" i="29" s="1"/>
  <c r="E71" i="29" l="1"/>
  <c r="E72" i="29" s="1"/>
  <c r="E73" i="29" s="1"/>
  <c r="E74" i="29" s="1"/>
  <c r="E75" i="29" s="1"/>
  <c r="E76" i="29" s="1"/>
  <c r="G92" i="29"/>
  <c r="J91" i="29"/>
  <c r="J90" i="29"/>
  <c r="J89" i="29"/>
  <c r="J88" i="29"/>
  <c r="J87" i="29"/>
  <c r="J86" i="29"/>
  <c r="E86" i="29"/>
  <c r="E87" i="29" s="1"/>
  <c r="E88" i="29" s="1"/>
  <c r="E89" i="29" s="1"/>
  <c r="E90" i="29" s="1"/>
  <c r="J85" i="29"/>
  <c r="J84" i="29"/>
  <c r="J83" i="29"/>
  <c r="J82" i="29"/>
  <c r="J81" i="29"/>
  <c r="Y80" i="29"/>
  <c r="J80" i="29"/>
  <c r="J79" i="29"/>
  <c r="J78" i="29"/>
  <c r="E78" i="29"/>
  <c r="E79" i="29" s="1"/>
  <c r="E80" i="29" s="1"/>
  <c r="E81" i="29" s="1"/>
  <c r="E82" i="29" s="1"/>
  <c r="E83" i="29" s="1"/>
  <c r="E84" i="29" s="1"/>
  <c r="J77" i="29"/>
  <c r="J76" i="29"/>
  <c r="J75" i="29"/>
  <c r="J74" i="29"/>
  <c r="Y73" i="29"/>
  <c r="J73" i="29"/>
  <c r="J72" i="29"/>
  <c r="J71" i="29"/>
  <c r="D72" i="29"/>
  <c r="D73" i="29" s="1"/>
  <c r="D74" i="29" s="1"/>
  <c r="D75" i="29" s="1"/>
  <c r="D76" i="29" s="1"/>
  <c r="D77" i="29" s="1"/>
  <c r="D78" i="29" s="1"/>
  <c r="D79" i="29" s="1"/>
  <c r="D80" i="29" s="1"/>
  <c r="D81" i="29" s="1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Y70" i="29"/>
  <c r="J70" i="29"/>
  <c r="Y69" i="29"/>
  <c r="J69" i="29"/>
  <c r="J68" i="29"/>
  <c r="Y67" i="29"/>
  <c r="J67" i="29"/>
  <c r="J66" i="29"/>
  <c r="J65" i="29"/>
  <c r="F65" i="29"/>
  <c r="F66" i="29" s="1"/>
  <c r="F67" i="29" s="1"/>
  <c r="F68" i="29" s="1"/>
  <c r="F69" i="29" s="1"/>
  <c r="F70" i="29" s="1"/>
  <c r="F71" i="29" s="1"/>
  <c r="E65" i="29"/>
  <c r="E66" i="29" s="1"/>
  <c r="E67" i="29" s="1"/>
  <c r="E68" i="29" s="1"/>
  <c r="E69" i="29" s="1"/>
  <c r="E70" i="29" s="1"/>
  <c r="J64" i="29"/>
  <c r="J63" i="29"/>
  <c r="G62" i="29"/>
  <c r="Y61" i="29"/>
  <c r="W61" i="29"/>
  <c r="J61" i="29"/>
  <c r="W60" i="29"/>
  <c r="Y60" i="29" s="1"/>
  <c r="J60" i="29"/>
  <c r="J59" i="29"/>
  <c r="G58" i="29"/>
  <c r="W57" i="29"/>
  <c r="J57" i="29"/>
  <c r="W56" i="29"/>
  <c r="J56" i="29"/>
  <c r="W55" i="29"/>
  <c r="Y55" i="29" s="1"/>
  <c r="J55" i="29"/>
  <c r="G54" i="29"/>
  <c r="W53" i="29"/>
  <c r="J53" i="29"/>
  <c r="W52" i="29"/>
  <c r="J52" i="29"/>
  <c r="W51" i="29"/>
  <c r="J51" i="29"/>
  <c r="G50" i="29"/>
  <c r="W49" i="29"/>
  <c r="J49" i="29"/>
  <c r="B49" i="29"/>
  <c r="W48" i="29"/>
  <c r="J48" i="29"/>
  <c r="Y46" i="29"/>
  <c r="J46" i="29"/>
  <c r="J45" i="29"/>
  <c r="AM44" i="29"/>
  <c r="J44" i="29"/>
  <c r="AM43" i="29"/>
  <c r="J43" i="29"/>
  <c r="J42" i="29"/>
  <c r="J41" i="29"/>
  <c r="J40" i="29"/>
  <c r="J39" i="29"/>
  <c r="J38" i="29"/>
  <c r="J37" i="29"/>
  <c r="J36" i="29"/>
  <c r="J35" i="29"/>
  <c r="J34" i="29"/>
  <c r="E34" i="29"/>
  <c r="E35" i="29" s="1"/>
  <c r="E36" i="29" s="1"/>
  <c r="E37" i="29" s="1"/>
  <c r="J33" i="29"/>
  <c r="J32" i="29"/>
  <c r="J31" i="29"/>
  <c r="J30" i="29"/>
  <c r="J29" i="29"/>
  <c r="J28" i="29"/>
  <c r="E28" i="29"/>
  <c r="E29" i="29" s="1"/>
  <c r="E30" i="29" s="1"/>
  <c r="E31" i="29" s="1"/>
  <c r="E32" i="29" s="1"/>
  <c r="J27" i="29"/>
  <c r="J26" i="29"/>
  <c r="BA25" i="29"/>
  <c r="J25" i="29"/>
  <c r="J24" i="29"/>
  <c r="E24" i="29"/>
  <c r="E25" i="29" s="1"/>
  <c r="E26" i="29" s="1"/>
  <c r="J23" i="29"/>
  <c r="J22" i="29"/>
  <c r="J21" i="29"/>
  <c r="BA20" i="29"/>
  <c r="J20" i="29"/>
  <c r="J19" i="29"/>
  <c r="J18" i="29"/>
  <c r="J17" i="29"/>
  <c r="J16" i="29"/>
  <c r="J15" i="29"/>
  <c r="J14" i="29"/>
  <c r="J13" i="29"/>
  <c r="J12" i="29"/>
  <c r="J11" i="29"/>
  <c r="J10" i="29"/>
  <c r="E12" i="29"/>
  <c r="E13" i="29" s="1"/>
  <c r="E14" i="29" s="1"/>
  <c r="E15" i="29" s="1"/>
  <c r="J9" i="29"/>
  <c r="J8" i="29"/>
  <c r="J7" i="29"/>
  <c r="J6" i="29"/>
  <c r="J5" i="29"/>
  <c r="E5" i="29"/>
  <c r="E6" i="29" s="1"/>
  <c r="E7" i="29" s="1"/>
  <c r="E8" i="29" s="1"/>
  <c r="B5" i="29"/>
  <c r="B6" i="29" s="1"/>
  <c r="B7" i="29" s="1"/>
  <c r="B8" i="29" s="1"/>
  <c r="B9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J4" i="29"/>
  <c r="D4" i="29"/>
  <c r="D5" i="29" s="1"/>
  <c r="D6" i="29" s="1"/>
  <c r="D7" i="29" s="1"/>
  <c r="D8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J3" i="29"/>
  <c r="F3" i="29"/>
  <c r="F4" i="29" s="1"/>
  <c r="F5" i="29" s="1"/>
  <c r="F6" i="29" s="1"/>
  <c r="F7" i="29" s="1"/>
  <c r="F8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J2" i="29"/>
  <c r="D2" i="28"/>
  <c r="F73" i="27"/>
  <c r="E73" i="27"/>
  <c r="D73" i="27"/>
  <c r="F72" i="27"/>
  <c r="D72" i="27"/>
  <c r="J72" i="27"/>
  <c r="F218" i="27"/>
  <c r="F219" i="27" s="1"/>
  <c r="F220" i="27" s="1"/>
  <c r="D219" i="27"/>
  <c r="D220" i="27" s="1"/>
  <c r="D218" i="27"/>
  <c r="J15" i="28"/>
  <c r="J14" i="28"/>
  <c r="J13" i="28"/>
  <c r="J12" i="28"/>
  <c r="J11" i="28"/>
  <c r="J10" i="28"/>
  <c r="E10" i="28"/>
  <c r="E11" i="28" s="1"/>
  <c r="E12" i="28" s="1"/>
  <c r="E13" i="28" s="1"/>
  <c r="E14" i="28" s="1"/>
  <c r="E15" i="28" s="1"/>
  <c r="J8" i="28"/>
  <c r="J7" i="28"/>
  <c r="F7" i="28"/>
  <c r="F8" i="28" s="1"/>
  <c r="E7" i="28"/>
  <c r="E8" i="28" s="1"/>
  <c r="D7" i="28"/>
  <c r="D8" i="28" s="1"/>
  <c r="J5" i="28"/>
  <c r="E5" i="28"/>
  <c r="E214" i="27"/>
  <c r="E211" i="27"/>
  <c r="E212" i="27" s="1"/>
  <c r="F209" i="27"/>
  <c r="F5" i="28" s="1"/>
  <c r="D209" i="27"/>
  <c r="D5" i="28" s="1"/>
  <c r="J172" i="27"/>
  <c r="J171" i="27"/>
  <c r="J170" i="27"/>
  <c r="J169" i="27"/>
  <c r="J168" i="27"/>
  <c r="J220" i="27"/>
  <c r="J219" i="27"/>
  <c r="J218" i="27"/>
  <c r="J217" i="27"/>
  <c r="J215" i="27"/>
  <c r="J214" i="27"/>
  <c r="J213" i="27"/>
  <c r="J212" i="27"/>
  <c r="J211" i="27"/>
  <c r="J210" i="27"/>
  <c r="J209" i="27"/>
  <c r="J208" i="27"/>
  <c r="E117" i="27"/>
  <c r="E118" i="27" s="1"/>
  <c r="J117" i="27"/>
  <c r="J131" i="27"/>
  <c r="F131" i="27"/>
  <c r="E131" i="27"/>
  <c r="D131" i="27"/>
  <c r="E193" i="27"/>
  <c r="E190" i="27"/>
  <c r="E191" i="27" s="1"/>
  <c r="J190" i="27"/>
  <c r="J191" i="27"/>
  <c r="J139" i="27"/>
  <c r="J148" i="27"/>
  <c r="J147" i="27"/>
  <c r="J146" i="27"/>
  <c r="J156" i="27"/>
  <c r="J155" i="27"/>
  <c r="J166" i="27"/>
  <c r="J165" i="27"/>
  <c r="J164" i="27"/>
  <c r="J163" i="27"/>
  <c r="J206" i="27"/>
  <c r="J205" i="27"/>
  <c r="J204" i="27"/>
  <c r="J203" i="27"/>
  <c r="J202" i="27"/>
  <c r="J201" i="27"/>
  <c r="J200" i="27"/>
  <c r="J199" i="27"/>
  <c r="J198" i="27"/>
  <c r="J197" i="27"/>
  <c r="J196" i="27"/>
  <c r="J195" i="27"/>
  <c r="J194" i="27"/>
  <c r="J193" i="27"/>
  <c r="J192" i="27"/>
  <c r="J189" i="27"/>
  <c r="J188" i="27"/>
  <c r="J187" i="27"/>
  <c r="J186" i="27"/>
  <c r="J185" i="27"/>
  <c r="J184" i="27"/>
  <c r="J183" i="27"/>
  <c r="J182" i="27"/>
  <c r="J181" i="27"/>
  <c r="J180" i="27"/>
  <c r="J179" i="27"/>
  <c r="J178" i="27"/>
  <c r="J177" i="27"/>
  <c r="J176" i="27"/>
  <c r="J175" i="27"/>
  <c r="J174" i="27"/>
  <c r="J162" i="27"/>
  <c r="J161" i="27"/>
  <c r="J159" i="27"/>
  <c r="J158" i="27"/>
  <c r="J154" i="27"/>
  <c r="J153" i="27"/>
  <c r="J151" i="27"/>
  <c r="J150" i="27"/>
  <c r="J145" i="27"/>
  <c r="J144" i="27"/>
  <c r="J142" i="27"/>
  <c r="J141" i="27"/>
  <c r="J137" i="27"/>
  <c r="J136" i="27"/>
  <c r="J134" i="27"/>
  <c r="J133" i="27"/>
  <c r="J130" i="27"/>
  <c r="J129" i="27"/>
  <c r="J127" i="27"/>
  <c r="J126" i="27"/>
  <c r="J125" i="27"/>
  <c r="J124" i="27"/>
  <c r="J122" i="27"/>
  <c r="J2" i="28"/>
  <c r="F2" i="28"/>
  <c r="F3" i="28" s="1"/>
  <c r="I95" i="13"/>
  <c r="E95" i="13"/>
  <c r="C95" i="13"/>
  <c r="W59" i="29" l="1"/>
  <c r="F72" i="29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B44" i="29"/>
  <c r="B46" i="29" s="1"/>
  <c r="B43" i="29"/>
  <c r="B45" i="29" s="1"/>
  <c r="D210" i="27"/>
  <c r="D211" i="27" s="1"/>
  <c r="D212" i="27" s="1"/>
  <c r="D213" i="27" s="1"/>
  <c r="D214" i="27" s="1"/>
  <c r="D215" i="27" s="1"/>
  <c r="F210" i="27"/>
  <c r="F211" i="27" s="1"/>
  <c r="F212" i="27" s="1"/>
  <c r="F213" i="27" s="1"/>
  <c r="F214" i="27" s="1"/>
  <c r="F215" i="27" s="1"/>
  <c r="D10" i="28"/>
  <c r="D11" i="28" s="1"/>
  <c r="D12" i="28" s="1"/>
  <c r="D13" i="28" s="1"/>
  <c r="D14" i="28" s="1"/>
  <c r="D15" i="28" s="1"/>
  <c r="F10" i="28"/>
  <c r="F11" i="28" s="1"/>
  <c r="F12" i="28" s="1"/>
  <c r="F13" i="28" s="1"/>
  <c r="F14" i="28" s="1"/>
  <c r="F15" i="28" s="1"/>
  <c r="G63" i="27" l="1"/>
  <c r="G59" i="27"/>
  <c r="G55" i="27"/>
  <c r="G51" i="27"/>
  <c r="F175" i="27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90" i="27" s="1"/>
  <c r="F191" i="27" s="1"/>
  <c r="F192" i="27" s="1"/>
  <c r="F193" i="27" s="1"/>
  <c r="E204" i="27"/>
  <c r="E202" i="27"/>
  <c r="E197" i="27"/>
  <c r="E198" i="27" s="1"/>
  <c r="E199" i="27" s="1"/>
  <c r="E200" i="27" s="1"/>
  <c r="E194" i="27"/>
  <c r="E195" i="27" s="1"/>
  <c r="E189" i="27"/>
  <c r="E179" i="27"/>
  <c r="E180" i="27" s="1"/>
  <c r="E181" i="27" s="1"/>
  <c r="E182" i="27" s="1"/>
  <c r="E183" i="27" s="1"/>
  <c r="E184" i="27" s="1"/>
  <c r="E185" i="27" s="1"/>
  <c r="E186" i="27" s="1"/>
  <c r="E187" i="27" s="1"/>
  <c r="E176" i="27"/>
  <c r="E177" i="27" s="1"/>
  <c r="D175" i="27"/>
  <c r="D176" i="27" s="1"/>
  <c r="D177" i="27" s="1"/>
  <c r="D178" i="27" s="1"/>
  <c r="D179" i="27" s="1"/>
  <c r="D180" i="27" s="1"/>
  <c r="D181" i="27" s="1"/>
  <c r="D182" i="27" s="1"/>
  <c r="D183" i="27" s="1"/>
  <c r="D184" i="27" s="1"/>
  <c r="D185" i="27" s="1"/>
  <c r="D186" i="27" s="1"/>
  <c r="D187" i="27" s="1"/>
  <c r="D188" i="27" s="1"/>
  <c r="D190" i="27" s="1"/>
  <c r="D191" i="27" s="1"/>
  <c r="D192" i="27" s="1"/>
  <c r="D193" i="27" s="1"/>
  <c r="E164" i="27"/>
  <c r="E165" i="27" s="1"/>
  <c r="D164" i="27"/>
  <c r="D165" i="27" s="1"/>
  <c r="D166" i="27" s="1"/>
  <c r="F163" i="27"/>
  <c r="F164" i="27" s="1"/>
  <c r="F165" i="27" s="1"/>
  <c r="F166" i="27" s="1"/>
  <c r="F151" i="27"/>
  <c r="E151" i="27"/>
  <c r="D151" i="27"/>
  <c r="F154" i="27"/>
  <c r="F155" i="27" s="1"/>
  <c r="F156" i="27" s="1"/>
  <c r="E154" i="27"/>
  <c r="E155" i="27" s="1"/>
  <c r="D154" i="27"/>
  <c r="D155" i="27" s="1"/>
  <c r="F146" i="27"/>
  <c r="F147" i="27" s="1"/>
  <c r="F148" i="27" s="1"/>
  <c r="E146" i="27"/>
  <c r="D146" i="27"/>
  <c r="D147" i="27" s="1"/>
  <c r="D148" i="27" s="1"/>
  <c r="F125" i="27"/>
  <c r="F126" i="27" s="1"/>
  <c r="F127" i="27" s="1"/>
  <c r="E125" i="27"/>
  <c r="E126" i="27" s="1"/>
  <c r="E127" i="27" s="1"/>
  <c r="D125" i="27"/>
  <c r="D126" i="27" s="1"/>
  <c r="D127" i="27" s="1"/>
  <c r="C125" i="27"/>
  <c r="C126" i="27" s="1"/>
  <c r="C127" i="27" s="1"/>
  <c r="C129" i="27" s="1"/>
  <c r="C130" i="27" s="1"/>
  <c r="J109" i="27"/>
  <c r="J98" i="27"/>
  <c r="J97" i="27"/>
  <c r="J96" i="27"/>
  <c r="F96" i="27"/>
  <c r="F97" i="27" s="1"/>
  <c r="F98" i="27" s="1"/>
  <c r="F99" i="27" s="1"/>
  <c r="F100" i="27" s="1"/>
  <c r="E97" i="27"/>
  <c r="E98" i="27" s="1"/>
  <c r="E100" i="27" s="1"/>
  <c r="E102" i="27" s="1"/>
  <c r="E104" i="27" s="1"/>
  <c r="E105" i="27" s="1"/>
  <c r="D96" i="27"/>
  <c r="D97" i="27" s="1"/>
  <c r="D98" i="27" s="1"/>
  <c r="D99" i="27" s="1"/>
  <c r="D100" i="27" s="1"/>
  <c r="D101" i="27" s="1"/>
  <c r="J95" i="27"/>
  <c r="J41" i="27"/>
  <c r="J77" i="27"/>
  <c r="J76" i="27"/>
  <c r="J69" i="27"/>
  <c r="F101" i="27" l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C133" i="27"/>
  <c r="C134" i="27" s="1"/>
  <c r="C131" i="27"/>
  <c r="D189" i="27"/>
  <c r="D194" i="27" s="1"/>
  <c r="D195" i="27" s="1"/>
  <c r="D196" i="27" s="1"/>
  <c r="D197" i="27" s="1"/>
  <c r="D198" i="27" s="1"/>
  <c r="D199" i="27" s="1"/>
  <c r="D200" i="27" s="1"/>
  <c r="D201" i="27" s="1"/>
  <c r="D202" i="27" s="1"/>
  <c r="D203" i="27" s="1"/>
  <c r="D204" i="27" s="1"/>
  <c r="D205" i="27" s="1"/>
  <c r="D206" i="27" s="1"/>
  <c r="F189" i="27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E107" i="27"/>
  <c r="E108" i="27" s="1"/>
  <c r="E109" i="27" s="1"/>
  <c r="E112" i="27" s="1"/>
  <c r="E114" i="27" s="1"/>
  <c r="E115" i="27" s="1"/>
  <c r="E119" i="27" s="1"/>
  <c r="E121" i="27" s="1"/>
  <c r="E122" i="27" s="1"/>
  <c r="D3" i="28"/>
  <c r="D102" i="27"/>
  <c r="J91" i="27"/>
  <c r="J89" i="27"/>
  <c r="J88" i="27"/>
  <c r="E88" i="27"/>
  <c r="E89" i="27" s="1"/>
  <c r="E90" i="27" s="1"/>
  <c r="E91" i="27" s="1"/>
  <c r="E92" i="27" s="1"/>
  <c r="J83" i="27"/>
  <c r="E80" i="27"/>
  <c r="E81" i="27" s="1"/>
  <c r="J80" i="27"/>
  <c r="D74" i="27"/>
  <c r="J74" i="27"/>
  <c r="J11" i="27"/>
  <c r="J10" i="27"/>
  <c r="E11" i="27"/>
  <c r="E12" i="27" s="1"/>
  <c r="B11" i="27"/>
  <c r="F117" i="27" l="1"/>
  <c r="F118" i="27" s="1"/>
  <c r="F119" i="27" s="1"/>
  <c r="F120" i="27" s="1"/>
  <c r="F121" i="27" s="1"/>
  <c r="F122" i="27" s="1"/>
  <c r="C136" i="27"/>
  <c r="D103" i="27"/>
  <c r="D104" i="27" s="1"/>
  <c r="D105" i="27" s="1"/>
  <c r="D75" i="27"/>
  <c r="D76" i="27" s="1"/>
  <c r="D77" i="27" s="1"/>
  <c r="D78" i="27" s="1"/>
  <c r="D79" i="27" s="1"/>
  <c r="D80" i="27" s="1"/>
  <c r="D81" i="27" s="1"/>
  <c r="D82" i="27" s="1"/>
  <c r="D83" i="27" s="1"/>
  <c r="D84" i="27" s="1"/>
  <c r="D85" i="27" s="1"/>
  <c r="D86" i="27" s="1"/>
  <c r="D87" i="27" s="1"/>
  <c r="C137" i="27" l="1"/>
  <c r="D106" i="27"/>
  <c r="D107" i="27" s="1"/>
  <c r="D108" i="27" s="1"/>
  <c r="D109" i="27" s="1"/>
  <c r="D88" i="27"/>
  <c r="D89" i="27" s="1"/>
  <c r="D90" i="27" s="1"/>
  <c r="D91" i="27" s="1"/>
  <c r="D92" i="27" s="1"/>
  <c r="D93" i="27" s="1"/>
  <c r="J123" i="27"/>
  <c r="J121" i="27"/>
  <c r="J120" i="27"/>
  <c r="J119" i="27"/>
  <c r="J118" i="27"/>
  <c r="J116" i="27"/>
  <c r="J115" i="27"/>
  <c r="J114" i="27"/>
  <c r="J113" i="27"/>
  <c r="J112" i="27"/>
  <c r="J111" i="27"/>
  <c r="J110" i="27"/>
  <c r="J108" i="27"/>
  <c r="J107" i="27"/>
  <c r="J106" i="27"/>
  <c r="J105" i="27"/>
  <c r="J104" i="27"/>
  <c r="J103" i="27"/>
  <c r="J102" i="27"/>
  <c r="J101" i="27"/>
  <c r="J100" i="27"/>
  <c r="J99" i="27"/>
  <c r="G94" i="27"/>
  <c r="J93" i="27"/>
  <c r="J92" i="27"/>
  <c r="J90" i="27"/>
  <c r="J87" i="27"/>
  <c r="J86" i="27"/>
  <c r="J85" i="27"/>
  <c r="J84" i="27"/>
  <c r="Y82" i="27"/>
  <c r="J82" i="27"/>
  <c r="J81" i="27"/>
  <c r="E82" i="27"/>
  <c r="J79" i="27"/>
  <c r="J78" i="27"/>
  <c r="Y75" i="27"/>
  <c r="J75" i="27"/>
  <c r="J73" i="27"/>
  <c r="Y71" i="27"/>
  <c r="J71" i="27"/>
  <c r="Y70" i="27"/>
  <c r="J70" i="27"/>
  <c r="Y68" i="27"/>
  <c r="J68" i="27"/>
  <c r="J67" i="27"/>
  <c r="J66" i="27"/>
  <c r="F66" i="27"/>
  <c r="F67" i="27" s="1"/>
  <c r="F68" i="27" s="1"/>
  <c r="E66" i="27"/>
  <c r="E67" i="27" s="1"/>
  <c r="E68" i="27" s="1"/>
  <c r="J65" i="27"/>
  <c r="J64" i="27"/>
  <c r="J135" i="27"/>
  <c r="Y62" i="27"/>
  <c r="W62" i="27"/>
  <c r="J62" i="27"/>
  <c r="W61" i="27"/>
  <c r="W60" i="27" s="1"/>
  <c r="J61" i="27"/>
  <c r="J60" i="27"/>
  <c r="W58" i="27"/>
  <c r="J58" i="27"/>
  <c r="W57" i="27"/>
  <c r="J57" i="27"/>
  <c r="W56" i="27"/>
  <c r="Y56" i="27" s="1"/>
  <c r="J56" i="27"/>
  <c r="W54" i="27"/>
  <c r="J54" i="27"/>
  <c r="W53" i="27"/>
  <c r="J53" i="27"/>
  <c r="W52" i="27"/>
  <c r="J52" i="27"/>
  <c r="W50" i="27"/>
  <c r="J50" i="27"/>
  <c r="B50" i="27"/>
  <c r="W49" i="27"/>
  <c r="J49" i="27"/>
  <c r="Y47" i="27"/>
  <c r="J47" i="27"/>
  <c r="J46" i="27"/>
  <c r="J45" i="27"/>
  <c r="AM44" i="27"/>
  <c r="AM45" i="27" s="1"/>
  <c r="J44" i="27"/>
  <c r="J43" i="27"/>
  <c r="J42" i="27"/>
  <c r="J40" i="27"/>
  <c r="J39" i="27"/>
  <c r="J38" i="27"/>
  <c r="J37" i="27"/>
  <c r="J36" i="27"/>
  <c r="J35" i="27"/>
  <c r="E35" i="27"/>
  <c r="E36" i="27" s="1"/>
  <c r="E37" i="27" s="1"/>
  <c r="E38" i="27" s="1"/>
  <c r="J34" i="27"/>
  <c r="J33" i="27"/>
  <c r="J32" i="27"/>
  <c r="J31" i="27"/>
  <c r="J30" i="27"/>
  <c r="J29" i="27"/>
  <c r="E29" i="27"/>
  <c r="E30" i="27" s="1"/>
  <c r="E31" i="27" s="1"/>
  <c r="E32" i="27" s="1"/>
  <c r="E33" i="27" s="1"/>
  <c r="J28" i="27"/>
  <c r="J27" i="27"/>
  <c r="BA26" i="27"/>
  <c r="J26" i="27"/>
  <c r="J25" i="27"/>
  <c r="E25" i="27"/>
  <c r="E26" i="27" s="1"/>
  <c r="E27" i="27" s="1"/>
  <c r="J24" i="27"/>
  <c r="J23" i="27"/>
  <c r="J22" i="27"/>
  <c r="BA21" i="27"/>
  <c r="J21" i="27"/>
  <c r="J20" i="27"/>
  <c r="J19" i="27"/>
  <c r="J18" i="27"/>
  <c r="J17" i="27"/>
  <c r="J16" i="27"/>
  <c r="J15" i="27"/>
  <c r="J14" i="27"/>
  <c r="J13" i="27"/>
  <c r="J12" i="27"/>
  <c r="J9" i="27"/>
  <c r="J8" i="27"/>
  <c r="J7" i="27"/>
  <c r="J6" i="27"/>
  <c r="J5" i="27"/>
  <c r="E5" i="27"/>
  <c r="E6" i="27" s="1"/>
  <c r="E7" i="27" s="1"/>
  <c r="E8" i="27" s="1"/>
  <c r="E9" i="27" s="1"/>
  <c r="E13" i="27" s="1"/>
  <c r="E14" i="27" s="1"/>
  <c r="E15" i="27" s="1"/>
  <c r="E16" i="27" s="1"/>
  <c r="B5" i="27"/>
  <c r="B6" i="27" s="1"/>
  <c r="B7" i="27" s="1"/>
  <c r="B8" i="27" s="1"/>
  <c r="B9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J4" i="27"/>
  <c r="D4" i="27"/>
  <c r="D5" i="27" s="1"/>
  <c r="D6" i="27" s="1"/>
  <c r="D7" i="27" s="1"/>
  <c r="D8" i="27" s="1"/>
  <c r="D9" i="27" s="1"/>
  <c r="J3" i="27"/>
  <c r="F3" i="27"/>
  <c r="F4" i="27" s="1"/>
  <c r="F5" i="27" s="1"/>
  <c r="F6" i="27" s="1"/>
  <c r="F7" i="27" s="1"/>
  <c r="F8" i="27" s="1"/>
  <c r="F9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J2" i="27"/>
  <c r="C139" i="27" l="1"/>
  <c r="D110" i="27"/>
  <c r="D111" i="27" s="1"/>
  <c r="D112" i="27" s="1"/>
  <c r="F41" i="27"/>
  <c r="F42" i="27" s="1"/>
  <c r="F43" i="27" s="1"/>
  <c r="F44" i="27" s="1"/>
  <c r="F45" i="27" s="1"/>
  <c r="F46" i="27" s="1"/>
  <c r="F47" i="27" s="1"/>
  <c r="B41" i="27"/>
  <c r="B42" i="27" s="1"/>
  <c r="B43" i="27" s="1"/>
  <c r="F69" i="27"/>
  <c r="F70" i="27" s="1"/>
  <c r="F71" i="27" s="1"/>
  <c r="E69" i="27"/>
  <c r="E70" i="27" s="1"/>
  <c r="E71" i="27" s="1"/>
  <c r="E74" i="27" s="1"/>
  <c r="E75" i="27" s="1"/>
  <c r="E76" i="27" s="1"/>
  <c r="E77" i="27" s="1"/>
  <c r="E78" i="27" s="1"/>
  <c r="E83" i="27"/>
  <c r="E84" i="27" s="1"/>
  <c r="E85" i="27" s="1"/>
  <c r="E86" i="27" s="1"/>
  <c r="D10" i="27"/>
  <c r="D11" i="27" s="1"/>
  <c r="D12" i="27" s="1"/>
  <c r="D13" i="27" s="1"/>
  <c r="D14" i="27" s="1"/>
  <c r="D15" i="27" s="1"/>
  <c r="D16" i="27" s="1"/>
  <c r="D17" i="27" s="1"/>
  <c r="D18" i="27" s="1"/>
  <c r="D19" i="27" s="1"/>
  <c r="D20" i="27" s="1"/>
  <c r="D21" i="27" s="1"/>
  <c r="D22" i="27" s="1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Y61" i="27"/>
  <c r="F93" i="24"/>
  <c r="I92" i="24"/>
  <c r="I91" i="24"/>
  <c r="I90" i="24"/>
  <c r="D90" i="24"/>
  <c r="D91" i="24" s="1"/>
  <c r="I89" i="24"/>
  <c r="I88" i="24"/>
  <c r="I87" i="24"/>
  <c r="I86" i="24"/>
  <c r="X85" i="24"/>
  <c r="I85" i="24"/>
  <c r="I84" i="24"/>
  <c r="D84" i="24"/>
  <c r="D85" i="24" s="1"/>
  <c r="D86" i="24" s="1"/>
  <c r="D87" i="24" s="1"/>
  <c r="D88" i="24" s="1"/>
  <c r="I83" i="24"/>
  <c r="I82" i="24"/>
  <c r="X81" i="24"/>
  <c r="I81" i="24"/>
  <c r="I80" i="24"/>
  <c r="X79" i="24"/>
  <c r="I79" i="24"/>
  <c r="X78" i="24"/>
  <c r="I78" i="24"/>
  <c r="X77" i="24"/>
  <c r="I77" i="24"/>
  <c r="I76" i="24"/>
  <c r="I75" i="24"/>
  <c r="E75" i="24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D75" i="24"/>
  <c r="D76" i="24" s="1"/>
  <c r="D77" i="24" s="1"/>
  <c r="D78" i="24" s="1"/>
  <c r="D79" i="24" s="1"/>
  <c r="D80" i="24" s="1"/>
  <c r="D81" i="24" s="1"/>
  <c r="D82" i="24" s="1"/>
  <c r="I74" i="24"/>
  <c r="I73" i="24"/>
  <c r="I71" i="24"/>
  <c r="I70" i="24"/>
  <c r="I69" i="24"/>
  <c r="I68" i="24"/>
  <c r="I66" i="24"/>
  <c r="E66" i="24"/>
  <c r="I65" i="24"/>
  <c r="E65" i="24"/>
  <c r="I64" i="24"/>
  <c r="I62" i="24"/>
  <c r="I61" i="24"/>
  <c r="F60" i="24"/>
  <c r="X59" i="24"/>
  <c r="V59" i="24"/>
  <c r="I59" i="24"/>
  <c r="X58" i="24"/>
  <c r="V58" i="24"/>
  <c r="I58" i="24"/>
  <c r="V57" i="24"/>
  <c r="I57" i="24"/>
  <c r="F56" i="24"/>
  <c r="V55" i="24"/>
  <c r="I55" i="24"/>
  <c r="V54" i="24"/>
  <c r="I54" i="24"/>
  <c r="V53" i="24"/>
  <c r="X53" i="24" s="1"/>
  <c r="I53" i="24"/>
  <c r="F52" i="24"/>
  <c r="V51" i="24"/>
  <c r="I51" i="24"/>
  <c r="V50" i="24"/>
  <c r="I50" i="24"/>
  <c r="V49" i="24"/>
  <c r="I49" i="24"/>
  <c r="F48" i="24"/>
  <c r="V47" i="24"/>
  <c r="I47" i="24"/>
  <c r="A47" i="24"/>
  <c r="V46" i="24"/>
  <c r="I46" i="24"/>
  <c r="X44" i="24"/>
  <c r="I44" i="24"/>
  <c r="I43" i="24"/>
  <c r="F43" i="24"/>
  <c r="AL42" i="24"/>
  <c r="I42" i="24"/>
  <c r="AL41" i="24"/>
  <c r="I41" i="24"/>
  <c r="I40" i="24"/>
  <c r="F40" i="24"/>
  <c r="I39" i="24"/>
  <c r="I38" i="24"/>
  <c r="I37" i="24"/>
  <c r="I36" i="24"/>
  <c r="F36" i="24"/>
  <c r="I35" i="24"/>
  <c r="I34" i="24"/>
  <c r="I33" i="24"/>
  <c r="F33" i="24"/>
  <c r="D33" i="24"/>
  <c r="D34" i="24" s="1"/>
  <c r="D35" i="24" s="1"/>
  <c r="D36" i="24" s="1"/>
  <c r="I32" i="24"/>
  <c r="I31" i="24"/>
  <c r="I30" i="24"/>
  <c r="I29" i="24"/>
  <c r="I28" i="24"/>
  <c r="I27" i="24"/>
  <c r="D27" i="24"/>
  <c r="D28" i="24" s="1"/>
  <c r="D29" i="24" s="1"/>
  <c r="D30" i="24" s="1"/>
  <c r="D31" i="24" s="1"/>
  <c r="I26" i="24"/>
  <c r="I25" i="24"/>
  <c r="AZ24" i="24"/>
  <c r="I24" i="24"/>
  <c r="I23" i="24"/>
  <c r="D23" i="24"/>
  <c r="D24" i="24" s="1"/>
  <c r="D25" i="24" s="1"/>
  <c r="I22" i="24"/>
  <c r="I21" i="24"/>
  <c r="I20" i="24"/>
  <c r="AZ19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I4" i="24"/>
  <c r="C4" i="24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I3" i="24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I2" i="24"/>
  <c r="F60" i="22"/>
  <c r="F56" i="22"/>
  <c r="F52" i="22"/>
  <c r="F48" i="22"/>
  <c r="F43" i="22"/>
  <c r="F40" i="22"/>
  <c r="F36" i="22"/>
  <c r="F33" i="22"/>
  <c r="R24" i="23"/>
  <c r="R19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1" i="23"/>
  <c r="D70" i="23"/>
  <c r="D69" i="23"/>
  <c r="D68" i="23"/>
  <c r="D66" i="23"/>
  <c r="D65" i="23"/>
  <c r="D64" i="23"/>
  <c r="D62" i="23"/>
  <c r="D61" i="23"/>
  <c r="D59" i="23"/>
  <c r="D58" i="23"/>
  <c r="D57" i="23"/>
  <c r="D55" i="23"/>
  <c r="D54" i="23"/>
  <c r="D53" i="23"/>
  <c r="D51" i="23"/>
  <c r="D50" i="23"/>
  <c r="D49" i="23"/>
  <c r="D47" i="23"/>
  <c r="D46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65" i="23"/>
  <c r="A66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E90" i="22"/>
  <c r="E91" i="22" s="1"/>
  <c r="E84" i="22"/>
  <c r="E85" i="22" s="1"/>
  <c r="E86" i="22" s="1"/>
  <c r="E87" i="22" s="1"/>
  <c r="E88" i="22" s="1"/>
  <c r="E75" i="22"/>
  <c r="E76" i="22" s="1"/>
  <c r="E77" i="22" s="1"/>
  <c r="E78" i="22" s="1"/>
  <c r="E79" i="22" s="1"/>
  <c r="E80" i="22" s="1"/>
  <c r="E81" i="22" s="1"/>
  <c r="E82" i="22" s="1"/>
  <c r="B47" i="22"/>
  <c r="N41" i="22"/>
  <c r="N42" i="22" s="1"/>
  <c r="N43" i="22" s="1"/>
  <c r="N44" i="22" s="1"/>
  <c r="E33" i="22"/>
  <c r="E34" i="22" s="1"/>
  <c r="E35" i="22" s="1"/>
  <c r="E36" i="22" s="1"/>
  <c r="E27" i="22"/>
  <c r="E28" i="22" s="1"/>
  <c r="E29" i="22" s="1"/>
  <c r="E30" i="22" s="1"/>
  <c r="E31" i="22" s="1"/>
  <c r="E23" i="22"/>
  <c r="E24" i="22" s="1"/>
  <c r="E25" i="22" s="1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D4" i="22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F74" i="27" l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C141" i="27"/>
  <c r="C142" i="27" s="1"/>
  <c r="D113" i="27"/>
  <c r="D114" i="27" s="1"/>
  <c r="D115" i="27" s="1"/>
  <c r="B44" i="27"/>
  <c r="B46" i="27" s="1"/>
  <c r="B45" i="27"/>
  <c r="B47" i="27" s="1"/>
  <c r="D41" i="27"/>
  <c r="D42" i="27" s="1"/>
  <c r="D43" i="27" s="1"/>
  <c r="D44" i="27" s="1"/>
  <c r="D45" i="27" s="1"/>
  <c r="D46" i="27" s="1"/>
  <c r="D47" i="27" s="1"/>
  <c r="A42" i="24"/>
  <c r="A44" i="24" s="1"/>
  <c r="A41" i="24"/>
  <c r="A43" i="24" s="1"/>
  <c r="B42" i="22"/>
  <c r="B44" i="22" s="1"/>
  <c r="B41" i="22"/>
  <c r="B43" i="22" s="1"/>
  <c r="V59" i="13"/>
  <c r="V58" i="13"/>
  <c r="C144" i="27" l="1"/>
  <c r="D116" i="27"/>
  <c r="F88" i="27"/>
  <c r="F89" i="27" s="1"/>
  <c r="AL41" i="13"/>
  <c r="X59" i="13"/>
  <c r="X58" i="13"/>
  <c r="X85" i="13"/>
  <c r="X81" i="13"/>
  <c r="X79" i="13"/>
  <c r="X78" i="13"/>
  <c r="X77" i="13"/>
  <c r="X44" i="13"/>
  <c r="D117" i="27" l="1"/>
  <c r="D118" i="27" s="1"/>
  <c r="D119" i="27" s="1"/>
  <c r="D120" i="27" s="1"/>
  <c r="D121" i="27" s="1"/>
  <c r="D122" i="27" s="1"/>
  <c r="C145" i="27"/>
  <c r="C146" i="27" s="1"/>
  <c r="C147" i="27" s="1"/>
  <c r="C148" i="27" s="1"/>
  <c r="F90" i="27"/>
  <c r="F91" i="27" s="1"/>
  <c r="F92" i="27" s="1"/>
  <c r="F93" i="27" s="1"/>
  <c r="V57" i="13"/>
  <c r="V55" i="13"/>
  <c r="V54" i="13"/>
  <c r="V53" i="13"/>
  <c r="X53" i="13" s="1"/>
  <c r="V51" i="13"/>
  <c r="V50" i="13"/>
  <c r="V49" i="13"/>
  <c r="V47" i="13"/>
  <c r="V46" i="13"/>
  <c r="I77" i="13"/>
  <c r="I78" i="13"/>
  <c r="I79" i="13"/>
  <c r="I81" i="13"/>
  <c r="I85" i="13"/>
  <c r="G12" i="20"/>
  <c r="G9" i="20"/>
  <c r="C150" i="27" l="1"/>
  <c r="C151" i="27" s="1"/>
  <c r="I44" i="13"/>
  <c r="I58" i="13"/>
  <c r="C153" i="27" l="1"/>
  <c r="C154" i="27" s="1"/>
  <c r="C155" i="27" s="1"/>
  <c r="C156" i="27" s="1"/>
  <c r="F60" i="13"/>
  <c r="I59" i="13"/>
  <c r="I57" i="13"/>
  <c r="F40" i="13"/>
  <c r="F56" i="13"/>
  <c r="I55" i="13"/>
  <c r="I54" i="13"/>
  <c r="I53" i="13"/>
  <c r="C158" i="27" l="1"/>
  <c r="C159" i="27" s="1"/>
  <c r="R69" i="19"/>
  <c r="L69" i="19" s="1"/>
  <c r="Q69" i="19"/>
  <c r="K69" i="19" s="1"/>
  <c r="P69" i="19"/>
  <c r="J69" i="19" s="1"/>
  <c r="R68" i="19"/>
  <c r="L68" i="19" s="1"/>
  <c r="Q68" i="19"/>
  <c r="K68" i="19" s="1"/>
  <c r="P68" i="19"/>
  <c r="J68" i="19" s="1"/>
  <c r="P62" i="19"/>
  <c r="J62" i="19"/>
  <c r="K62" i="19" s="1"/>
  <c r="P61" i="19"/>
  <c r="J61" i="19" s="1"/>
  <c r="K61" i="19" s="1"/>
  <c r="P60" i="19"/>
  <c r="J60" i="19" s="1"/>
  <c r="K60" i="19" s="1"/>
  <c r="P59" i="19"/>
  <c r="R60" i="19" s="1"/>
  <c r="L60" i="19" s="1"/>
  <c r="P53" i="19"/>
  <c r="J53" i="19" s="1"/>
  <c r="K53" i="19" s="1"/>
  <c r="P52" i="19"/>
  <c r="J52" i="19" s="1"/>
  <c r="K52" i="19" s="1"/>
  <c r="Q50" i="19"/>
  <c r="P50" i="19"/>
  <c r="J50" i="19" s="1"/>
  <c r="L50" i="19" s="1"/>
  <c r="M50" i="19" s="1"/>
  <c r="Q49" i="19"/>
  <c r="P49" i="19"/>
  <c r="J49" i="19" s="1"/>
  <c r="Q48" i="19"/>
  <c r="P48" i="19"/>
  <c r="R48" i="19" s="1"/>
  <c r="J48" i="19"/>
  <c r="K48" i="19" s="1"/>
  <c r="M46" i="19"/>
  <c r="N46" i="19" s="1"/>
  <c r="K46" i="19"/>
  <c r="J45" i="19"/>
  <c r="K45" i="19" s="1"/>
  <c r="R43" i="19"/>
  <c r="M43" i="19"/>
  <c r="K43" i="19"/>
  <c r="J43" i="19"/>
  <c r="R42" i="19"/>
  <c r="M42" i="19"/>
  <c r="K42" i="19"/>
  <c r="J42" i="19"/>
  <c r="R41" i="19"/>
  <c r="M41" i="19"/>
  <c r="K41" i="19"/>
  <c r="J41" i="19"/>
  <c r="R40" i="19"/>
  <c r="M40" i="19"/>
  <c r="K40" i="19"/>
  <c r="J40" i="19"/>
  <c r="R39" i="19"/>
  <c r="M39" i="19"/>
  <c r="K39" i="19"/>
  <c r="J39" i="19"/>
  <c r="R38" i="19"/>
  <c r="M38" i="19"/>
  <c r="K38" i="19"/>
  <c r="J38" i="19"/>
  <c r="R37" i="19"/>
  <c r="M37" i="19"/>
  <c r="K37" i="19"/>
  <c r="J37" i="19"/>
  <c r="K36" i="19"/>
  <c r="J36" i="19"/>
  <c r="K35" i="19"/>
  <c r="J35" i="19"/>
  <c r="O32" i="19"/>
  <c r="O33" i="19" s="1"/>
  <c r="K32" i="19"/>
  <c r="J32" i="19"/>
  <c r="O30" i="19"/>
  <c r="O29" i="19"/>
  <c r="Q29" i="19" s="1"/>
  <c r="K29" i="19" s="1"/>
  <c r="K28" i="19"/>
  <c r="J28" i="19"/>
  <c r="K27" i="19"/>
  <c r="J27" i="19"/>
  <c r="K26" i="19"/>
  <c r="J26" i="19"/>
  <c r="R25" i="19"/>
  <c r="K25" i="19"/>
  <c r="J25" i="19"/>
  <c r="K24" i="19"/>
  <c r="J24" i="19"/>
  <c r="R23" i="19"/>
  <c r="K23" i="19"/>
  <c r="J23" i="19"/>
  <c r="R22" i="19"/>
  <c r="K22" i="19"/>
  <c r="J22" i="19"/>
  <c r="R21" i="19"/>
  <c r="K21" i="19"/>
  <c r="J21" i="19"/>
  <c r="R20" i="19"/>
  <c r="K20" i="19"/>
  <c r="J20" i="19"/>
  <c r="R19" i="19"/>
  <c r="K19" i="19"/>
  <c r="J19" i="19"/>
  <c r="R18" i="19"/>
  <c r="K18" i="19"/>
  <c r="J18" i="19"/>
  <c r="R17" i="19"/>
  <c r="K17" i="19"/>
  <c r="J17" i="19"/>
  <c r="R16" i="19"/>
  <c r="K16" i="19"/>
  <c r="J16" i="19"/>
  <c r="R15" i="19"/>
  <c r="K15" i="19"/>
  <c r="J15" i="19"/>
  <c r="K14" i="19"/>
  <c r="J14" i="19"/>
  <c r="K13" i="19"/>
  <c r="J13" i="19"/>
  <c r="K12" i="19"/>
  <c r="J12" i="19"/>
  <c r="O9" i="19"/>
  <c r="Q9" i="19" s="1"/>
  <c r="K9" i="19" s="1"/>
  <c r="Q8" i="19"/>
  <c r="K8" i="19" s="1"/>
  <c r="P8" i="19"/>
  <c r="J8" i="19" s="1"/>
  <c r="O6" i="19"/>
  <c r="P6" i="19" s="1"/>
  <c r="K5" i="19"/>
  <c r="J5" i="19"/>
  <c r="K4" i="19"/>
  <c r="J4" i="19"/>
  <c r="R3" i="19"/>
  <c r="K3" i="19"/>
  <c r="J3" i="19"/>
  <c r="R2" i="19"/>
  <c r="K2" i="19"/>
  <c r="J2" i="19"/>
  <c r="R59" i="19" l="1"/>
  <c r="L59" i="19" s="1"/>
  <c r="P9" i="19"/>
  <c r="J9" i="19" s="1"/>
  <c r="P29" i="19"/>
  <c r="J29" i="19" s="1"/>
  <c r="P30" i="19"/>
  <c r="M45" i="19"/>
  <c r="N45" i="19" s="1"/>
  <c r="Q30" i="19"/>
  <c r="K30" i="19" s="1"/>
  <c r="P31" i="19"/>
  <c r="J31" i="19" s="1"/>
  <c r="Q31" i="19"/>
  <c r="K31" i="19" s="1"/>
  <c r="R50" i="19"/>
  <c r="C161" i="27"/>
  <c r="C162" i="27" s="1"/>
  <c r="C163" i="27" s="1"/>
  <c r="C164" i="27" s="1"/>
  <c r="C165" i="27" s="1"/>
  <c r="C166" i="27" s="1"/>
  <c r="Q34" i="19"/>
  <c r="K34" i="19" s="1"/>
  <c r="P34" i="19"/>
  <c r="M28" i="19" s="1"/>
  <c r="Q33" i="19"/>
  <c r="K33" i="19" s="1"/>
  <c r="J6" i="19"/>
  <c r="R30" i="19"/>
  <c r="J30" i="19"/>
  <c r="K49" i="19"/>
  <c r="L48" i="19"/>
  <c r="M48" i="19" s="1"/>
  <c r="L49" i="19"/>
  <c r="M49" i="19" s="1"/>
  <c r="P33" i="19"/>
  <c r="L45" i="19"/>
  <c r="Q6" i="19"/>
  <c r="K6" i="19" s="1"/>
  <c r="R31" i="19"/>
  <c r="L46" i="19"/>
  <c r="R49" i="19"/>
  <c r="J59" i="19"/>
  <c r="K59" i="19" s="1"/>
  <c r="O11" i="19"/>
  <c r="Q10" i="19" s="1"/>
  <c r="K10" i="19" s="1"/>
  <c r="K50" i="19"/>
  <c r="R29" i="19"/>
  <c r="R26" i="19"/>
  <c r="L26" i="19" s="1"/>
  <c r="Q7" i="19"/>
  <c r="K7" i="19" s="1"/>
  <c r="P7" i="19"/>
  <c r="F43" i="13"/>
  <c r="I43" i="13"/>
  <c r="F93" i="13"/>
  <c r="F52" i="13"/>
  <c r="F48" i="13"/>
  <c r="F36" i="13"/>
  <c r="F33" i="13"/>
  <c r="I42" i="13"/>
  <c r="R28" i="19" l="1"/>
  <c r="R27" i="19"/>
  <c r="P10" i="19"/>
  <c r="R8" i="19" s="1"/>
  <c r="L8" i="19" s="1"/>
  <c r="M8" i="19" s="1"/>
  <c r="M27" i="19"/>
  <c r="M23" i="19"/>
  <c r="R35" i="19"/>
  <c r="M35" i="19"/>
  <c r="J33" i="19"/>
  <c r="R32" i="19"/>
  <c r="L32" i="19" s="1"/>
  <c r="M32" i="19" s="1"/>
  <c r="R33" i="19"/>
  <c r="L33" i="19" s="1"/>
  <c r="M33" i="19" s="1"/>
  <c r="M36" i="19"/>
  <c r="R36" i="19"/>
  <c r="M30" i="19"/>
  <c r="M26" i="19"/>
  <c r="J7" i="19"/>
  <c r="R34" i="19"/>
  <c r="L34" i="19" s="1"/>
  <c r="M34" i="19" s="1"/>
  <c r="J34" i="19"/>
  <c r="M22" i="19"/>
  <c r="M21" i="19"/>
  <c r="M15" i="19"/>
  <c r="M19" i="19"/>
  <c r="Q11" i="19"/>
  <c r="K11" i="19" s="1"/>
  <c r="P11" i="19"/>
  <c r="R7" i="19" s="1"/>
  <c r="L7" i="19" s="1"/>
  <c r="M7" i="19" s="1"/>
  <c r="M20" i="19"/>
  <c r="M29" i="19"/>
  <c r="M24" i="19"/>
  <c r="M16" i="19"/>
  <c r="M31" i="19"/>
  <c r="M18" i="19"/>
  <c r="M25" i="19"/>
  <c r="M17" i="19"/>
  <c r="R4" i="19" l="1"/>
  <c r="L4" i="19" s="1"/>
  <c r="M4" i="19" s="1"/>
  <c r="R9" i="19"/>
  <c r="L9" i="19" s="1"/>
  <c r="M9" i="19" s="1"/>
  <c r="R14" i="19"/>
  <c r="L14" i="19" s="1"/>
  <c r="M14" i="19" s="1"/>
  <c r="M53" i="19"/>
  <c r="R5" i="19"/>
  <c r="L5" i="19" s="1"/>
  <c r="M5" i="19" s="1"/>
  <c r="R10" i="19"/>
  <c r="L10" i="19" s="1"/>
  <c r="M10" i="19" s="1"/>
  <c r="M3" i="19"/>
  <c r="M52" i="19"/>
  <c r="J10" i="19"/>
  <c r="R12" i="19"/>
  <c r="L12" i="19" s="1"/>
  <c r="M12" i="19" s="1"/>
  <c r="J11" i="19"/>
  <c r="R11" i="19"/>
  <c r="L11" i="19" s="1"/>
  <c r="M11" i="19" s="1"/>
  <c r="R13" i="19"/>
  <c r="L13" i="19" s="1"/>
  <c r="M13" i="19" s="1"/>
  <c r="M2" i="19"/>
  <c r="R6" i="19"/>
  <c r="L6" i="19" s="1"/>
  <c r="M6" i="19" s="1"/>
  <c r="I92" i="13"/>
  <c r="I91" i="13"/>
  <c r="I90" i="13"/>
  <c r="I89" i="13"/>
  <c r="I88" i="13"/>
  <c r="I87" i="13"/>
  <c r="I86" i="13"/>
  <c r="I84" i="13"/>
  <c r="I83" i="13"/>
  <c r="I82" i="13"/>
  <c r="I80" i="13"/>
  <c r="I76" i="13"/>
  <c r="I75" i="13"/>
  <c r="I74" i="13"/>
  <c r="I73" i="13"/>
  <c r="I71" i="13"/>
  <c r="I70" i="13"/>
  <c r="I69" i="13"/>
  <c r="I68" i="13"/>
  <c r="I66" i="13"/>
  <c r="I65" i="13"/>
  <c r="I64" i="13"/>
  <c r="I62" i="13"/>
  <c r="I61" i="13"/>
  <c r="I51" i="13"/>
  <c r="I50" i="13"/>
  <c r="I49" i="13"/>
  <c r="I47" i="13"/>
  <c r="I46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3" i="18" l="1"/>
  <c r="B3" i="18"/>
  <c r="AZ24" i="13" l="1"/>
  <c r="AZ19" i="13"/>
  <c r="A47" i="13" l="1"/>
  <c r="L14" i="16" l="1"/>
  <c r="L13" i="16"/>
  <c r="L12" i="16"/>
  <c r="L11" i="16"/>
  <c r="L10" i="16"/>
  <c r="L9" i="16"/>
  <c r="L8" i="16"/>
  <c r="L7" i="16"/>
  <c r="E13" i="16"/>
  <c r="E9" i="16" s="1"/>
  <c r="D13" i="16"/>
  <c r="E8" i="16" l="1"/>
  <c r="M7" i="16"/>
  <c r="M9" i="16"/>
  <c r="M8" i="16"/>
  <c r="M13" i="16"/>
  <c r="M14" i="16"/>
  <c r="M12" i="16"/>
  <c r="M11" i="16"/>
  <c r="M10" i="16"/>
  <c r="E75" i="13" l="1"/>
  <c r="E76" i="13" s="1"/>
  <c r="E77" i="13" s="1"/>
  <c r="E78" i="13" s="1"/>
  <c r="E79" i="13" s="1"/>
  <c r="D84" i="13"/>
  <c r="D75" i="13"/>
  <c r="D76" i="13" s="1"/>
  <c r="D77" i="13" s="1"/>
  <c r="D78" i="13" s="1"/>
  <c r="D79" i="13" s="1"/>
  <c r="E80" i="13" l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D80" i="13"/>
  <c r="D81" i="13" s="1"/>
  <c r="D82" i="13" s="1"/>
  <c r="D90" i="13"/>
  <c r="D91" i="13" s="1"/>
  <c r="D85" i="13"/>
  <c r="D86" i="13" s="1"/>
  <c r="D87" i="13" s="1"/>
  <c r="D88" i="13" s="1"/>
  <c r="E65" i="13"/>
  <c r="E66" i="13" s="1"/>
  <c r="AL42" i="13"/>
  <c r="D33" i="13"/>
  <c r="D34" i="13" s="1"/>
  <c r="D35" i="13" s="1"/>
  <c r="D36" i="13" s="1"/>
  <c r="D27" i="13"/>
  <c r="D28" i="13" s="1"/>
  <c r="D29" i="13" s="1"/>
  <c r="D30" i="13" s="1"/>
  <c r="D31" i="13" s="1"/>
  <c r="D23" i="13"/>
  <c r="D24" i="13" s="1"/>
  <c r="D25" i="13" s="1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C42" i="13" l="1"/>
  <c r="C43" i="13" s="1"/>
  <c r="C44" i="13" s="1"/>
  <c r="A41" i="13"/>
  <c r="A43" i="13" s="1"/>
  <c r="A42" i="13"/>
  <c r="A44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comments1.xml><?xml version="1.0" encoding="utf-8"?>
<comments xmlns="http://schemas.openxmlformats.org/spreadsheetml/2006/main">
  <authors>
    <author>Thompson, Kelley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Thompson, Kelley:</t>
        </r>
        <r>
          <rPr>
            <sz val="9"/>
            <color indexed="81"/>
            <rFont val="Tahoma"/>
            <family val="2"/>
          </rPr>
          <t xml:space="preserve">
currently this is used in code; need to develop this internally as runs through</t>
        </r>
      </text>
    </comment>
  </commentList>
</comments>
</file>

<file path=xl/sharedStrings.xml><?xml version="1.0" encoding="utf-8"?>
<sst xmlns="http://schemas.openxmlformats.org/spreadsheetml/2006/main" count="4098" uniqueCount="638">
  <si>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</si>
  <si>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</si>
  <si>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</si>
  <si>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</si>
  <si>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</si>
  <si>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</si>
  <si>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</si>
  <si>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</si>
  <si>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</si>
  <si>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</si>
  <si>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</si>
  <si>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</si>
  <si>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</si>
  <si>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</si>
  <si>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</si>
  <si>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</si>
  <si>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</si>
  <si>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</si>
  <si>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</si>
  <si>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</si>
  <si>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</si>
  <si>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</si>
  <si>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</si>
  <si>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</si>
  <si>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</si>
  <si>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</si>
  <si>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</si>
  <si>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</si>
  <si>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</si>
  <si>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</si>
  <si>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</si>
  <si>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</si>
  <si>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</si>
  <si>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</si>
  <si>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</si>
  <si>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</si>
  <si>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</si>
  <si>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</si>
  <si>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</si>
  <si>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</si>
  <si>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</si>
  <si>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</si>
  <si>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</si>
  <si>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</si>
  <si>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</si>
  <si>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</si>
  <si>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</si>
  <si>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</si>
  <si>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</si>
  <si>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</si>
  <si>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</si>
  <si>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</si>
  <si>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</si>
  <si>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</si>
  <si>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</si>
  <si>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</si>
  <si>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</si>
  <si>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</si>
  <si>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</si>
  <si>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</si>
  <si>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</si>
  <si>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</si>
  <si>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</si>
  <si>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</si>
  <si>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</si>
  <si>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</si>
  <si>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</si>
  <si>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</si>
  <si>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</si>
  <si>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</si>
  <si>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</si>
  <si>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</si>
  <si>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</si>
  <si>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</si>
  <si>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</si>
  <si>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</si>
  <si>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</si>
  <si>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</si>
  <si>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</si>
  <si>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</si>
  <si>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</si>
  <si>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</si>
  <si>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</si>
  <si>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</si>
  <si>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</si>
  <si>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</si>
  <si>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</si>
  <si>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</si>
  <si>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</si>
  <si>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</si>
  <si>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</si>
  <si>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</si>
  <si>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</si>
  <si>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</si>
  <si>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</si>
  <si>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</si>
  <si>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</si>
  <si>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</si>
  <si>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</si>
  <si>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</si>
  <si>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</si>
  <si>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</si>
  <si>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</si>
  <si>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</si>
  <si>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</si>
  <si>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</si>
  <si>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</si>
  <si>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</si>
  <si>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</si>
  <si>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</si>
  <si>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</si>
  <si>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</si>
  <si>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</si>
  <si>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</si>
  <si>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</si>
  <si>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</si>
  <si>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</si>
  <si>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</si>
  <si>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</si>
  <si>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</si>
  <si>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</si>
  <si>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</si>
  <si>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</si>
  <si>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Fountain Creek Confluence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</si>
  <si>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</si>
  <si>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</si>
  <si>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</si>
  <si>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</si>
  <si>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</si>
  <si>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</si>
  <si>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</si>
  <si>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</si>
  <si>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</si>
  <si>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</si>
  <si>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</si>
  <si>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</si>
  <si>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</si>
  <si>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</si>
  <si>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</si>
  <si>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</si>
  <si>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</si>
  <si>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</si>
  <si>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</si>
  <si>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</si>
  <si>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</si>
  <si>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</si>
  <si>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</si>
  <si>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</si>
  <si>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</si>
  <si>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</si>
  <si>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</si>
  <si>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</si>
  <si>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</si>
  <si>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</si>
  <si>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</si>
  <si>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</si>
  <si>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</si>
  <si>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</si>
  <si>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</si>
  <si>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</si>
  <si>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</si>
  <si>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</si>
  <si>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</si>
  <si>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</si>
  <si>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</si>
  <si>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</si>
  <si>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</si>
  <si>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</si>
  <si>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</si>
  <si>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</si>
  <si>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</si>
  <si>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</si>
  <si>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</si>
  <si>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</si>
  <si>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</si>
  <si>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</si>
  <si>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</si>
  <si>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</si>
  <si>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</si>
  <si>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</si>
  <si>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</si>
  <si>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</si>
  <si>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</si>
  <si>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</si>
  <si>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</si>
  <si>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</si>
  <si>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</si>
  <si>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</si>
  <si>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</si>
  <si>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</si>
  <si>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</si>
  <si>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</si>
  <si>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</si>
  <si>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</si>
  <si>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</si>
  <si>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</si>
  <si>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</si>
  <si>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</si>
  <si>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</si>
  <si>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</si>
  <si>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</si>
  <si>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</si>
  <si>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</si>
  <si>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URFThreshold</t>
  </si>
  <si>
    <t>gage</t>
  </si>
  <si>
    <t>water used for replacement; all recent divs listed as Type:7 (release) so exclude T7</t>
  </si>
  <si>
    <t>Fish Hatchery (1403507) Outfall</t>
  </si>
  <si>
    <t>Comanche Power Plant Pump Station</t>
  </si>
  <si>
    <t>use XQ0</t>
  </si>
  <si>
    <t>unmeasured inflow, have conf id</t>
  </si>
  <si>
    <t>gage inflow, no interveining ditches, but 2.5 miles</t>
  </si>
  <si>
    <t>gage inflow, no interveining ditches, 1 mile</t>
  </si>
  <si>
    <t>gage inflow, 0.25 mile or so</t>
  </si>
  <si>
    <t>in this case, these are T7 records!!</t>
  </si>
  <si>
    <t>maybe stub</t>
  </si>
  <si>
    <t>sum lots of T7 and one TE records, not T8</t>
  </si>
  <si>
    <t>T7 but not regular divs</t>
  </si>
  <si>
    <t>If inflow, use Type:7,L, and E (but not others) if no XQ0</t>
  </si>
  <si>
    <t>not mapped, actually is a river reach</t>
  </si>
  <si>
    <t>about 1 mile</t>
  </si>
  <si>
    <t>about 3.43 miles</t>
  </si>
  <si>
    <t>maybe stub - new trib</t>
  </si>
  <si>
    <t>gage inflow, blunt pumps after gage (divs 1500736, 737, 738) - ~3mile - maybe stub out</t>
  </si>
  <si>
    <t>diversions only in 2018; S:2 U:0 record but no other codes; 2018 from PR includes short big error in daily rates (664cfs while PR rec says max q 15 cfs)</t>
  </si>
  <si>
    <t>WCnum</t>
  </si>
  <si>
    <t>WCidentifier</t>
  </si>
  <si>
    <t>start</t>
  </si>
  <si>
    <t>end</t>
  </si>
  <si>
    <t>comment</t>
  </si>
  <si>
    <t>Total (Diversion)</t>
  </si>
  <si>
    <t xml:space="preserve">Hamp-Bell Ditch Total (Diversion) consists of T:7 records - these are passed at headgate and T:7 record is quantifying credit to river; need net zero for mass balance for river, but then the T:7 release records could be tracked as releases (one is exchange to PR) </t>
  </si>
  <si>
    <t>newamt</t>
  </si>
  <si>
    <t>Transit Mix-West Pueblo Pit; 1day error in 1403694 S:2 F:1403526.006 U:0 T: G: To: has 664cfs while days before/after are 9.5/5.15 plus 12cfs from 1403694 S:2 F:1403526.231 U:0 T: G: To:</t>
  </si>
  <si>
    <t>Top</t>
  </si>
  <si>
    <t>res, Total Release includes off system (ie bessemer) plus transfers, no XQ0, T7/L/E should work but for 2018 doesn’t add up to gage in mid summer</t>
  </si>
  <si>
    <t>us T7/L/E</t>
  </si>
  <si>
    <t>fake wdid</t>
  </si>
  <si>
    <t>can use TD record, TD record is including T7 records which should be excluded, so needs correction to exclude T7 records</t>
  </si>
  <si>
    <t>TD record (no XQ0) 2018 data includes Q error in March 2018</t>
  </si>
  <si>
    <t>XQ0 higher than TD in December 2018</t>
  </si>
  <si>
    <t>use XQ0 first, then TD (?)</t>
  </si>
  <si>
    <t>Most of the T7 records are listed as I and do not show up in REST!!!, Don’t think they show up in Total(Release) through REST but not sure…  HUMNNN!!!!</t>
  </si>
  <si>
    <t>C6384 - outfall (not diversion) for hatchery - don't get div records - use Liv avgs, need OID</t>
  </si>
  <si>
    <t>confluence - also C952 - no records</t>
  </si>
  <si>
    <t>00193719</t>
  </si>
  <si>
    <t>Conf_ID</t>
  </si>
  <si>
    <t>GNIS_ID</t>
  </si>
  <si>
    <t>Gageby Creek</t>
  </si>
  <si>
    <t>DefaultMethod</t>
  </si>
  <si>
    <t>none</t>
  </si>
  <si>
    <t>bank</t>
  </si>
  <si>
    <t>musk</t>
  </si>
  <si>
    <t>CID6384</t>
  </si>
  <si>
    <t>CID1007</t>
  </si>
  <si>
    <t>CID1005</t>
  </si>
  <si>
    <t>CID1013</t>
  </si>
  <si>
    <t>CID6389</t>
  </si>
  <si>
    <t>current WDID locs placed at different loc for admin</t>
  </si>
  <si>
    <t>Horse Creek ARF049CO Aug Station</t>
  </si>
  <si>
    <t>ARF049CO</t>
  </si>
  <si>
    <t>Horse Creek Gage</t>
  </si>
  <si>
    <t>Horse Creek Arkansas River Confluence</t>
  </si>
  <si>
    <t>Herman Klinkerman Ditch</t>
  </si>
  <si>
    <t>00201782</t>
  </si>
  <si>
    <t>Gageby Creek ARF125CO Aug Station</t>
  </si>
  <si>
    <t>ARF125CO</t>
  </si>
  <si>
    <t>According to Bill, this aug station flow comes in just above horse creek gage (trash rack into pipeline sometimes plug so they reduce aug amts given gage amts)</t>
  </si>
  <si>
    <t>Gageby Creek Gage</t>
  </si>
  <si>
    <t>Gageby Creek ARF126CO Aug Station</t>
  </si>
  <si>
    <t>ARF126CO</t>
  </si>
  <si>
    <t>Gageby Creek Arkansas River Confluence</t>
  </si>
  <si>
    <t>GACBFLCO</t>
  </si>
  <si>
    <t>00195412</t>
  </si>
  <si>
    <t>CID1010</t>
  </si>
  <si>
    <t>Hasty ARF145CO Aug Station</t>
  </si>
  <si>
    <t>CID1017</t>
  </si>
  <si>
    <t>ARF145CO</t>
  </si>
  <si>
    <t>ARF160CO</t>
  </si>
  <si>
    <t>ARF166CO</t>
  </si>
  <si>
    <t>ARF181CO</t>
  </si>
  <si>
    <t>ARF182CO</t>
  </si>
  <si>
    <t>ARF259CO</t>
  </si>
  <si>
    <t>DSWDID</t>
  </si>
  <si>
    <t>Limestone</t>
  </si>
  <si>
    <t>McClave</t>
  </si>
  <si>
    <t>CID1015</t>
  </si>
  <si>
    <t>CID5986</t>
  </si>
  <si>
    <t>Graveyard</t>
  </si>
  <si>
    <t>Graveyard Creek ARF181CO Aug Station</t>
  </si>
  <si>
    <t>McClave ARF166CO Aug Station</t>
  </si>
  <si>
    <t>Limestone Creek ARF160CO Aug Station</t>
  </si>
  <si>
    <t>CID1018</t>
  </si>
  <si>
    <t>Riverview ARF182CO Aug Station</t>
  </si>
  <si>
    <t>CID6259</t>
  </si>
  <si>
    <t>CID6257</t>
  </si>
  <si>
    <t>Wheatridge ARF259CO Aug Station</t>
  </si>
  <si>
    <t>stubloss</t>
  </si>
  <si>
    <t>calcs</t>
  </si>
  <si>
    <t>stublength</t>
  </si>
  <si>
    <t>07/16/2019:10</t>
  </si>
  <si>
    <t>07/16/2019:23</t>
  </si>
  <si>
    <t>ARKJMRCO 2019 correction</t>
  </si>
  <si>
    <t>Abbrev</t>
  </si>
  <si>
    <t>07/23/2019:12</t>
  </si>
  <si>
    <t>05/21/2019:09</t>
  </si>
  <si>
    <t>05/21/2019:12</t>
  </si>
  <si>
    <t>05/22/2019:07</t>
  </si>
  <si>
    <t>05/22/2019:11</t>
  </si>
  <si>
    <t>07/23/2019:14</t>
  </si>
  <si>
    <t>07/23/2019:18</t>
  </si>
  <si>
    <t>05/04/2017:09</t>
  </si>
  <si>
    <t>05/09/2017:18</t>
  </si>
  <si>
    <t>nodetypestr</t>
  </si>
  <si>
    <t>cow_num</t>
  </si>
  <si>
    <t>div</t>
  </si>
  <si>
    <t>wd</t>
  </si>
  <si>
    <t>reach</t>
  </si>
  <si>
    <t>subreach</t>
  </si>
  <si>
    <t>featuretype</t>
  </si>
  <si>
    <t>outfall</t>
  </si>
  <si>
    <t>node_type_num</t>
  </si>
  <si>
    <t>stationabbrev</t>
  </si>
  <si>
    <t>parameter</t>
  </si>
  <si>
    <t>dryavg</t>
  </si>
  <si>
    <t>avgavg</t>
  </si>
  <si>
    <t>wetavg</t>
  </si>
  <si>
    <t>channellength</t>
  </si>
  <si>
    <t>alluviumlength</t>
  </si>
  <si>
    <t>reachportion</t>
  </si>
  <si>
    <t>losspercent</t>
  </si>
  <si>
    <t>transmissivity</t>
  </si>
  <si>
    <t>storagecoefficient</t>
  </si>
  <si>
    <t>aquiferwidth</t>
  </si>
  <si>
    <t>dispersionmethod</t>
  </si>
  <si>
    <t>dispersiona</t>
  </si>
  <si>
    <t>dispersionb</t>
  </si>
  <si>
    <t>celeritymethod</t>
  </si>
  <si>
    <t>celeritymax</t>
  </si>
  <si>
    <t>celeritya</t>
  </si>
  <si>
    <t>celerityb</t>
  </si>
  <si>
    <t>widtha</t>
  </si>
  <si>
    <t>widthb</t>
  </si>
  <si>
    <t>gaininitial</t>
  </si>
  <si>
    <t>PURBTRCO</t>
  </si>
  <si>
    <t>RATON CREEK ABOVE STARKVILLE, CO</t>
  </si>
  <si>
    <t>RACRSTCO</t>
  </si>
  <si>
    <t>PIKDITCO</t>
  </si>
  <si>
    <t>CILDITCO</t>
  </si>
  <si>
    <t>SOUDITCO</t>
  </si>
  <si>
    <t>MODCANCO</t>
  </si>
  <si>
    <t>JOHDITCO</t>
  </si>
  <si>
    <t>takes out with model canal measured amount?</t>
  </si>
  <si>
    <t>HOEDITCO</t>
  </si>
  <si>
    <t>PURHOECO</t>
  </si>
  <si>
    <t>PURTRICO</t>
  </si>
  <si>
    <t>LMCDITCO</t>
  </si>
  <si>
    <t>PURFICCO</t>
  </si>
  <si>
    <t>LUNING ARROYO NEAR MODEL, CO.</t>
  </si>
  <si>
    <t>LUARMOCO</t>
  </si>
  <si>
    <t>VAN BREMER ARROYO NEAR MODEL, CO</t>
  </si>
  <si>
    <t>VANMODCO</t>
  </si>
  <si>
    <t>TAYBROCO</t>
  </si>
  <si>
    <t>TAYLOR ARROYO BL ROCK CROSSING, NR THATCHER, CO</t>
  </si>
  <si>
    <t>LOCKWOOD CANYON CREEK NEAR THATCHER, CO.</t>
  </si>
  <si>
    <t>LOCTHACO</t>
  </si>
  <si>
    <t>RED ROCK CANYON CREEK AT MOUTH NR THATCHER, CO.</t>
  </si>
  <si>
    <t>REDTHACO</t>
  </si>
  <si>
    <t>BENT CANYON CREEK AT MOUTH NEAR TIMPAS</t>
  </si>
  <si>
    <t>BENTIMCO</t>
  </si>
  <si>
    <t>PURRCKCO</t>
  </si>
  <si>
    <t>NMCHIGCO</t>
  </si>
  <si>
    <t>PURNINCO</t>
  </si>
  <si>
    <t>PURHILCO</t>
  </si>
  <si>
    <t>HILCANCO</t>
  </si>
  <si>
    <t>ARKEFOCO</t>
  </si>
  <si>
    <t>LFCBSLCO</t>
  </si>
  <si>
    <t>HALMALCO</t>
  </si>
  <si>
    <t>ARKEMPCO</t>
  </si>
  <si>
    <t>ARKGRNCO</t>
  </si>
  <si>
    <t>CCBCCRCO</t>
  </si>
  <si>
    <t>PINMOUCO</t>
  </si>
  <si>
    <t>ARKBGNCO</t>
  </si>
  <si>
    <t>COCRBVCO</t>
  </si>
  <si>
    <t>CHCRNACO</t>
  </si>
  <si>
    <t>PWWDASCO</t>
  </si>
  <si>
    <t>PWPBASCO</t>
  </si>
  <si>
    <t>ARKNATCO</t>
  </si>
  <si>
    <t>SOAKTECO</t>
  </si>
  <si>
    <t>ARKWELCO</t>
  </si>
  <si>
    <t>HRLAUGCO</t>
  </si>
  <si>
    <t>TCCKTCCO</t>
  </si>
  <si>
    <t>ARKPARCO</t>
  </si>
  <si>
    <t>ARKCANCO</t>
  </si>
  <si>
    <t>MINCANCO</t>
  </si>
  <si>
    <t>BEAPENCO</t>
  </si>
  <si>
    <t>Halfmoon Creek</t>
  </si>
  <si>
    <t>Clear Creek Below Clear Creek Reservoir</t>
  </si>
  <si>
    <t>Pine Creek</t>
  </si>
  <si>
    <t>Cottonwood Creek</t>
  </si>
  <si>
    <t>Chalk Creek</t>
  </si>
  <si>
    <t>Arkansas River Near Nathrop</t>
  </si>
  <si>
    <t>Arkansas River Near Wellsville</t>
  </si>
  <si>
    <t>Hayden Ranch Lower Aug Station</t>
  </si>
  <si>
    <t>Texas Creek</t>
  </si>
  <si>
    <t>Arkansas River At Parkdale</t>
  </si>
  <si>
    <t>Arkansas River At Canon City</t>
  </si>
  <si>
    <t>Minnequa Canal</t>
  </si>
  <si>
    <t>Beaver Creek</t>
  </si>
  <si>
    <t>Trinidad Reservoir</t>
  </si>
  <si>
    <t>Purgatoire River Below Trinidad Lake</t>
  </si>
  <si>
    <t>Antonio Lopez Ditch</t>
  </si>
  <si>
    <t>Raton Creek</t>
  </si>
  <si>
    <t>Purgatoire River At Trinidad</t>
  </si>
  <si>
    <t>Baca Irrigating Ditch</t>
  </si>
  <si>
    <t>Picketwire Ditch</t>
  </si>
  <si>
    <t>El Moro Ditch</t>
  </si>
  <si>
    <t>Chilili Ditch</t>
  </si>
  <si>
    <t>Enlarged Southside Ditch</t>
  </si>
  <si>
    <t>Model Ditch</t>
  </si>
  <si>
    <t>Johns Flood Ditch</t>
  </si>
  <si>
    <t>Hoehne Ditch</t>
  </si>
  <si>
    <t>Purgatoire River Near Hoehne</t>
  </si>
  <si>
    <t>Burns &amp; Duncan Ditch</t>
  </si>
  <si>
    <t>Burns &amp; Duncan Ditch (Pump)</t>
  </si>
  <si>
    <t>Lewelling-Mccormick Ditch</t>
  </si>
  <si>
    <t>Purgatoire River At Fishers Crossing</t>
  </si>
  <si>
    <t>Salas North Ditch</t>
  </si>
  <si>
    <t>Luning Arroyo</t>
  </si>
  <si>
    <t>Van Bremer Arroyo</t>
  </si>
  <si>
    <t>Purgatoire River Near Thatcher</t>
  </si>
  <si>
    <t>Taylor Arroyo</t>
  </si>
  <si>
    <t>Lockwood Arroyo</t>
  </si>
  <si>
    <t>Red Rock Canyon Creek</t>
  </si>
  <si>
    <t>Bent Canyon Creek</t>
  </si>
  <si>
    <t>Purgatoire River At Rock Crossing Near Timpas</t>
  </si>
  <si>
    <t>Nine Mile Canal</t>
  </si>
  <si>
    <t>Purgatoire River At Ninemile Dam Near Higbee</t>
  </si>
  <si>
    <t>Highland Canal</t>
  </si>
  <si>
    <t>Purgatoire River Blw Highland Dam Nr Las Animas</t>
  </si>
  <si>
    <t>Purgatoire River Near Las Animas</t>
  </si>
  <si>
    <t>EF Arkansas R At US Highway 24, nr Leadville</t>
  </si>
  <si>
    <t>Arkansas River Below Empire Gulch Near Malta</t>
  </si>
  <si>
    <t>Arkansas River At Granite</t>
  </si>
  <si>
    <t>Arkansas River Below Granite</t>
  </si>
  <si>
    <t>Chalk Creek Arkansas Confluence Pt</t>
  </si>
  <si>
    <t>Lake Creek Arkansas Confluence Pt</t>
  </si>
  <si>
    <t>Clear Creek Arkansas Confluence Pt</t>
  </si>
  <si>
    <t>Clear Creek Reservoir</t>
  </si>
  <si>
    <t>CCACCRCO</t>
  </si>
  <si>
    <t>Clear Creek Above Clear Creek Reservoir</t>
  </si>
  <si>
    <t>LAKATLCO</t>
  </si>
  <si>
    <t>Lake Creek Above Twin Lakes Reservoir</t>
  </si>
  <si>
    <t>SOCWCRCO</t>
  </si>
  <si>
    <t>Cottonwood Reservoir</t>
  </si>
  <si>
    <t>COCRHSCO</t>
  </si>
  <si>
    <t>South Cottonwood Creek below Cottonwood Reservoir</t>
  </si>
  <si>
    <t>Cottonwood Creek Below Hot Springs</t>
  </si>
  <si>
    <t>Cottonwood Creek Near Buena Vista</t>
  </si>
  <si>
    <t>Cottonwood Creek Arkansas Confluence Pt</t>
  </si>
  <si>
    <t>GYCROHCO</t>
  </si>
  <si>
    <t>PNCKPSCO</t>
  </si>
  <si>
    <t>Poncha Creek South Arkansas Confluence Pt</t>
  </si>
  <si>
    <t>BLKRSOCO</t>
  </si>
  <si>
    <t>SOARGRCO</t>
  </si>
  <si>
    <t>NFSOAKCO</t>
  </si>
  <si>
    <t>South Arkansas Arkansas Confluence Pt</t>
  </si>
  <si>
    <t>LARDITCO</t>
  </si>
  <si>
    <t>00189425</t>
  </si>
  <si>
    <t>00110005</t>
  </si>
  <si>
    <t>00189315</t>
  </si>
  <si>
    <t>maybe need outfall and spur, gage is wdid 1109515</t>
  </si>
  <si>
    <t>maybe need outfall and spur</t>
  </si>
  <si>
    <t>NSARSOCO</t>
  </si>
  <si>
    <t>North Fork Reservoir</t>
  </si>
  <si>
    <t>00189356</t>
  </si>
  <si>
    <t>North Fork South Arkansas River</t>
  </si>
  <si>
    <t>North Fork South Arkansas Confluence Pt</t>
  </si>
  <si>
    <t>MCWCRLCO</t>
  </si>
  <si>
    <t>maybe need outfall and spur, gage is wdid 1109521</t>
  </si>
  <si>
    <t>Rainbow Lake (Middle Cottonwood Creek)</t>
  </si>
  <si>
    <t>Poncha Creek</t>
  </si>
  <si>
    <t>North Fork of South Fork</t>
  </si>
  <si>
    <t>South Fork</t>
  </si>
  <si>
    <t>TWITUNCO</t>
  </si>
  <si>
    <t>LKCTURCO</t>
  </si>
  <si>
    <t>00179850</t>
  </si>
  <si>
    <t>HOMTUNCO</t>
  </si>
  <si>
    <t>BOUTUNCO</t>
  </si>
  <si>
    <t>BUSTUNCO</t>
  </si>
  <si>
    <t>Lake Fork Crk Arkansas Confluence Pt</t>
  </si>
  <si>
    <t>COLDITCO</t>
  </si>
  <si>
    <t>EWIDITCO</t>
  </si>
  <si>
    <t>WURDITCO</t>
  </si>
  <si>
    <t>Columbine Ditch Near Fremont Pass</t>
  </si>
  <si>
    <t>Ewing Ditch At Tennessee Pass</t>
  </si>
  <si>
    <t>Wurtz Ditch Near Tennessee Pass</t>
  </si>
  <si>
    <t>Lake Fork Creek Above Turquoise</t>
  </si>
  <si>
    <t>Homestake Tunnel Outlet</t>
  </si>
  <si>
    <t>Charles H. Boustead Tunnel</t>
  </si>
  <si>
    <t>Turquoise Reservoir</t>
  </si>
  <si>
    <t>Lake Fork Creek Below Sugar Loaf Dam Near Leadville</t>
  </si>
  <si>
    <t>Twin Lakes Tunnel</t>
  </si>
  <si>
    <t>Larkspur Ditch At Marshall Pass</t>
  </si>
  <si>
    <t>Poncha Creek At Poncha Springs</t>
  </si>
  <si>
    <t>Boss Lake Reservoir Outlet</t>
  </si>
  <si>
    <t>South Arkansas River Below Garfield</t>
  </si>
  <si>
    <t>South Arkansas Below Tennasse Ditch</t>
  </si>
  <si>
    <t>00180418</t>
  </si>
  <si>
    <t>Pueblo Fish Hatchery Outflow</t>
  </si>
  <si>
    <t>1400738A</t>
  </si>
  <si>
    <t>ARKMOFCO</t>
  </si>
  <si>
    <t>ARK227CO</t>
  </si>
  <si>
    <t>Arkansas River At Moffat Street At Pueblo</t>
  </si>
  <si>
    <t>Runyon Lake Outlet</t>
  </si>
  <si>
    <t>new - not currently in calibration</t>
  </si>
  <si>
    <t>Arkansas River Above Amity Canal</t>
  </si>
  <si>
    <t>ARKAMCCO</t>
  </si>
  <si>
    <t>Fort Bent Aug Station</t>
  </si>
  <si>
    <t>FTBAUGCO</t>
  </si>
  <si>
    <t>new gage since 2021 - not in calibration - shouldn't be in calibration</t>
  </si>
  <si>
    <t>not in calibration (add?)</t>
  </si>
  <si>
    <t>LAWAUGCO</t>
  </si>
  <si>
    <t>not in calibration (add?) may need outfall point and/or stub</t>
  </si>
  <si>
    <t>CEFAUGCO</t>
  </si>
  <si>
    <t>is this right or should it be just above hyde?</t>
  </si>
  <si>
    <t>GICAGWCO</t>
  </si>
  <si>
    <t>GICAGECO</t>
  </si>
  <si>
    <t>LAWMA Granada West Aug Station</t>
  </si>
  <si>
    <t>LAWMA Granada East Aug Station</t>
  </si>
  <si>
    <t>WILDHOCO</t>
  </si>
  <si>
    <t>Wild Horse Creek</t>
  </si>
  <si>
    <t>ARF16TCO</t>
  </si>
  <si>
    <t>not in calibration (add?) may need outfall point and/or stub, loss percent?</t>
  </si>
  <si>
    <t>AR201WCO</t>
  </si>
  <si>
    <t>AR205ECO</t>
  </si>
  <si>
    <t>ARF27LCO</t>
  </si>
  <si>
    <t>ARF Bents Fort ARF27LCO Pond Overflow</t>
  </si>
  <si>
    <t>ARF Limestone Creek ARF160CO Aug Station</t>
  </si>
  <si>
    <t>ARF Limestone Creek ARF162T Recharge Pond Overflow</t>
  </si>
  <si>
    <t>ARF McClave ARF166CO Aug Station</t>
  </si>
  <si>
    <t>ARF Graveyard Creek ARF181CO Aug Station</t>
  </si>
  <si>
    <t>ARF Riverview ARF182CO Aug Station</t>
  </si>
  <si>
    <t>ARF Wiley Drain West AR201WCO Pond Overflow</t>
  </si>
  <si>
    <t>ARF Wiley Drain East AR205ECO Pond Overflow</t>
  </si>
  <si>
    <t>LAWMA Lamar West Farm Augmentation Station</t>
  </si>
  <si>
    <t>LAWMA Center Farm Augmentation Station</t>
  </si>
  <si>
    <t>ARF Wheatridge ARF259CO Aug Station</t>
  </si>
  <si>
    <t>Arkansas PR-JMR</t>
  </si>
  <si>
    <t>Arkansas JMR-SL</t>
  </si>
  <si>
    <t>Pueblo West Pioneer (Browns Crk) Aug Station</t>
  </si>
  <si>
    <t>need stub, loss?, outfall</t>
  </si>
  <si>
    <t>00189333</t>
  </si>
  <si>
    <t>Upper Arkansas</t>
  </si>
  <si>
    <t>Lake Fork Creek Abv Turquoise</t>
  </si>
  <si>
    <t>wdname</t>
  </si>
  <si>
    <t>Lake Fork Creek Blw Turquoise</t>
  </si>
  <si>
    <t>Lake Creek Abv Twin</t>
  </si>
  <si>
    <t>Lake Creek Blw Twin</t>
  </si>
  <si>
    <t>Clear Creek Abv Res</t>
  </si>
  <si>
    <t>Clear Creek Blw Res</t>
  </si>
  <si>
    <t>00201784</t>
  </si>
  <si>
    <t>PURTHACO</t>
  </si>
  <si>
    <t>Purgatoire River</t>
  </si>
  <si>
    <t>not in calibration (add?) may need outfall point and/or stub, does this come in same as east to east of granada gage???</t>
  </si>
  <si>
    <t>O'Haver Reservoir (Grays Creek)</t>
  </si>
  <si>
    <t>Droz Creek Reservoir (Droz Creek)</t>
  </si>
  <si>
    <t>Boss Lake Reservoir (aka Donnell Reservoir No 1)</t>
  </si>
  <si>
    <t>1.96mi upstream of gage</t>
  </si>
  <si>
    <t>00179861</t>
  </si>
  <si>
    <t>Busk-Ivanhoe Tunnel (Busk Creek)</t>
  </si>
  <si>
    <t>00189113</t>
  </si>
  <si>
    <t>Pueblo West Augmentation Station Near Willowdale Headgate</t>
  </si>
  <si>
    <t>outfall (not diversion) for hatchery - don't get div records - new telemetry doesn’t hit in calibration period</t>
  </si>
  <si>
    <t>doesn’t start till 2020, ie not for calibration</t>
  </si>
  <si>
    <t>doesn’t start till 2020, ie not for calibration, below Hoehne Ditch above burns and duncan</t>
  </si>
  <si>
    <t>Red Creek Arkansas Confluence Pt (above PR)</t>
  </si>
  <si>
    <t>00189112</t>
  </si>
  <si>
    <t>00189231</t>
  </si>
  <si>
    <t>NEED WDID</t>
  </si>
  <si>
    <t>for WD17 cal switch to:</t>
  </si>
  <si>
    <t>City Of Trinidad WTP</t>
  </si>
  <si>
    <t>00201778</t>
  </si>
  <si>
    <t>HURREDCO</t>
  </si>
  <si>
    <t>HUEBADCO</t>
  </si>
  <si>
    <t>MARDITCO</t>
  </si>
  <si>
    <t>HUEI25CO</t>
  </si>
  <si>
    <t>Cucharas Huerfano Confluence Pt</t>
  </si>
  <si>
    <t>CUCHUECO</t>
  </si>
  <si>
    <t>HUEDYLCO</t>
  </si>
  <si>
    <t>WLTDITCO</t>
  </si>
  <si>
    <t>Arkansas Purgatoire Confluence Pt</t>
  </si>
  <si>
    <t>Huerfano Arkansas Confluence Pt</t>
  </si>
  <si>
    <t>Cucharas River</t>
  </si>
  <si>
    <t>CRBRLVCO</t>
  </si>
  <si>
    <t>00192808</t>
  </si>
  <si>
    <t>LVMPCRCO</t>
  </si>
  <si>
    <t>WWSCURCO</t>
  </si>
  <si>
    <t>CRHBLVCO</t>
  </si>
  <si>
    <t>WCOBMRCO</t>
  </si>
  <si>
    <t>GOMRETCO</t>
  </si>
  <si>
    <t>GOMDITCO</t>
  </si>
  <si>
    <t>MEXDITCO</t>
  </si>
  <si>
    <t>LVRET1CO</t>
  </si>
  <si>
    <t>LVRET2CO</t>
  </si>
  <si>
    <t>CRHW10CO</t>
  </si>
  <si>
    <t>CUCBCRCO</t>
  </si>
  <si>
    <t>00191866</t>
  </si>
  <si>
    <t>GRABWCCO</t>
  </si>
  <si>
    <t>GRAWESCO</t>
  </si>
  <si>
    <t>Grape Creek Abv Deweese</t>
  </si>
  <si>
    <t>GRABDWCO</t>
  </si>
  <si>
    <t>Grape Creek Arkansas Confluence Pt</t>
  </si>
  <si>
    <t>Huerfano R At Manzanares Xing, Nr Redwing</t>
  </si>
  <si>
    <t>Huerfano River At Badito</t>
  </si>
  <si>
    <t>Martin Ditch</t>
  </si>
  <si>
    <t>Huerfano River At I-25</t>
  </si>
  <si>
    <t>Huerfano Valley Ditch</t>
  </si>
  <si>
    <t>Huerfano River At Doyle Bridge</t>
  </si>
  <si>
    <t>Welton Ditch</t>
  </si>
  <si>
    <t>Huerfano River Near Boone</t>
  </si>
  <si>
    <t>Cucharas River At Boyd Ranch Near La Veta</t>
  </si>
  <si>
    <t>La Veta Municipal Pipeline At Cucharas</t>
  </si>
  <si>
    <t>City Of Walsenburg Water Supply Diversion At Cucharas River</t>
  </si>
  <si>
    <t>Cucharas River At Harrison Bridge Near La Veta</t>
  </si>
  <si>
    <t>City Of Walsenburg Coler Outlet Ditch Below Martin Reservoir</t>
  </si>
  <si>
    <t>Gomez Ditch</t>
  </si>
  <si>
    <t>Gomez Ditch Aug Station</t>
  </si>
  <si>
    <t>Mexican Ditch</t>
  </si>
  <si>
    <t>La Veta #1 Return Flow</t>
  </si>
  <si>
    <t>La Veta #2 Return Flow</t>
  </si>
  <si>
    <t>Cucharas River At Highway 10</t>
  </si>
  <si>
    <t>Cucharas River Below Cucharas Reservoir</t>
  </si>
  <si>
    <t>Grape Creek Above Westcliffe</t>
  </si>
  <si>
    <t>Grape Creek Near Westcliffe</t>
  </si>
  <si>
    <t>Deweese Dye Reservoir</t>
  </si>
  <si>
    <t>Grape Creek Below Deweese Reservoir</t>
  </si>
  <si>
    <t>Grape Creek Blw Deweese</t>
  </si>
  <si>
    <t>new gage since 2021 - not in calibration - shouldn't be in calibration, just above Amity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</si>
</sst>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6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/>
    <xf numFmtId="0" fontId="0" fillId="0" borderId="2" xfId="0" quotePrefix="1" applyBorder="1"/>
    <xf numFmtId="166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NumberFormat="1" applyBorder="1"/>
    <xf numFmtId="2" fontId="0" fillId="0" borderId="3" xfId="0" applyNumberFormat="1" applyFill="1" applyBorder="1"/>
    <xf numFmtId="2" fontId="0" fillId="0" borderId="3" xfId="0" applyNumberFormat="1" applyBorder="1"/>
    <xf numFmtId="0" fontId="0" fillId="0" borderId="3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4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3" xfId="0" applyNumberFormat="1" applyFill="1" applyBorder="1"/>
    <xf numFmtId="1" fontId="0" fillId="0" borderId="3" xfId="0" applyNumberFormat="1" applyFill="1" applyBorder="1"/>
    <xf numFmtId="0" fontId="0" fillId="0" borderId="0" xfId="0" quotePrefix="1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0" fontId="0" fillId="0" borderId="5" xfId="0" applyNumberFormat="1" applyBorder="1"/>
    <xf numFmtId="166" fontId="0" fillId="0" borderId="5" xfId="0" applyNumberFormat="1" applyBorder="1"/>
    <xf numFmtId="0" fontId="0" fillId="0" borderId="5" xfId="0" quotePrefix="1" applyBorder="1"/>
    <xf numFmtId="164" fontId="0" fillId="0" borderId="5" xfId="0" applyNumberFormat="1" applyBorder="1"/>
    <xf numFmtId="0" fontId="0" fillId="0" borderId="0" xfId="0" quotePrefix="1" applyFill="1" applyBorder="1"/>
    <xf numFmtId="0" fontId="0" fillId="0" borderId="5" xfId="0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quotePrefix="1" applyBorder="1"/>
    <xf numFmtId="0" fontId="0" fillId="0" borderId="0" xfId="0" applyFont="1"/>
    <xf numFmtId="165" fontId="0" fillId="0" borderId="0" xfId="0" applyNumberForma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 applyFont="1"/>
    <xf numFmtId="2" fontId="8" fillId="0" borderId="0" xfId="0" applyNumberFormat="1" applyFont="1"/>
    <xf numFmtId="1" fontId="8" fillId="0" borderId="0" xfId="0" applyNumberFormat="1" applyFont="1"/>
    <xf numFmtId="0" fontId="0" fillId="0" borderId="1" xfId="0" applyFont="1" applyBorder="1"/>
    <xf numFmtId="1" fontId="0" fillId="0" borderId="1" xfId="0" applyNumberFormat="1" applyFont="1" applyBorder="1"/>
    <xf numFmtId="0" fontId="0" fillId="0" borderId="1" xfId="0" applyNumberFormat="1" applyFont="1" applyBorder="1"/>
    <xf numFmtId="2" fontId="0" fillId="0" borderId="1" xfId="0" applyNumberFormat="1" applyFont="1" applyBorder="1"/>
    <xf numFmtId="164" fontId="0" fillId="0" borderId="1" xfId="0" applyNumberFormat="1" applyFont="1" applyBorder="1"/>
    <xf numFmtId="0" fontId="0" fillId="0" borderId="2" xfId="0" applyFont="1" applyBorder="1"/>
    <xf numFmtId="1" fontId="0" fillId="0" borderId="2" xfId="0" applyNumberFormat="1" applyFont="1" applyBorder="1"/>
    <xf numFmtId="1" fontId="0" fillId="0" borderId="0" xfId="0" applyNumberFormat="1" applyFont="1"/>
    <xf numFmtId="0" fontId="0" fillId="0" borderId="2" xfId="0" applyNumberFormat="1" applyFont="1" applyBorder="1"/>
    <xf numFmtId="2" fontId="0" fillId="0" borderId="2" xfId="0" applyNumberFormat="1" applyFont="1" applyBorder="1"/>
    <xf numFmtId="164" fontId="0" fillId="0" borderId="2" xfId="0" applyNumberFormat="1" applyFont="1" applyBorder="1"/>
    <xf numFmtId="0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quotePrefix="1" applyFont="1" applyBorder="1"/>
    <xf numFmtId="164" fontId="0" fillId="0" borderId="0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2" fontId="0" fillId="0" borderId="5" xfId="0" applyNumberFormat="1" applyFont="1" applyBorder="1"/>
    <xf numFmtId="0" fontId="0" fillId="0" borderId="5" xfId="0" applyNumberFormat="1" applyFont="1" applyBorder="1"/>
    <xf numFmtId="0" fontId="0" fillId="0" borderId="5" xfId="0" quotePrefix="1" applyFont="1" applyBorder="1"/>
    <xf numFmtId="164" fontId="0" fillId="0" borderId="5" xfId="0" applyNumberFormat="1" applyFont="1" applyBorder="1"/>
    <xf numFmtId="0" fontId="0" fillId="0" borderId="2" xfId="0" quotePrefix="1" applyFont="1" applyBorder="1"/>
    <xf numFmtId="0" fontId="0" fillId="0" borderId="0" xfId="0" quotePrefix="1" applyFont="1" applyFill="1" applyBorder="1"/>
    <xf numFmtId="0" fontId="0" fillId="0" borderId="5" xfId="0" applyFont="1" applyFill="1" applyBorder="1"/>
    <xf numFmtId="0" fontId="0" fillId="0" borderId="4" xfId="0" applyFont="1" applyBorder="1"/>
    <xf numFmtId="1" fontId="0" fillId="0" borderId="4" xfId="0" applyNumberFormat="1" applyFont="1" applyBorder="1"/>
    <xf numFmtId="2" fontId="0" fillId="0" borderId="4" xfId="0" applyNumberFormat="1" applyFont="1" applyBorder="1"/>
    <xf numFmtId="0" fontId="0" fillId="0" borderId="4" xfId="0" applyNumberFormat="1" applyFont="1" applyBorder="1"/>
    <xf numFmtId="0" fontId="0" fillId="0" borderId="4" xfId="0" quotePrefix="1" applyFont="1" applyBorder="1"/>
    <xf numFmtId="164" fontId="0" fillId="0" borderId="4" xfId="0" applyNumberFormat="1" applyFont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3" xfId="0" applyNumberFormat="1" applyFont="1" applyBorder="1"/>
    <xf numFmtId="2" fontId="0" fillId="0" borderId="3" xfId="0" applyNumberFormat="1" applyFont="1" applyBorder="1"/>
    <xf numFmtId="164" fontId="0" fillId="0" borderId="3" xfId="0" applyNumberFormat="1" applyFont="1" applyBorder="1"/>
    <xf numFmtId="2" fontId="0" fillId="0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0" fontId="8" fillId="0" borderId="0" xfId="0" applyFont="1" applyBorder="1"/>
    <xf numFmtId="0" fontId="9" fillId="0" borderId="0" xfId="0" applyFont="1"/>
    <xf numFmtId="2" fontId="0" fillId="0" borderId="2" xfId="0" applyNumberFormat="1" applyFont="1" applyFill="1" applyBorder="1"/>
    <xf numFmtId="165" fontId="0" fillId="0" borderId="2" xfId="0" applyNumberFormat="1" applyFont="1" applyFill="1" applyBorder="1"/>
    <xf numFmtId="2" fontId="9" fillId="0" borderId="0" xfId="0" applyNumberFormat="1" applyFont="1"/>
    <xf numFmtId="1" fontId="9" fillId="0" borderId="0" xfId="0" applyNumberFormat="1" applyFont="1" applyBorder="1"/>
    <xf numFmtId="0" fontId="10" fillId="0" borderId="2" xfId="0" applyFont="1" applyBorder="1"/>
    <xf numFmtId="1" fontId="9" fillId="0" borderId="0" xfId="0" applyNumberFormat="1" applyFont="1"/>
    <xf numFmtId="0" fontId="1" fillId="0" borderId="2" xfId="0" applyFont="1" applyBorder="1"/>
    <xf numFmtId="0" fontId="7" fillId="0" borderId="2" xfId="0" applyFont="1" applyBorder="1"/>
    <xf numFmtId="0" fontId="1" fillId="0" borderId="0" xfId="0" applyFont="1"/>
    <xf numFmtId="0" fontId="8" fillId="0" borderId="2" xfId="0" applyFont="1" applyBorder="1"/>
    <xf numFmtId="1" fontId="8" fillId="0" borderId="2" xfId="0" applyNumberFormat="1" applyFont="1" applyBorder="1"/>
    <xf numFmtId="0" fontId="8" fillId="0" borderId="2" xfId="0" applyNumberFormat="1" applyFont="1" applyBorder="1"/>
    <xf numFmtId="2" fontId="8" fillId="0" borderId="2" xfId="0" applyNumberFormat="1" applyFont="1" applyBorder="1"/>
    <xf numFmtId="164" fontId="8" fillId="0" borderId="2" xfId="0" applyNumberFormat="1" applyFont="1" applyBorder="1"/>
    <xf numFmtId="0" fontId="8" fillId="0" borderId="0" xfId="0" applyNumberFormat="1" applyFont="1"/>
    <xf numFmtId="164" fontId="8" fillId="0" borderId="0" xfId="0" applyNumberFormat="1" applyFont="1"/>
    <xf numFmtId="1" fontId="8" fillId="0" borderId="0" xfId="0" applyNumberFormat="1" applyFont="1" applyBorder="1"/>
    <xf numFmtId="2" fontId="8" fillId="0" borderId="0" xfId="0" applyNumberFormat="1" applyFont="1" applyBorder="1"/>
    <xf numFmtId="0" fontId="8" fillId="0" borderId="0" xfId="0" applyNumberFormat="1" applyFont="1" applyBorder="1"/>
    <xf numFmtId="0" fontId="8" fillId="0" borderId="0" xfId="0" quotePrefix="1" applyFont="1" applyBorder="1"/>
    <xf numFmtId="164" fontId="8" fillId="0" borderId="0" xfId="0" applyNumberFormat="1" applyFont="1" applyBorder="1"/>
    <xf numFmtId="0" fontId="8" fillId="0" borderId="5" xfId="0" applyFont="1" applyBorder="1"/>
    <xf numFmtId="1" fontId="8" fillId="0" borderId="5" xfId="0" applyNumberFormat="1" applyFont="1" applyBorder="1"/>
    <xf numFmtId="2" fontId="8" fillId="0" borderId="5" xfId="0" applyNumberFormat="1" applyFont="1" applyBorder="1"/>
    <xf numFmtId="0" fontId="8" fillId="0" borderId="5" xfId="0" applyNumberFormat="1" applyFont="1" applyBorder="1"/>
    <xf numFmtId="0" fontId="8" fillId="0" borderId="5" xfId="0" quotePrefix="1" applyFont="1" applyBorder="1"/>
    <xf numFmtId="164" fontId="8" fillId="0" borderId="5" xfId="0" applyNumberFormat="1" applyFont="1" applyBorder="1"/>
    <xf numFmtId="0" fontId="8" fillId="0" borderId="2" xfId="0" quotePrefix="1" applyFont="1" applyBorder="1"/>
    <xf numFmtId="0" fontId="8" fillId="0" borderId="0" xfId="0" quotePrefix="1" applyFont="1" applyFill="1" applyBorder="1"/>
    <xf numFmtId="0" fontId="8" fillId="0" borderId="4" xfId="0" applyFont="1" applyBorder="1"/>
    <xf numFmtId="1" fontId="8" fillId="0" borderId="4" xfId="0" applyNumberFormat="1" applyFont="1" applyBorder="1"/>
    <xf numFmtId="2" fontId="8" fillId="0" borderId="4" xfId="0" applyNumberFormat="1" applyFont="1" applyBorder="1"/>
    <xf numFmtId="0" fontId="8" fillId="0" borderId="4" xfId="0" applyNumberFormat="1" applyFont="1" applyBorder="1"/>
    <xf numFmtId="0" fontId="8" fillId="0" borderId="4" xfId="0" quotePrefix="1" applyFont="1" applyBorder="1"/>
    <xf numFmtId="164" fontId="8" fillId="0" borderId="4" xfId="0" applyNumberFormat="1" applyFont="1" applyBorder="1"/>
    <xf numFmtId="1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/>
    <xf numFmtId="0" fontId="8" fillId="0" borderId="0" xfId="0" quotePrefix="1" applyFont="1"/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/>
    <xf numFmtId="0" fontId="8" fillId="0" borderId="2" xfId="0" applyFont="1" applyFill="1" applyBorder="1"/>
    <xf numFmtId="1" fontId="8" fillId="0" borderId="2" xfId="0" applyNumberFormat="1" applyFont="1" applyFill="1" applyBorder="1"/>
    <xf numFmtId="1" fontId="8" fillId="0" borderId="4" xfId="0" applyNumberFormat="1" applyFont="1" applyFill="1" applyBorder="1"/>
    <xf numFmtId="0" fontId="8" fillId="0" borderId="4" xfId="0" quotePrefix="1" applyFont="1" applyFill="1" applyBorder="1"/>
    <xf numFmtId="0" fontId="8" fillId="0" borderId="4" xfId="0" applyNumberFormat="1" applyFont="1" applyFill="1" applyBorder="1"/>
    <xf numFmtId="1" fontId="9" fillId="0" borderId="1" xfId="0" applyNumberFormat="1" applyFont="1" applyBorder="1"/>
    <xf numFmtId="0" fontId="0" fillId="0" borderId="0" xfId="0" quotePrefix="1" applyFont="1"/>
    <xf numFmtId="0" fontId="7" fillId="0" borderId="4" xfId="0" applyFont="1" applyBorder="1"/>
    <xf numFmtId="0" fontId="1" fillId="0" borderId="4" xfId="0" applyFont="1" applyBorder="1"/>
    <xf numFmtId="1" fontId="10" fillId="0" borderId="0" xfId="0" applyNumberFormat="1" applyFont="1"/>
    <xf numFmtId="2" fontId="10" fillId="0" borderId="0" xfId="0" applyNumberFormat="1" applyFont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selection activeCell="I1" sqref="I1:W1048576"/>
    </sheetView>
  </sheetViews>
  <sheetFormatPr defaultRowHeight="15" x14ac:dyDescent="0.25"/>
  <cols>
    <col min="1" max="1" width="5.28515625" customWidth="1"/>
    <col min="2" max="2" width="8" style="2" bestFit="1" customWidth="1"/>
    <col min="3" max="3" width="40.85546875" customWidth="1"/>
    <col min="4" max="4" width="7.5703125" bestFit="1" customWidth="1"/>
    <col min="5" max="5" width="9" customWidth="1"/>
    <col min="6" max="6" width="14.140625" style="26" customWidth="1"/>
    <col min="7" max="7" width="9" style="2" customWidth="1"/>
    <col min="8" max="8" width="7.140625" bestFit="1" customWidth="1"/>
    <col min="9" max="9" width="6.28515625" style="14" customWidth="1"/>
  </cols>
  <sheetData>
    <row r="1" spans="1:23" x14ac:dyDescent="0.25">
      <c r="A1" s="3" t="s">
        <v>91</v>
      </c>
      <c r="B1" s="4" t="s">
        <v>245</v>
      </c>
      <c r="C1" s="4" t="s">
        <v>133</v>
      </c>
      <c r="D1" s="4" t="s">
        <v>131</v>
      </c>
      <c r="E1" s="4" t="s">
        <v>312</v>
      </c>
      <c r="F1" s="24" t="s">
        <v>336</v>
      </c>
      <c r="G1" s="4" t="s">
        <v>203</v>
      </c>
      <c r="H1" s="3" t="s">
        <v>75</v>
      </c>
      <c r="I1" s="13" t="s">
        <v>196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5">
        <v>1</v>
      </c>
      <c r="B2" s="16"/>
      <c r="C2" s="16" t="s">
        <v>92</v>
      </c>
      <c r="D2" s="16">
        <f>IF(E2="Inflow",1,IF(E2="Outflow",-1,IF(E2="Gage",0,IF(E2="Top",0,""))))</f>
        <v>0</v>
      </c>
      <c r="E2" s="2" t="s">
        <v>233</v>
      </c>
      <c r="F2" s="25">
        <v>6</v>
      </c>
      <c r="G2" s="16">
        <v>500</v>
      </c>
      <c r="H2" s="15">
        <v>10</v>
      </c>
      <c r="I2" s="18" t="s">
        <v>234</v>
      </c>
      <c r="J2" s="15"/>
      <c r="K2" s="15"/>
      <c r="L2" s="15"/>
      <c r="M2" s="15"/>
      <c r="N2" s="15"/>
      <c r="O2" s="15"/>
      <c r="P2" s="15"/>
      <c r="Q2" s="15"/>
      <c r="R2" s="15" t="s">
        <v>235</v>
      </c>
      <c r="S2" s="15"/>
      <c r="T2" s="15"/>
      <c r="U2" s="15"/>
      <c r="V2" s="15"/>
      <c r="W2" s="15"/>
    </row>
    <row r="3" spans="1:23" x14ac:dyDescent="0.25">
      <c r="A3" s="3">
        <f t="shared" ref="A3:A44" si="0">A2+1</f>
        <v>2</v>
      </c>
      <c r="B3" s="4"/>
      <c r="C3" s="4" t="s">
        <v>90</v>
      </c>
      <c r="D3" s="4">
        <f t="shared" ref="D3:D41" si="1">IF(E3="Inflow",1,IF(E3="Outflow",-1,IF(E3="Gage",0,IF(E3="Top",0,""))))</f>
        <v>-1</v>
      </c>
      <c r="E3" s="4" t="s">
        <v>32</v>
      </c>
      <c r="F3" s="24">
        <v>6</v>
      </c>
      <c r="G3" s="4">
        <v>500</v>
      </c>
      <c r="H3" s="3">
        <v>10</v>
      </c>
      <c r="I3" s="13" t="s">
        <v>205</v>
      </c>
      <c r="J3" s="3"/>
      <c r="K3" s="3"/>
      <c r="L3" s="3"/>
      <c r="M3" s="3"/>
      <c r="N3" s="3"/>
      <c r="O3" s="3"/>
      <c r="P3" s="3"/>
      <c r="Q3" s="3"/>
      <c r="R3" s="3" t="s">
        <v>237</v>
      </c>
      <c r="S3" s="3"/>
      <c r="T3" s="3"/>
      <c r="U3" s="3"/>
      <c r="V3" s="3"/>
      <c r="W3" s="3"/>
    </row>
    <row r="4" spans="1:23" x14ac:dyDescent="0.25">
      <c r="A4">
        <f t="shared" si="0"/>
        <v>3</v>
      </c>
      <c r="C4" s="1" t="s">
        <v>14</v>
      </c>
      <c r="D4" s="2">
        <f t="shared" si="1"/>
        <v>0</v>
      </c>
      <c r="E4" s="2" t="s">
        <v>33</v>
      </c>
      <c r="F4" s="26">
        <v>6</v>
      </c>
      <c r="G4" s="2">
        <v>500</v>
      </c>
      <c r="H4">
        <v>10</v>
      </c>
      <c r="I4" s="14" t="s">
        <v>204</v>
      </c>
    </row>
    <row r="5" spans="1:23" x14ac:dyDescent="0.25">
      <c r="A5">
        <f t="shared" si="0"/>
        <v>4</v>
      </c>
      <c r="B5" s="2">
        <v>6384</v>
      </c>
      <c r="C5" s="1" t="s">
        <v>22</v>
      </c>
      <c r="D5" s="2">
        <f t="shared" si="1"/>
        <v>1</v>
      </c>
      <c r="E5" s="2" t="s">
        <v>31</v>
      </c>
      <c r="F5" s="26">
        <v>6</v>
      </c>
      <c r="G5" s="2">
        <v>500</v>
      </c>
      <c r="H5">
        <v>20</v>
      </c>
      <c r="I5" s="14" t="s">
        <v>242</v>
      </c>
      <c r="R5" t="s">
        <v>236</v>
      </c>
    </row>
    <row r="6" spans="1:23" x14ac:dyDescent="0.25">
      <c r="A6">
        <f t="shared" si="0"/>
        <v>5</v>
      </c>
      <c r="C6" s="1" t="s">
        <v>207</v>
      </c>
      <c r="D6" s="2">
        <f t="shared" si="1"/>
        <v>-1</v>
      </c>
      <c r="E6" s="2" t="s">
        <v>32</v>
      </c>
      <c r="F6" s="26">
        <v>6</v>
      </c>
      <c r="G6" s="2">
        <v>500</v>
      </c>
      <c r="H6">
        <v>20</v>
      </c>
      <c r="I6" t="s">
        <v>239</v>
      </c>
      <c r="R6" t="s">
        <v>240</v>
      </c>
    </row>
    <row r="7" spans="1:23" x14ac:dyDescent="0.25">
      <c r="A7">
        <f t="shared" si="0"/>
        <v>6</v>
      </c>
      <c r="C7" s="1" t="s">
        <v>95</v>
      </c>
      <c r="D7" s="2">
        <f t="shared" si="1"/>
        <v>-1</v>
      </c>
      <c r="E7" s="2" t="s">
        <v>32</v>
      </c>
      <c r="F7" s="26">
        <v>6</v>
      </c>
      <c r="G7" s="2">
        <v>500</v>
      </c>
      <c r="H7">
        <v>20</v>
      </c>
      <c r="I7" s="14" t="s">
        <v>223</v>
      </c>
      <c r="R7" t="s">
        <v>238</v>
      </c>
    </row>
    <row r="8" spans="1:23" x14ac:dyDescent="0.25">
      <c r="A8">
        <f t="shared" si="0"/>
        <v>7</v>
      </c>
      <c r="C8" s="1" t="s">
        <v>23</v>
      </c>
      <c r="D8" s="2">
        <f t="shared" si="1"/>
        <v>-1</v>
      </c>
      <c r="E8" s="1" t="s">
        <v>32</v>
      </c>
      <c r="F8" s="26">
        <v>6</v>
      </c>
      <c r="G8" s="2">
        <v>500</v>
      </c>
      <c r="H8">
        <v>20</v>
      </c>
      <c r="I8" t="s">
        <v>208</v>
      </c>
    </row>
    <row r="9" spans="1:23" x14ac:dyDescent="0.25">
      <c r="A9">
        <f t="shared" si="0"/>
        <v>8</v>
      </c>
      <c r="C9" s="1" t="s">
        <v>96</v>
      </c>
      <c r="D9" s="2">
        <f t="shared" si="1"/>
        <v>-1</v>
      </c>
      <c r="E9" s="2" t="s">
        <v>32</v>
      </c>
      <c r="F9" s="26">
        <v>6</v>
      </c>
      <c r="G9" s="2">
        <v>500</v>
      </c>
      <c r="H9">
        <v>20</v>
      </c>
      <c r="I9" t="s">
        <v>208</v>
      </c>
    </row>
    <row r="10" spans="1:23" x14ac:dyDescent="0.25">
      <c r="A10">
        <f t="shared" si="0"/>
        <v>9</v>
      </c>
      <c r="B10" s="2">
        <v>952</v>
      </c>
      <c r="C10" s="1" t="s">
        <v>24</v>
      </c>
      <c r="D10" s="2">
        <f t="shared" si="1"/>
        <v>1</v>
      </c>
      <c r="E10" t="s">
        <v>31</v>
      </c>
      <c r="F10" s="26">
        <v>6</v>
      </c>
      <c r="G10" s="2">
        <v>500</v>
      </c>
      <c r="H10">
        <v>20</v>
      </c>
      <c r="I10" s="14" t="s">
        <v>243</v>
      </c>
    </row>
    <row r="11" spans="1:23" x14ac:dyDescent="0.25">
      <c r="A11">
        <f t="shared" si="0"/>
        <v>10</v>
      </c>
      <c r="B11" s="2">
        <v>6385</v>
      </c>
      <c r="C11" s="1" t="s">
        <v>65</v>
      </c>
      <c r="D11" s="2">
        <f t="shared" si="1"/>
        <v>1</v>
      </c>
      <c r="E11" s="2" t="s">
        <v>31</v>
      </c>
      <c r="F11" s="26">
        <v>6</v>
      </c>
      <c r="G11" s="2">
        <v>500</v>
      </c>
      <c r="H11">
        <v>20</v>
      </c>
      <c r="I11" t="s">
        <v>208</v>
      </c>
    </row>
    <row r="12" spans="1:23" x14ac:dyDescent="0.25">
      <c r="A12">
        <f t="shared" si="0"/>
        <v>11</v>
      </c>
      <c r="B12" s="2">
        <v>948</v>
      </c>
      <c r="C12" s="1" t="s">
        <v>26</v>
      </c>
      <c r="D12" s="2">
        <f t="shared" si="1"/>
        <v>1</v>
      </c>
      <c r="E12" s="2" t="s">
        <v>31</v>
      </c>
      <c r="F12" s="26">
        <v>6</v>
      </c>
      <c r="G12" s="2">
        <v>500</v>
      </c>
      <c r="H12">
        <v>20</v>
      </c>
      <c r="I12" t="s">
        <v>212</v>
      </c>
    </row>
    <row r="13" spans="1:23" x14ac:dyDescent="0.25">
      <c r="A13">
        <f t="shared" si="0"/>
        <v>12</v>
      </c>
      <c r="C13" s="1" t="s">
        <v>28</v>
      </c>
      <c r="D13" s="2">
        <f t="shared" si="1"/>
        <v>-1</v>
      </c>
      <c r="E13" s="2" t="s">
        <v>32</v>
      </c>
      <c r="F13" s="26">
        <v>6</v>
      </c>
      <c r="G13" s="2">
        <v>500</v>
      </c>
      <c r="H13">
        <v>20</v>
      </c>
      <c r="I13" t="s">
        <v>208</v>
      </c>
    </row>
    <row r="14" spans="1:23" x14ac:dyDescent="0.25">
      <c r="A14" s="3">
        <f t="shared" si="0"/>
        <v>13</v>
      </c>
      <c r="B14" s="4">
        <v>945</v>
      </c>
      <c r="C14" s="5" t="s">
        <v>29</v>
      </c>
      <c r="D14" s="4">
        <f t="shared" si="1"/>
        <v>1</v>
      </c>
      <c r="E14" s="4" t="s">
        <v>31</v>
      </c>
      <c r="F14" s="24">
        <v>6</v>
      </c>
      <c r="G14" s="4">
        <v>500</v>
      </c>
      <c r="H14" s="3">
        <v>20</v>
      </c>
      <c r="I14" s="13" t="s">
        <v>222</v>
      </c>
      <c r="J14" s="3"/>
      <c r="K14" s="3"/>
      <c r="L14" s="3"/>
      <c r="M14" s="3"/>
      <c r="N14" s="3"/>
      <c r="O14" s="3"/>
      <c r="P14" s="3"/>
      <c r="Q14" s="3"/>
      <c r="R14" s="3" t="s">
        <v>214</v>
      </c>
      <c r="S14" s="3"/>
      <c r="T14" s="3"/>
      <c r="U14" s="3"/>
      <c r="V14" s="3"/>
      <c r="W14" s="3"/>
    </row>
    <row r="15" spans="1:23" x14ac:dyDescent="0.25">
      <c r="A15">
        <f t="shared" si="0"/>
        <v>14</v>
      </c>
      <c r="C15" s="1" t="s">
        <v>15</v>
      </c>
      <c r="D15" s="2">
        <f t="shared" si="1"/>
        <v>0</v>
      </c>
      <c r="E15" s="2" t="s">
        <v>33</v>
      </c>
      <c r="F15" s="26">
        <v>4</v>
      </c>
      <c r="G15" s="2">
        <v>500</v>
      </c>
      <c r="H15">
        <v>20</v>
      </c>
    </row>
    <row r="16" spans="1:23" x14ac:dyDescent="0.25">
      <c r="A16">
        <f t="shared" si="0"/>
        <v>15</v>
      </c>
      <c r="B16" s="2">
        <v>947</v>
      </c>
      <c r="C16" s="1" t="s">
        <v>34</v>
      </c>
      <c r="D16" s="2">
        <f t="shared" si="1"/>
        <v>1</v>
      </c>
      <c r="E16" s="2" t="s">
        <v>31</v>
      </c>
      <c r="F16" s="26">
        <v>4</v>
      </c>
      <c r="G16" s="2">
        <v>500</v>
      </c>
      <c r="H16">
        <v>20</v>
      </c>
      <c r="I16" s="14" t="s">
        <v>209</v>
      </c>
    </row>
    <row r="17" spans="1:23" x14ac:dyDescent="0.25">
      <c r="A17">
        <f t="shared" si="0"/>
        <v>16</v>
      </c>
      <c r="C17" s="1" t="s">
        <v>35</v>
      </c>
      <c r="D17" s="2">
        <f t="shared" si="1"/>
        <v>-1</v>
      </c>
      <c r="E17" s="2" t="s">
        <v>32</v>
      </c>
      <c r="F17" s="26">
        <v>4</v>
      </c>
      <c r="G17" s="2">
        <v>500</v>
      </c>
      <c r="H17">
        <v>20</v>
      </c>
      <c r="I17" t="s">
        <v>208</v>
      </c>
    </row>
    <row r="18" spans="1:23" x14ac:dyDescent="0.25">
      <c r="A18">
        <f t="shared" si="0"/>
        <v>17</v>
      </c>
      <c r="C18" s="1" t="s">
        <v>36</v>
      </c>
      <c r="D18" s="2">
        <f t="shared" si="1"/>
        <v>-1</v>
      </c>
      <c r="E18" s="2" t="s">
        <v>32</v>
      </c>
      <c r="F18" s="26">
        <v>4</v>
      </c>
      <c r="G18" s="2">
        <v>500</v>
      </c>
      <c r="H18">
        <v>20</v>
      </c>
      <c r="I18" t="s">
        <v>208</v>
      </c>
    </row>
    <row r="19" spans="1:23" x14ac:dyDescent="0.25">
      <c r="A19">
        <f t="shared" si="0"/>
        <v>18</v>
      </c>
      <c r="B19" s="2">
        <v>937</v>
      </c>
      <c r="C19" s="1" t="s">
        <v>37</v>
      </c>
      <c r="D19" s="2">
        <f t="shared" si="1"/>
        <v>1</v>
      </c>
      <c r="E19" s="2" t="s">
        <v>31</v>
      </c>
      <c r="F19" s="26">
        <v>4</v>
      </c>
      <c r="G19" s="2">
        <v>500</v>
      </c>
      <c r="H19">
        <v>20</v>
      </c>
      <c r="I19" s="14" t="s">
        <v>211</v>
      </c>
      <c r="R19" t="str">
        <f>ROUND(5280/3/60/60,2) &amp;"hr"</f>
        <v>0.49hr</v>
      </c>
    </row>
    <row r="20" spans="1:23" x14ac:dyDescent="0.25">
      <c r="A20">
        <f t="shared" si="0"/>
        <v>19</v>
      </c>
      <c r="C20" s="1" t="s">
        <v>89</v>
      </c>
      <c r="D20" s="2">
        <f t="shared" si="1"/>
        <v>-1</v>
      </c>
      <c r="E20" s="2" t="s">
        <v>32</v>
      </c>
      <c r="F20" s="26">
        <v>4</v>
      </c>
      <c r="G20" s="2">
        <v>500</v>
      </c>
      <c r="H20">
        <v>20</v>
      </c>
      <c r="I20" t="s">
        <v>208</v>
      </c>
    </row>
    <row r="21" spans="1:23" x14ac:dyDescent="0.25">
      <c r="A21" s="3">
        <f t="shared" si="0"/>
        <v>20</v>
      </c>
      <c r="B21" s="4"/>
      <c r="C21" s="5" t="s">
        <v>38</v>
      </c>
      <c r="D21" s="4">
        <f t="shared" si="1"/>
        <v>-1</v>
      </c>
      <c r="E21" s="4" t="s">
        <v>32</v>
      </c>
      <c r="F21" s="24">
        <v>4</v>
      </c>
      <c r="G21" s="4">
        <v>500</v>
      </c>
      <c r="H21" s="3">
        <v>20</v>
      </c>
      <c r="I21" s="13" t="s">
        <v>208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>
        <f t="shared" si="0"/>
        <v>21</v>
      </c>
      <c r="C22" s="1" t="s">
        <v>16</v>
      </c>
      <c r="D22" s="2">
        <f t="shared" si="1"/>
        <v>0</v>
      </c>
      <c r="E22" s="2" t="s">
        <v>33</v>
      </c>
      <c r="F22" s="26">
        <v>4</v>
      </c>
      <c r="G22" s="2">
        <v>500</v>
      </c>
      <c r="H22">
        <v>20</v>
      </c>
    </row>
    <row r="23" spans="1:23" x14ac:dyDescent="0.25">
      <c r="A23">
        <f t="shared" si="0"/>
        <v>22</v>
      </c>
      <c r="C23" s="1" t="s">
        <v>43</v>
      </c>
      <c r="D23" s="2">
        <f t="shared" si="1"/>
        <v>-1</v>
      </c>
      <c r="E23" s="2" t="s">
        <v>32</v>
      </c>
      <c r="F23" s="26">
        <v>4</v>
      </c>
      <c r="G23" s="2">
        <v>500</v>
      </c>
      <c r="H23">
        <v>20</v>
      </c>
      <c r="I23" t="s">
        <v>208</v>
      </c>
    </row>
    <row r="24" spans="1:23" x14ac:dyDescent="0.25">
      <c r="A24">
        <f t="shared" si="0"/>
        <v>23</v>
      </c>
      <c r="B24" s="2">
        <v>1024</v>
      </c>
      <c r="C24" s="1" t="s">
        <v>44</v>
      </c>
      <c r="D24" s="2">
        <f t="shared" si="1"/>
        <v>1</v>
      </c>
      <c r="E24" s="2" t="s">
        <v>31</v>
      </c>
      <c r="F24" s="26">
        <v>4</v>
      </c>
      <c r="G24" s="2">
        <v>500</v>
      </c>
      <c r="H24">
        <v>20</v>
      </c>
      <c r="I24" s="14" t="s">
        <v>210</v>
      </c>
      <c r="R24" t="str">
        <f>ROUND(2.5*5280/3/60/60,1) &amp;"hr maybe stub"</f>
        <v>1.2hr maybe stub</v>
      </c>
    </row>
    <row r="25" spans="1:23" x14ac:dyDescent="0.25">
      <c r="A25" s="3">
        <f t="shared" si="0"/>
        <v>24</v>
      </c>
      <c r="B25" s="4"/>
      <c r="C25" s="5" t="s">
        <v>20</v>
      </c>
      <c r="D25" s="4">
        <f t="shared" si="1"/>
        <v>-1</v>
      </c>
      <c r="E25" s="4" t="s">
        <v>32</v>
      </c>
      <c r="F25" s="24">
        <v>4</v>
      </c>
      <c r="G25" s="4">
        <v>500</v>
      </c>
      <c r="H25" s="3">
        <v>20</v>
      </c>
      <c r="I25" s="13" t="s">
        <v>208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>
        <f t="shared" si="0"/>
        <v>25</v>
      </c>
      <c r="C26" s="1" t="s">
        <v>17</v>
      </c>
      <c r="D26" s="2">
        <f t="shared" si="1"/>
        <v>0</v>
      </c>
      <c r="E26" s="2" t="s">
        <v>33</v>
      </c>
      <c r="F26" s="26">
        <v>4</v>
      </c>
      <c r="G26" s="2">
        <v>500</v>
      </c>
      <c r="H26">
        <v>20</v>
      </c>
    </row>
    <row r="27" spans="1:23" x14ac:dyDescent="0.25">
      <c r="A27">
        <f t="shared" si="0"/>
        <v>26</v>
      </c>
      <c r="C27" s="1" t="s">
        <v>46</v>
      </c>
      <c r="D27" s="2">
        <f t="shared" si="1"/>
        <v>-1</v>
      </c>
      <c r="E27" s="2" t="s">
        <v>32</v>
      </c>
      <c r="F27" s="26">
        <v>4</v>
      </c>
      <c r="G27" s="2">
        <v>500</v>
      </c>
      <c r="H27">
        <v>20</v>
      </c>
      <c r="I27" s="14" t="s">
        <v>208</v>
      </c>
    </row>
    <row r="28" spans="1:23" x14ac:dyDescent="0.25">
      <c r="A28">
        <f t="shared" si="0"/>
        <v>27</v>
      </c>
      <c r="C28" s="1" t="s">
        <v>47</v>
      </c>
      <c r="D28" s="2">
        <f t="shared" si="1"/>
        <v>-1</v>
      </c>
      <c r="E28" s="1" t="s">
        <v>32</v>
      </c>
      <c r="F28" s="26">
        <v>4</v>
      </c>
      <c r="G28" s="2">
        <v>500</v>
      </c>
      <c r="H28">
        <v>20</v>
      </c>
      <c r="I28" s="14" t="s">
        <v>208</v>
      </c>
    </row>
    <row r="29" spans="1:23" x14ac:dyDescent="0.25">
      <c r="A29">
        <f t="shared" si="0"/>
        <v>28</v>
      </c>
      <c r="C29" s="1" t="s">
        <v>48</v>
      </c>
      <c r="D29" s="2">
        <f t="shared" si="1"/>
        <v>-1</v>
      </c>
      <c r="E29" s="1" t="s">
        <v>32</v>
      </c>
      <c r="F29" s="26">
        <v>4</v>
      </c>
      <c r="G29" s="2">
        <v>500</v>
      </c>
      <c r="H29">
        <v>20</v>
      </c>
      <c r="I29" s="14" t="s">
        <v>208</v>
      </c>
    </row>
    <row r="30" spans="1:23" x14ac:dyDescent="0.25">
      <c r="A30">
        <f t="shared" si="0"/>
        <v>29</v>
      </c>
      <c r="B30" s="2">
        <v>6386</v>
      </c>
      <c r="C30" s="1" t="s">
        <v>21</v>
      </c>
      <c r="D30" s="2">
        <f t="shared" si="1"/>
        <v>1</v>
      </c>
      <c r="E30" s="1" t="s">
        <v>31</v>
      </c>
      <c r="F30" s="26">
        <v>4</v>
      </c>
      <c r="G30" s="2">
        <v>500</v>
      </c>
      <c r="H30">
        <v>20</v>
      </c>
      <c r="I30" s="14" t="s">
        <v>213</v>
      </c>
      <c r="R30" t="s">
        <v>217</v>
      </c>
    </row>
    <row r="31" spans="1:23" x14ac:dyDescent="0.25">
      <c r="A31" s="3">
        <f t="shared" si="0"/>
        <v>30</v>
      </c>
      <c r="B31" s="4">
        <v>6387</v>
      </c>
      <c r="C31" s="5" t="s">
        <v>66</v>
      </c>
      <c r="D31" s="4">
        <f t="shared" si="1"/>
        <v>1</v>
      </c>
      <c r="E31" s="5" t="s">
        <v>31</v>
      </c>
      <c r="F31" s="24">
        <v>4</v>
      </c>
      <c r="G31" s="4">
        <v>500</v>
      </c>
      <c r="H31" s="3">
        <v>20</v>
      </c>
      <c r="I31" s="13" t="s">
        <v>215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>
        <f t="shared" si="0"/>
        <v>31</v>
      </c>
      <c r="C32" t="s">
        <v>54</v>
      </c>
      <c r="D32" s="2">
        <f t="shared" si="1"/>
        <v>0</v>
      </c>
      <c r="E32" s="2" t="s">
        <v>33</v>
      </c>
      <c r="F32" s="26">
        <v>3.5</v>
      </c>
      <c r="G32" s="2">
        <v>500</v>
      </c>
      <c r="H32">
        <v>20</v>
      </c>
    </row>
    <row r="33" spans="1:23" x14ac:dyDescent="0.25">
      <c r="A33">
        <f t="shared" si="0"/>
        <v>32</v>
      </c>
      <c r="B33" s="2">
        <v>1007</v>
      </c>
      <c r="C33" t="s">
        <v>55</v>
      </c>
      <c r="D33" s="2">
        <f t="shared" si="1"/>
        <v>1</v>
      </c>
      <c r="E33" s="2" t="s">
        <v>31</v>
      </c>
      <c r="F33" s="26">
        <v>3.5</v>
      </c>
      <c r="G33" s="2">
        <v>500</v>
      </c>
      <c r="H33">
        <v>20</v>
      </c>
      <c r="I33" s="14" t="s">
        <v>199</v>
      </c>
    </row>
    <row r="34" spans="1:23" x14ac:dyDescent="0.25">
      <c r="A34">
        <f t="shared" si="0"/>
        <v>33</v>
      </c>
      <c r="B34" s="2">
        <v>6388</v>
      </c>
      <c r="C34" s="1" t="s">
        <v>97</v>
      </c>
      <c r="D34" s="2">
        <f t="shared" si="1"/>
        <v>1</v>
      </c>
      <c r="E34" s="2" t="s">
        <v>31</v>
      </c>
      <c r="F34" s="26">
        <v>3.5</v>
      </c>
      <c r="G34" s="2">
        <v>500</v>
      </c>
      <c r="H34">
        <v>20</v>
      </c>
      <c r="I34" s="14" t="s">
        <v>216</v>
      </c>
    </row>
    <row r="35" spans="1:23" x14ac:dyDescent="0.25">
      <c r="A35">
        <f t="shared" si="0"/>
        <v>34</v>
      </c>
      <c r="C35" s="1" t="s">
        <v>56</v>
      </c>
      <c r="D35" s="2">
        <f t="shared" si="1"/>
        <v>-1</v>
      </c>
      <c r="E35" s="2" t="s">
        <v>32</v>
      </c>
      <c r="F35" s="26">
        <v>3.5</v>
      </c>
      <c r="G35" s="2">
        <v>500</v>
      </c>
      <c r="H35">
        <v>20</v>
      </c>
      <c r="I35" s="14" t="s">
        <v>208</v>
      </c>
    </row>
    <row r="36" spans="1:23" x14ac:dyDescent="0.25">
      <c r="A36" s="3">
        <f t="shared" si="0"/>
        <v>35</v>
      </c>
      <c r="B36" s="4">
        <v>1005</v>
      </c>
      <c r="C36" s="5" t="s">
        <v>100</v>
      </c>
      <c r="D36" s="4">
        <f t="shared" si="1"/>
        <v>1</v>
      </c>
      <c r="E36" s="5" t="s">
        <v>31</v>
      </c>
      <c r="F36" s="24">
        <v>3.5</v>
      </c>
      <c r="G36" s="4">
        <v>500</v>
      </c>
      <c r="H36" s="3">
        <v>20</v>
      </c>
      <c r="I36" s="13" t="s">
        <v>200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>
        <f t="shared" si="0"/>
        <v>36</v>
      </c>
      <c r="C37" s="1" t="s">
        <v>18</v>
      </c>
      <c r="D37" s="2">
        <f t="shared" si="1"/>
        <v>0</v>
      </c>
      <c r="E37" s="2" t="s">
        <v>33</v>
      </c>
      <c r="F37" s="26">
        <v>3</v>
      </c>
      <c r="G37" s="2">
        <v>500</v>
      </c>
      <c r="H37">
        <v>30</v>
      </c>
    </row>
    <row r="38" spans="1:23" x14ac:dyDescent="0.25">
      <c r="A38">
        <f t="shared" si="0"/>
        <v>37</v>
      </c>
      <c r="B38" s="2">
        <v>913</v>
      </c>
      <c r="C38" s="1" t="s">
        <v>59</v>
      </c>
      <c r="D38" s="2">
        <f t="shared" si="1"/>
        <v>1</v>
      </c>
      <c r="E38" s="2" t="s">
        <v>31</v>
      </c>
      <c r="F38" s="26">
        <v>3</v>
      </c>
      <c r="G38" s="2">
        <v>500</v>
      </c>
      <c r="H38">
        <v>40</v>
      </c>
      <c r="I38" s="14" t="s">
        <v>218</v>
      </c>
    </row>
    <row r="39" spans="1:23" x14ac:dyDescent="0.25">
      <c r="A39">
        <f t="shared" si="0"/>
        <v>38</v>
      </c>
      <c r="C39" s="1" t="s">
        <v>60</v>
      </c>
      <c r="D39" s="2">
        <f t="shared" si="1"/>
        <v>-1</v>
      </c>
      <c r="E39" s="1" t="s">
        <v>32</v>
      </c>
      <c r="F39" s="26">
        <v>3</v>
      </c>
      <c r="G39" s="2">
        <v>500</v>
      </c>
      <c r="H39">
        <v>30</v>
      </c>
      <c r="I39" s="14" t="s">
        <v>208</v>
      </c>
    </row>
    <row r="40" spans="1:23" x14ac:dyDescent="0.25">
      <c r="A40" s="3">
        <f t="shared" si="0"/>
        <v>39</v>
      </c>
      <c r="B40" s="4">
        <v>1010</v>
      </c>
      <c r="C40" s="5" t="s">
        <v>61</v>
      </c>
      <c r="D40" s="4">
        <f t="shared" si="1"/>
        <v>1</v>
      </c>
      <c r="E40" s="4" t="s">
        <v>31</v>
      </c>
      <c r="F40" s="24">
        <v>3</v>
      </c>
      <c r="G40" s="4">
        <v>500</v>
      </c>
      <c r="H40" s="3">
        <v>25</v>
      </c>
      <c r="I40" s="13" t="s">
        <v>219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>
        <f t="shared" si="0"/>
        <v>40</v>
      </c>
      <c r="C41" s="1" t="s">
        <v>19</v>
      </c>
      <c r="D41" s="2">
        <f t="shared" si="1"/>
        <v>0</v>
      </c>
      <c r="E41" s="2" t="s">
        <v>33</v>
      </c>
      <c r="F41" s="26">
        <v>3</v>
      </c>
      <c r="G41" s="2">
        <v>500</v>
      </c>
      <c r="H41">
        <v>25</v>
      </c>
    </row>
    <row r="42" spans="1:23" x14ac:dyDescent="0.25">
      <c r="A42">
        <f t="shared" si="0"/>
        <v>41</v>
      </c>
      <c r="B42" s="2">
        <v>1011</v>
      </c>
      <c r="C42" s="1" t="s">
        <v>64</v>
      </c>
      <c r="D42" s="2">
        <f>IF(E42="Inflow",1,IF(E42="Outflow",-1,IF(E42="Gage",0,IF(E42="Top",0,""))))</f>
        <v>1</v>
      </c>
      <c r="E42" s="2" t="s">
        <v>31</v>
      </c>
      <c r="F42" s="26">
        <v>3</v>
      </c>
      <c r="G42" s="2">
        <v>500</v>
      </c>
      <c r="H42">
        <v>25</v>
      </c>
      <c r="I42" s="14" t="s">
        <v>220</v>
      </c>
      <c r="R42" t="s">
        <v>221</v>
      </c>
    </row>
    <row r="43" spans="1:23" x14ac:dyDescent="0.25">
      <c r="A43">
        <f t="shared" si="0"/>
        <v>42</v>
      </c>
      <c r="B43" s="2">
        <v>1013</v>
      </c>
      <c r="C43" s="1" t="s">
        <v>247</v>
      </c>
      <c r="D43" s="2">
        <f>IF(E43="Inflow",1,IF(E43="Outflow",-1,IF(E43="Gage",0,IF(E43="Top",0,""))))</f>
        <v>1</v>
      </c>
      <c r="E43" s="2" t="s">
        <v>31</v>
      </c>
      <c r="F43" s="26">
        <v>3</v>
      </c>
      <c r="G43" s="2">
        <v>500</v>
      </c>
      <c r="H43">
        <v>25</v>
      </c>
    </row>
    <row r="44" spans="1:23" x14ac:dyDescent="0.25">
      <c r="A44">
        <f t="shared" si="0"/>
        <v>43</v>
      </c>
      <c r="B44" s="2">
        <v>1017</v>
      </c>
      <c r="C44" s="1" t="s">
        <v>274</v>
      </c>
      <c r="D44" s="2">
        <f>IF(E44="Inflow",1,IF(E44="Outflow",-1,IF(E44="Gage",0,IF(E44="Top",0,""))))</f>
        <v>1</v>
      </c>
      <c r="E44" s="2" t="s">
        <v>31</v>
      </c>
      <c r="F44" s="26">
        <v>3</v>
      </c>
      <c r="G44" s="2">
        <v>500</v>
      </c>
      <c r="H44">
        <v>25</v>
      </c>
    </row>
    <row r="45" spans="1:23" ht="15.75" thickBot="1" x14ac:dyDescent="0.3">
      <c r="A45" s="6"/>
      <c r="B45" s="7"/>
      <c r="C45" s="21" t="s">
        <v>160</v>
      </c>
      <c r="D45" s="7"/>
      <c r="E45" s="7"/>
      <c r="F45" s="27"/>
      <c r="G45" s="7"/>
      <c r="H45" s="6"/>
      <c r="I45" s="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49">
        <v>1</v>
      </c>
      <c r="B46" s="50"/>
      <c r="C46" s="51" t="s">
        <v>192</v>
      </c>
      <c r="D46" s="50">
        <f>IF(E46="Inflow",1,IF(E46="Outflow",-1,IF(E46="Gage",0,IF(E46="Top",0,""))))</f>
        <v>0</v>
      </c>
      <c r="E46" s="50" t="s">
        <v>233</v>
      </c>
      <c r="F46" s="52">
        <v>1</v>
      </c>
      <c r="G46" s="50">
        <v>500</v>
      </c>
      <c r="H46" s="49">
        <v>50</v>
      </c>
      <c r="I46" s="55" t="s">
        <v>197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 x14ac:dyDescent="0.25">
      <c r="A47" s="15">
        <v>2</v>
      </c>
      <c r="B47" s="16"/>
      <c r="C47" s="17" t="s">
        <v>193</v>
      </c>
      <c r="D47" s="16">
        <f>IF(E47="Inflow",1,IF(E47="Outflow",-1,IF(E47="Gage",0,IF(E47="Top",0,""))))</f>
        <v>0</v>
      </c>
      <c r="E47" s="16" t="s">
        <v>33</v>
      </c>
      <c r="F47" s="25">
        <v>1</v>
      </c>
      <c r="G47" s="16">
        <v>500</v>
      </c>
      <c r="H47" s="15">
        <v>50</v>
      </c>
      <c r="I47" s="18" t="s">
        <v>198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thickBot="1" x14ac:dyDescent="0.3">
      <c r="A48" s="6"/>
      <c r="B48" s="7">
        <v>1007</v>
      </c>
      <c r="C48" s="7" t="s">
        <v>194</v>
      </c>
      <c r="D48" s="7"/>
      <c r="E48" s="7"/>
      <c r="F48" s="27"/>
      <c r="G48" s="7"/>
      <c r="H48" s="6"/>
      <c r="I48" s="2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49">
        <v>1</v>
      </c>
      <c r="B49" s="50"/>
      <c r="C49" s="50" t="s">
        <v>99</v>
      </c>
      <c r="D49" s="50">
        <f>IF(E49="Inflow",1,IF(E49="Outflow",-1,IF(E49="Gage",0,IF(E49="Top",0,""))))</f>
        <v>0</v>
      </c>
      <c r="E49" s="50" t="s">
        <v>233</v>
      </c>
      <c r="F49" s="52">
        <v>1</v>
      </c>
      <c r="G49" s="50">
        <v>500</v>
      </c>
      <c r="H49" s="49">
        <v>50</v>
      </c>
      <c r="I49" s="55" t="s">
        <v>202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 x14ac:dyDescent="0.25">
      <c r="A50" s="15">
        <v>2</v>
      </c>
      <c r="B50" s="16"/>
      <c r="C50" s="17" t="s">
        <v>101</v>
      </c>
      <c r="D50" s="16">
        <f>IF(E50="Inflow",1,IF(E50="Outflow",-1,IF(E50="Gage",0,IF(E50="Top",0,""))))</f>
        <v>0</v>
      </c>
      <c r="E50" s="16" t="s">
        <v>33</v>
      </c>
      <c r="F50" s="25">
        <v>1</v>
      </c>
      <c r="G50" s="16">
        <v>500</v>
      </c>
      <c r="H50" s="15">
        <v>50</v>
      </c>
      <c r="I50" s="18" t="s">
        <v>198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x14ac:dyDescent="0.25">
      <c r="A51" s="6">
        <v>3</v>
      </c>
      <c r="B51" s="7"/>
      <c r="C51" s="21" t="s">
        <v>102</v>
      </c>
      <c r="D51" s="7">
        <f>IF(E51="Inflow",1,IF(E51="Outflow",-1,IF(E51="Gage",0,IF(E51="Top",0,""))))</f>
        <v>-1</v>
      </c>
      <c r="E51" s="7" t="s">
        <v>32</v>
      </c>
      <c r="F51" s="27">
        <v>1</v>
      </c>
      <c r="G51" s="7">
        <v>500</v>
      </c>
      <c r="H51" s="6">
        <v>50</v>
      </c>
      <c r="I51" s="2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thickBot="1" x14ac:dyDescent="0.3">
      <c r="A52" s="6"/>
      <c r="B52" s="7">
        <v>1005</v>
      </c>
      <c r="C52" s="7" t="s">
        <v>201</v>
      </c>
      <c r="D52" s="7"/>
      <c r="E52" s="7"/>
      <c r="F52" s="27"/>
      <c r="G52" s="7"/>
      <c r="H52" s="6"/>
      <c r="I52" s="2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49">
        <v>1</v>
      </c>
      <c r="B53" s="50">
        <v>6392</v>
      </c>
      <c r="C53" s="50" t="s">
        <v>258</v>
      </c>
      <c r="D53" s="50">
        <f>IF(E53="Inflow",1,IF(E53="Outflow",-1,IF(E53="Gage",0,IF(E53="Top",0,""))))</f>
        <v>0</v>
      </c>
      <c r="E53" s="50" t="s">
        <v>233</v>
      </c>
      <c r="F53" s="52">
        <v>1</v>
      </c>
      <c r="G53" s="50">
        <v>500</v>
      </c>
      <c r="H53" s="49">
        <v>50</v>
      </c>
      <c r="I53" s="55" t="s">
        <v>266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23" x14ac:dyDescent="0.25">
      <c r="A54" s="15">
        <v>2</v>
      </c>
      <c r="B54" s="16"/>
      <c r="C54" s="17" t="s">
        <v>260</v>
      </c>
      <c r="D54" s="16">
        <f>IF(E54="Inflow",1,IF(E54="Outflow",-1,IF(E54="Gage",0,IF(E54="Top",0,""))))</f>
        <v>0</v>
      </c>
      <c r="E54" s="16" t="s">
        <v>33</v>
      </c>
      <c r="F54" s="25">
        <v>1</v>
      </c>
      <c r="G54" s="16">
        <v>500</v>
      </c>
      <c r="H54" s="15">
        <v>50</v>
      </c>
      <c r="I54" s="18" t="s">
        <v>198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x14ac:dyDescent="0.25">
      <c r="A55" s="6">
        <v>3</v>
      </c>
      <c r="B55" s="7"/>
      <c r="C55" s="21" t="s">
        <v>262</v>
      </c>
      <c r="D55" s="7">
        <f>IF(E55="Inflow",1,IF(E55="Outflow",-1,IF(E55="Gage",0,IF(E55="Top",0,""))))</f>
        <v>-1</v>
      </c>
      <c r="E55" s="7" t="s">
        <v>32</v>
      </c>
      <c r="F55" s="27">
        <v>1</v>
      </c>
      <c r="G55" s="7">
        <v>500</v>
      </c>
      <c r="H55" s="6">
        <v>50</v>
      </c>
      <c r="I55" s="2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thickBot="1" x14ac:dyDescent="0.3">
      <c r="A56" s="6"/>
      <c r="B56" s="7">
        <v>1010</v>
      </c>
      <c r="C56" s="7" t="s">
        <v>261</v>
      </c>
      <c r="D56" s="7"/>
      <c r="E56" s="7"/>
      <c r="F56" s="27"/>
      <c r="G56" s="7"/>
      <c r="H56" s="6"/>
      <c r="I56" s="2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41">
        <v>1</v>
      </c>
      <c r="B57" s="42"/>
      <c r="C57" s="44" t="s">
        <v>267</v>
      </c>
      <c r="D57" s="42">
        <f>IF(E57="Inflow",1,IF(E57="Outflow",-1,IF(E57="Gage",0,IF(E57="Top",0,""))))</f>
        <v>0</v>
      </c>
      <c r="E57" s="42" t="s">
        <v>33</v>
      </c>
      <c r="F57" s="43">
        <v>1</v>
      </c>
      <c r="G57" s="42">
        <v>500</v>
      </c>
      <c r="H57" s="41">
        <v>50</v>
      </c>
      <c r="I57" s="45" t="s">
        <v>198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 spans="1:23" x14ac:dyDescent="0.25">
      <c r="A58" s="6">
        <v>2</v>
      </c>
      <c r="B58" s="7">
        <v>6394</v>
      </c>
      <c r="C58" s="21" t="s">
        <v>264</v>
      </c>
      <c r="D58" s="7">
        <f>IF(E58="Inflow",1,IF(E58="Outflow",-1,IF(E58="Gage",0,IF(E58="Top",0,""))))</f>
        <v>1</v>
      </c>
      <c r="E58" s="7" t="s">
        <v>31</v>
      </c>
      <c r="F58" s="27">
        <v>1</v>
      </c>
      <c r="G58" s="7">
        <v>500</v>
      </c>
      <c r="H58" s="6">
        <v>50</v>
      </c>
      <c r="I58" s="2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6">
        <v>3</v>
      </c>
      <c r="B59" s="7">
        <v>6393</v>
      </c>
      <c r="C59" s="21" t="s">
        <v>268</v>
      </c>
      <c r="D59" s="7">
        <f>IF(E59="Inflow",1,IF(E59="Outflow",-1,IF(E59="Gage",0,IF(E59="Top",0,""))))</f>
        <v>1</v>
      </c>
      <c r="E59" s="7" t="s">
        <v>31</v>
      </c>
      <c r="F59" s="27">
        <v>1</v>
      </c>
      <c r="G59" s="7">
        <v>500</v>
      </c>
      <c r="H59" s="6">
        <v>50</v>
      </c>
      <c r="I59" s="2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thickBot="1" x14ac:dyDescent="0.3">
      <c r="A60" s="6"/>
      <c r="B60" s="7">
        <v>1013</v>
      </c>
      <c r="C60" s="7" t="s">
        <v>270</v>
      </c>
      <c r="D60" s="7"/>
      <c r="E60" s="7"/>
      <c r="F60" s="27"/>
      <c r="G60" s="7"/>
      <c r="H60" s="6"/>
      <c r="I60" s="2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41">
        <v>1</v>
      </c>
      <c r="B61" s="42"/>
      <c r="C61" s="42" t="s">
        <v>107</v>
      </c>
      <c r="D61" s="42">
        <f>IF(E61="Inflow",1,IF(E61="Outflow",-1,IF(E61="Gage",0,IF(E61="Top",0,""))))</f>
        <v>1</v>
      </c>
      <c r="E61" s="42" t="s">
        <v>31</v>
      </c>
      <c r="F61" s="43">
        <v>1</v>
      </c>
      <c r="G61" s="42">
        <v>500</v>
      </c>
      <c r="H61" s="41">
        <v>50</v>
      </c>
      <c r="I61" s="45" t="s">
        <v>241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1:23" x14ac:dyDescent="0.25">
      <c r="A62" s="6">
        <v>2</v>
      </c>
      <c r="B62" s="7"/>
      <c r="C62" s="7" t="s">
        <v>109</v>
      </c>
      <c r="D62" s="7">
        <f>IF(E62="Inflow",1,IF(E62="Outflow",-1,IF(E62="Gage",0,IF(E62="Top",0,""))))</f>
        <v>0</v>
      </c>
      <c r="E62" s="7" t="s">
        <v>33</v>
      </c>
      <c r="F62" s="27">
        <v>1</v>
      </c>
      <c r="G62" s="7">
        <v>500</v>
      </c>
      <c r="H62" s="6">
        <v>50</v>
      </c>
      <c r="I62" s="2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thickBot="1" x14ac:dyDescent="0.3">
      <c r="A63" s="33"/>
      <c r="B63" s="34">
        <v>1418</v>
      </c>
      <c r="C63" s="34" t="s">
        <v>130</v>
      </c>
      <c r="D63" s="38"/>
      <c r="E63" s="34"/>
      <c r="F63" s="46"/>
      <c r="G63" s="47"/>
      <c r="H63" s="38"/>
      <c r="I63" s="38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</row>
    <row r="64" spans="1:23" x14ac:dyDescent="0.25">
      <c r="A64" s="6">
        <v>1</v>
      </c>
      <c r="B64" s="7"/>
      <c r="C64" s="7" t="s">
        <v>111</v>
      </c>
      <c r="D64" s="7">
        <f>IF(E64="Inflow",1,IF(E64="Outflow",-1,IF(E64="Gage",0,IF(E64="Top",0,""))))</f>
        <v>1</v>
      </c>
      <c r="E64" s="2" t="s">
        <v>31</v>
      </c>
      <c r="F64" s="27">
        <v>1</v>
      </c>
      <c r="G64" s="7">
        <v>500</v>
      </c>
      <c r="H64" s="6">
        <v>50</v>
      </c>
      <c r="I64" s="2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6">
        <f>A64+1</f>
        <v>2</v>
      </c>
      <c r="B65" s="7"/>
      <c r="C65" s="7" t="s">
        <v>112</v>
      </c>
      <c r="D65" s="7">
        <f>IF(E65="Inflow",1,IF(E65="Outflow",-1,IF(E65="Gage",0,IF(E65="Top",0,""))))</f>
        <v>-1</v>
      </c>
      <c r="E65" s="7" t="s">
        <v>32</v>
      </c>
      <c r="F65" s="27">
        <v>1</v>
      </c>
      <c r="G65" s="7">
        <v>500</v>
      </c>
      <c r="H65" s="6">
        <v>50</v>
      </c>
      <c r="I65" s="2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6">
        <f>A65+1</f>
        <v>3</v>
      </c>
      <c r="B66" s="7"/>
      <c r="C66" s="7" t="s">
        <v>113</v>
      </c>
      <c r="D66" s="7">
        <f>IF(E66="Inflow",1,IF(E66="Outflow",-1,IF(E66="Gage",0,IF(E66="Top",0,""))))</f>
        <v>0</v>
      </c>
      <c r="E66" s="7" t="s">
        <v>33</v>
      </c>
      <c r="F66" s="27">
        <v>1</v>
      </c>
      <c r="G66" s="7">
        <v>500</v>
      </c>
      <c r="H66" s="6">
        <v>50</v>
      </c>
      <c r="I66" s="2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thickBot="1" x14ac:dyDescent="0.3">
      <c r="A67" s="33"/>
      <c r="B67" s="34">
        <v>952</v>
      </c>
      <c r="C67" s="33" t="s">
        <v>123</v>
      </c>
      <c r="D67" s="33"/>
      <c r="E67" s="33"/>
      <c r="F67" s="35"/>
      <c r="G67" s="34"/>
      <c r="H67" s="33"/>
      <c r="I67" s="40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 x14ac:dyDescent="0.25">
      <c r="A68" s="6">
        <v>1</v>
      </c>
      <c r="B68" s="7"/>
      <c r="C68" s="6" t="s">
        <v>114</v>
      </c>
      <c r="D68" s="6">
        <f>IF(E68="Inflow",1,IF(E68="Outflow",-1,IF(E68="Gage",0,IF(E68="Top",0,""))))</f>
        <v>0</v>
      </c>
      <c r="E68" s="6" t="s">
        <v>33</v>
      </c>
      <c r="F68" s="27">
        <v>1</v>
      </c>
      <c r="G68" s="7">
        <v>500</v>
      </c>
      <c r="H68" s="6">
        <v>50</v>
      </c>
      <c r="I68" s="2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6">
        <v>2</v>
      </c>
      <c r="B69" s="7">
        <v>1418</v>
      </c>
      <c r="C69" s="6" t="s">
        <v>109</v>
      </c>
      <c r="D69" s="6">
        <f>IF(E69="Inflow",1,IF(E69="Outflow",-1,IF(E69="Gage",0,IF(E69="Top",0,""))))</f>
        <v>1</v>
      </c>
      <c r="E69" s="6" t="s">
        <v>31</v>
      </c>
      <c r="F69" s="27">
        <v>1</v>
      </c>
      <c r="G69" s="7">
        <v>500</v>
      </c>
      <c r="H69" s="6">
        <v>50</v>
      </c>
      <c r="I69" s="2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6">
        <v>3</v>
      </c>
      <c r="B70" s="7"/>
      <c r="C70" s="6" t="s">
        <v>116</v>
      </c>
      <c r="D70" s="6">
        <f>IF(E70="Inflow",1,IF(E70="Outflow",-1,IF(E70="Gage",0,IF(E70="Top",0,""))))</f>
        <v>0</v>
      </c>
      <c r="E70" s="6" t="s">
        <v>33</v>
      </c>
      <c r="F70" s="27">
        <v>1</v>
      </c>
      <c r="G70" s="7">
        <v>500</v>
      </c>
      <c r="H70" s="6">
        <v>50</v>
      </c>
      <c r="I70" s="2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6">
        <v>4</v>
      </c>
      <c r="B71" s="7"/>
      <c r="C71" s="7" t="s">
        <v>119</v>
      </c>
      <c r="D71" s="7">
        <f>IF(E71="Inflow",1,IF(E71="Outflow",-1,IF(E71="Gage",0,IF(E71="Top",0,""))))</f>
        <v>0</v>
      </c>
      <c r="E71" s="7" t="s">
        <v>33</v>
      </c>
      <c r="F71" s="27">
        <v>1</v>
      </c>
      <c r="G71" s="7">
        <v>500</v>
      </c>
      <c r="H71" s="6">
        <v>50</v>
      </c>
      <c r="I71" s="2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.75" thickBot="1" x14ac:dyDescent="0.3">
      <c r="A72" s="33"/>
      <c r="B72" s="34"/>
      <c r="C72" s="33" t="s">
        <v>92</v>
      </c>
      <c r="D72" s="33"/>
      <c r="E72" s="33"/>
      <c r="F72" s="35"/>
      <c r="G72" s="34"/>
      <c r="H72" s="33"/>
      <c r="I72" s="40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spans="1:23" x14ac:dyDescent="0.25">
      <c r="A73">
        <v>1</v>
      </c>
      <c r="C73" t="s">
        <v>160</v>
      </c>
      <c r="D73" s="7">
        <f t="shared" ref="D73:D92" si="2">IF(E73="Inflow",1,IF(E73="Outflow",-1,IF(E73="Gage",0,IF(E73="Top",0,""))))</f>
        <v>0</v>
      </c>
      <c r="E73" t="s">
        <v>233</v>
      </c>
      <c r="F73" s="26">
        <v>1</v>
      </c>
      <c r="G73" s="2">
        <v>500</v>
      </c>
      <c r="H73">
        <v>20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15">
        <v>2</v>
      </c>
      <c r="B74" s="16"/>
      <c r="C74" s="16" t="s">
        <v>159</v>
      </c>
      <c r="D74" s="16">
        <f t="shared" si="2"/>
        <v>0</v>
      </c>
      <c r="E74" s="15" t="s">
        <v>33</v>
      </c>
      <c r="F74" s="25">
        <v>1</v>
      </c>
      <c r="G74" s="16">
        <v>500</v>
      </c>
      <c r="H74" s="15">
        <v>50</v>
      </c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x14ac:dyDescent="0.25">
      <c r="A75" s="6">
        <f t="shared" ref="A75:A92" si="3">A74+1</f>
        <v>3</v>
      </c>
      <c r="B75" s="7"/>
      <c r="C75" s="7" t="s">
        <v>149</v>
      </c>
      <c r="D75" s="7">
        <f t="shared" si="2"/>
        <v>-1</v>
      </c>
      <c r="E75" s="6" t="s">
        <v>32</v>
      </c>
      <c r="F75" s="27">
        <v>1</v>
      </c>
      <c r="G75" s="7">
        <v>500</v>
      </c>
      <c r="H75" s="6">
        <v>50</v>
      </c>
      <c r="I75" s="2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6">
        <f t="shared" si="3"/>
        <v>4</v>
      </c>
      <c r="B76" s="7"/>
      <c r="C76" s="7" t="s">
        <v>148</v>
      </c>
      <c r="D76" s="7">
        <f t="shared" si="2"/>
        <v>-1</v>
      </c>
      <c r="E76" s="6" t="s">
        <v>32</v>
      </c>
      <c r="F76" s="27">
        <v>1</v>
      </c>
      <c r="G76" s="7">
        <v>500</v>
      </c>
      <c r="H76" s="6">
        <v>50</v>
      </c>
      <c r="I76" s="2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6">
        <f t="shared" si="3"/>
        <v>5</v>
      </c>
      <c r="B77" s="61">
        <v>1015</v>
      </c>
      <c r="C77" t="s">
        <v>290</v>
      </c>
      <c r="D77" s="7">
        <f>IF(E77="Inflow",1,IF(E77="Outflow",-1,IF(E77="Gage",0,IF(E77="Top",0,""))))</f>
        <v>1</v>
      </c>
      <c r="E77" t="s">
        <v>31</v>
      </c>
      <c r="F77" s="27">
        <v>1</v>
      </c>
      <c r="G77" s="7">
        <v>500</v>
      </c>
      <c r="H77" s="6">
        <v>50</v>
      </c>
      <c r="I77" s="2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6">
        <f t="shared" si="3"/>
        <v>6</v>
      </c>
      <c r="B78" s="61">
        <v>5986</v>
      </c>
      <c r="C78" t="s">
        <v>289</v>
      </c>
      <c r="D78" s="7">
        <f t="shared" si="2"/>
        <v>1</v>
      </c>
      <c r="E78" t="s">
        <v>31</v>
      </c>
      <c r="F78" s="27">
        <v>1</v>
      </c>
      <c r="G78" s="7">
        <v>500</v>
      </c>
      <c r="H78" s="6">
        <v>50</v>
      </c>
      <c r="I78" s="2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6">
        <f t="shared" si="3"/>
        <v>7</v>
      </c>
      <c r="B79" s="61">
        <v>1018</v>
      </c>
      <c r="C79" t="s">
        <v>288</v>
      </c>
      <c r="D79" s="7">
        <f>IF(E79="Inflow",1,IF(E79="Outflow",-1,IF(E79="Gage",0,IF(E79="Top",0,""))))</f>
        <v>1</v>
      </c>
      <c r="E79" t="s">
        <v>31</v>
      </c>
      <c r="F79" s="27">
        <v>1</v>
      </c>
      <c r="G79" s="7">
        <v>500</v>
      </c>
      <c r="H79" s="6">
        <v>50</v>
      </c>
      <c r="I79" s="2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6">
        <f t="shared" si="3"/>
        <v>8</v>
      </c>
      <c r="B80" s="7"/>
      <c r="C80" s="7" t="s">
        <v>150</v>
      </c>
      <c r="D80" s="7">
        <f t="shared" si="2"/>
        <v>-1</v>
      </c>
      <c r="E80" s="6" t="s">
        <v>32</v>
      </c>
      <c r="F80" s="27">
        <v>1</v>
      </c>
      <c r="G80" s="7">
        <v>500</v>
      </c>
      <c r="H80" s="6">
        <v>50</v>
      </c>
      <c r="I80" s="2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6">
        <f t="shared" si="3"/>
        <v>9</v>
      </c>
      <c r="B81" s="7">
        <v>6259</v>
      </c>
      <c r="C81" s="7" t="s">
        <v>292</v>
      </c>
      <c r="D81" s="7">
        <f t="shared" si="2"/>
        <v>1</v>
      </c>
      <c r="E81" t="s">
        <v>31</v>
      </c>
      <c r="F81" s="27">
        <v>1</v>
      </c>
      <c r="G81" s="7">
        <v>500</v>
      </c>
      <c r="H81" s="6">
        <v>50</v>
      </c>
      <c r="I81" s="2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3">
        <f t="shared" si="3"/>
        <v>10</v>
      </c>
      <c r="B82" s="4"/>
      <c r="C82" s="4" t="s">
        <v>151</v>
      </c>
      <c r="D82" s="4">
        <f t="shared" si="2"/>
        <v>-1</v>
      </c>
      <c r="E82" s="3" t="s">
        <v>32</v>
      </c>
      <c r="F82" s="24">
        <v>1</v>
      </c>
      <c r="G82" s="4">
        <v>500</v>
      </c>
      <c r="H82" s="3">
        <v>50</v>
      </c>
      <c r="I82" s="1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>
        <f t="shared" si="3"/>
        <v>11</v>
      </c>
      <c r="C83" s="2" t="s">
        <v>144</v>
      </c>
      <c r="D83" s="7">
        <f t="shared" si="2"/>
        <v>0</v>
      </c>
      <c r="E83" t="s">
        <v>33</v>
      </c>
      <c r="F83" s="26">
        <v>1</v>
      </c>
      <c r="G83" s="2">
        <v>500</v>
      </c>
      <c r="H83">
        <v>50</v>
      </c>
    </row>
    <row r="84" spans="1:23" x14ac:dyDescent="0.25">
      <c r="A84">
        <f t="shared" si="3"/>
        <v>12</v>
      </c>
      <c r="C84" s="2" t="s">
        <v>152</v>
      </c>
      <c r="D84" s="7">
        <f t="shared" si="2"/>
        <v>-1</v>
      </c>
      <c r="E84" t="s">
        <v>32</v>
      </c>
      <c r="F84" s="26">
        <v>1</v>
      </c>
      <c r="G84" s="2">
        <v>500</v>
      </c>
      <c r="H84">
        <v>50</v>
      </c>
    </row>
    <row r="85" spans="1:23" x14ac:dyDescent="0.25">
      <c r="A85">
        <f t="shared" si="3"/>
        <v>13</v>
      </c>
      <c r="B85" s="2">
        <v>6257</v>
      </c>
      <c r="C85" s="2" t="s">
        <v>295</v>
      </c>
      <c r="D85" s="7">
        <f>IF(E85="Inflow",1,IF(E85="Outflow",-1,IF(E85="Gage",0,IF(E85="Top",0,""))))</f>
        <v>1</v>
      </c>
      <c r="E85" t="s">
        <v>31</v>
      </c>
      <c r="F85" s="26">
        <v>1</v>
      </c>
      <c r="G85" s="2">
        <v>500</v>
      </c>
      <c r="H85">
        <v>50</v>
      </c>
    </row>
    <row r="86" spans="1:23" x14ac:dyDescent="0.25">
      <c r="A86">
        <f t="shared" si="3"/>
        <v>14</v>
      </c>
      <c r="B86" s="2">
        <v>1020</v>
      </c>
      <c r="C86" s="2" t="s">
        <v>145</v>
      </c>
      <c r="D86" s="7">
        <f t="shared" si="2"/>
        <v>1</v>
      </c>
      <c r="E86" t="s">
        <v>31</v>
      </c>
      <c r="F86" s="26">
        <v>1</v>
      </c>
      <c r="G86" s="2">
        <v>500</v>
      </c>
      <c r="H86">
        <v>50</v>
      </c>
    </row>
    <row r="87" spans="1:23" x14ac:dyDescent="0.25">
      <c r="A87">
        <f t="shared" si="3"/>
        <v>15</v>
      </c>
      <c r="B87" s="2">
        <v>6391</v>
      </c>
      <c r="C87" s="2" t="s">
        <v>153</v>
      </c>
      <c r="D87" s="7">
        <f t="shared" si="2"/>
        <v>-1</v>
      </c>
      <c r="E87" t="s">
        <v>32</v>
      </c>
      <c r="F87" s="26">
        <v>1</v>
      </c>
      <c r="G87" s="2">
        <v>500</v>
      </c>
      <c r="H87">
        <v>50</v>
      </c>
      <c r="I87" s="14" t="s">
        <v>257</v>
      </c>
    </row>
    <row r="88" spans="1:23" x14ac:dyDescent="0.25">
      <c r="A88">
        <f t="shared" si="3"/>
        <v>16</v>
      </c>
      <c r="C88" s="2" t="s">
        <v>154</v>
      </c>
      <c r="D88" s="7">
        <f t="shared" si="2"/>
        <v>-1</v>
      </c>
      <c r="E88" t="s">
        <v>32</v>
      </c>
      <c r="F88" s="26">
        <v>1</v>
      </c>
      <c r="G88" s="2">
        <v>500</v>
      </c>
      <c r="H88">
        <v>50</v>
      </c>
    </row>
    <row r="89" spans="1:23" x14ac:dyDescent="0.25">
      <c r="A89" s="15">
        <f t="shared" si="3"/>
        <v>17</v>
      </c>
      <c r="B89" s="16"/>
      <c r="C89" s="16" t="s">
        <v>146</v>
      </c>
      <c r="D89" s="16">
        <f t="shared" si="2"/>
        <v>0</v>
      </c>
      <c r="E89" s="15" t="s">
        <v>33</v>
      </c>
      <c r="F89" s="25">
        <v>1</v>
      </c>
      <c r="G89" s="16">
        <v>500</v>
      </c>
      <c r="H89" s="15">
        <v>50</v>
      </c>
      <c r="I89" s="18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5">
      <c r="A90" s="6">
        <f t="shared" si="3"/>
        <v>18</v>
      </c>
      <c r="B90" s="7"/>
      <c r="C90" s="7" t="s">
        <v>155</v>
      </c>
      <c r="D90" s="7">
        <f t="shared" si="2"/>
        <v>-1</v>
      </c>
      <c r="E90" s="6" t="s">
        <v>32</v>
      </c>
      <c r="F90" s="27">
        <v>1</v>
      </c>
      <c r="G90" s="7">
        <v>500</v>
      </c>
      <c r="H90" s="6">
        <v>50</v>
      </c>
      <c r="I90" s="2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3">
        <f t="shared" si="3"/>
        <v>19</v>
      </c>
      <c r="B91" s="4">
        <v>6390</v>
      </c>
      <c r="C91" s="4" t="s">
        <v>156</v>
      </c>
      <c r="D91" s="4">
        <f t="shared" si="2"/>
        <v>-1</v>
      </c>
      <c r="E91" s="3" t="s">
        <v>32</v>
      </c>
      <c r="F91" s="24">
        <v>1</v>
      </c>
      <c r="G91" s="4">
        <v>500</v>
      </c>
      <c r="H91" s="3">
        <v>50</v>
      </c>
      <c r="I91" s="1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5">
        <f t="shared" si="3"/>
        <v>20</v>
      </c>
      <c r="B92" s="16"/>
      <c r="C92" s="16" t="s">
        <v>147</v>
      </c>
      <c r="D92" s="16">
        <f t="shared" si="2"/>
        <v>0</v>
      </c>
      <c r="E92" s="15" t="s">
        <v>33</v>
      </c>
      <c r="F92" s="25">
        <v>1</v>
      </c>
      <c r="G92" s="16">
        <v>500</v>
      </c>
      <c r="H92" s="15">
        <v>50</v>
      </c>
      <c r="I92" s="18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thickBot="1" x14ac:dyDescent="0.3">
      <c r="A93" s="33"/>
      <c r="B93" s="34">
        <v>6389</v>
      </c>
      <c r="C93" s="33" t="s">
        <v>158</v>
      </c>
      <c r="D93" s="33"/>
      <c r="E93" s="33"/>
      <c r="F93" s="35"/>
      <c r="G93" s="34"/>
      <c r="H93" s="33"/>
      <c r="I93" s="40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"/>
  <sheetViews>
    <sheetView workbookViewId="0"/>
  </sheetViews>
  <sheetFormatPr defaultRowHeight="15" x14ac:dyDescent="0.25"/>
  <cols>
    <col min="1" max="1" width="10.7109375" bestFit="1" customWidth="1"/>
    <col min="2" max="2" width="14.140625" customWidth="1"/>
    <col min="3" max="3" width="13.42578125" bestFit="1" customWidth="1"/>
  </cols>
  <sheetData>
    <row r="1" spans="1:5" x14ac:dyDescent="0.25">
      <c r="A1" t="s">
        <v>302</v>
      </c>
      <c r="B1" t="s">
        <v>226</v>
      </c>
      <c r="C1" t="s">
        <v>227</v>
      </c>
      <c r="D1" t="s">
        <v>231</v>
      </c>
      <c r="E1" t="s">
        <v>228</v>
      </c>
    </row>
    <row r="2" spans="1:5" x14ac:dyDescent="0.25">
      <c r="A2" t="s">
        <v>134</v>
      </c>
      <c r="B2" t="s">
        <v>299</v>
      </c>
      <c r="C2" t="s">
        <v>300</v>
      </c>
      <c r="D2">
        <v>-999</v>
      </c>
      <c r="E2" t="s">
        <v>301</v>
      </c>
    </row>
    <row r="3" spans="1:5" x14ac:dyDescent="0.25">
      <c r="A3" t="s">
        <v>134</v>
      </c>
      <c r="B3" t="s">
        <v>303</v>
      </c>
      <c r="C3" t="s">
        <v>303</v>
      </c>
      <c r="D3">
        <v>-999</v>
      </c>
      <c r="E3" t="s">
        <v>301</v>
      </c>
    </row>
    <row r="4" spans="1:5" x14ac:dyDescent="0.25">
      <c r="A4" t="s">
        <v>10</v>
      </c>
      <c r="B4" t="s">
        <v>304</v>
      </c>
      <c r="C4" t="s">
        <v>305</v>
      </c>
      <c r="D4">
        <v>-999</v>
      </c>
    </row>
    <row r="5" spans="1:5" x14ac:dyDescent="0.25">
      <c r="A5" t="s">
        <v>10</v>
      </c>
      <c r="B5" t="s">
        <v>306</v>
      </c>
      <c r="C5" t="s">
        <v>307</v>
      </c>
      <c r="D5">
        <v>-999</v>
      </c>
    </row>
    <row r="6" spans="1:5" x14ac:dyDescent="0.25">
      <c r="A6" t="s">
        <v>10</v>
      </c>
      <c r="B6" t="s">
        <v>308</v>
      </c>
      <c r="C6" t="s">
        <v>309</v>
      </c>
      <c r="D6">
        <v>-999</v>
      </c>
    </row>
    <row r="7" spans="1:5" x14ac:dyDescent="0.25">
      <c r="A7" t="s">
        <v>10</v>
      </c>
      <c r="B7" t="s">
        <v>310</v>
      </c>
      <c r="C7" t="s">
        <v>310</v>
      </c>
      <c r="D7">
        <v>-999</v>
      </c>
    </row>
    <row r="8" spans="1:5" x14ac:dyDescent="0.25">
      <c r="A8" t="s">
        <v>10</v>
      </c>
      <c r="B8" t="s">
        <v>311</v>
      </c>
      <c r="C8" t="s">
        <v>311</v>
      </c>
      <c r="D8">
        <v>-999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"/>
  <sheetViews>
    <sheetView workbookViewId="0">
      <selection activeCell="D3" sqref="D3:E3"/>
    </sheetView>
  </sheetViews>
  <sheetFormatPr defaultRowHeight="15" x14ac:dyDescent="0.25"/>
  <cols>
    <col min="3" max="3" width="15.85546875" bestFit="1" customWidth="1"/>
    <col min="4" max="5" width="9.7109375" bestFit="1" customWidth="1"/>
  </cols>
  <sheetData>
    <row r="1" spans="1:7" x14ac:dyDescent="0.25">
      <c r="A1" t="s">
        <v>132</v>
      </c>
      <c r="B1" t="s">
        <v>224</v>
      </c>
      <c r="C1" t="s">
        <v>225</v>
      </c>
      <c r="D1" t="s">
        <v>226</v>
      </c>
      <c r="E1" t="s">
        <v>227</v>
      </c>
      <c r="F1" t="s">
        <v>231</v>
      </c>
      <c r="G1" t="s">
        <v>228</v>
      </c>
    </row>
    <row r="2" spans="1:7" x14ac:dyDescent="0.25">
      <c r="A2">
        <v>1400534</v>
      </c>
      <c r="B2">
        <v>11400534</v>
      </c>
      <c r="C2" t="s">
        <v>229</v>
      </c>
      <c r="D2" s="12">
        <v>40848</v>
      </c>
      <c r="E2">
        <v>999</v>
      </c>
      <c r="F2">
        <v>0</v>
      </c>
      <c r="G2" t="s">
        <v>230</v>
      </c>
    </row>
    <row r="3" spans="1:7" x14ac:dyDescent="0.25">
      <c r="A3">
        <v>1403694</v>
      </c>
      <c r="B3">
        <f>10000000+A3</f>
        <v>11403694</v>
      </c>
      <c r="C3" t="s">
        <v>229</v>
      </c>
      <c r="D3" s="12">
        <v>43188</v>
      </c>
      <c r="E3" s="12">
        <v>43188</v>
      </c>
      <c r="F3">
        <f>(9.5+5.15)/2+12</f>
        <v>19.324999999999999</v>
      </c>
      <c r="G3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3:D3"/>
  <sheetViews>
    <sheetView workbookViewId="0">
      <selection activeCell="C4" sqref="C4"/>
    </sheetView>
  </sheetViews>
  <sheetFormatPr defaultRowHeight="15" x14ac:dyDescent="0.25"/>
  <sheetData>
    <row r="3" spans="3:4" x14ac:dyDescent="0.25">
      <c r="C3" s="2">
        <v>1409999</v>
      </c>
      <c r="D3" s="1" t="s">
        <v>206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80"/>
  <sheetViews>
    <sheetView workbookViewId="0">
      <selection activeCell="A21" sqref="A21"/>
    </sheetView>
  </sheetViews>
  <sheetFormatPr defaultRowHeight="15" x14ac:dyDescent="0.25"/>
  <cols>
    <col min="1" max="1" width="5.5703125" customWidth="1"/>
    <col min="2" max="2" width="6.7109375" customWidth="1"/>
    <col min="3" max="3" width="7" bestFit="1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6"/>
  <sheetViews>
    <sheetView workbookViewId="0">
      <selection activeCell="B17" sqref="B17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93</v>
      </c>
      <c r="C1" t="s">
        <v>0</v>
      </c>
      <c r="D1" t="s">
        <v>122</v>
      </c>
    </row>
    <row r="2" spans="1:4" x14ac:dyDescent="0.25">
      <c r="A2">
        <v>2</v>
      </c>
      <c r="B2">
        <v>17</v>
      </c>
      <c r="C2">
        <v>1</v>
      </c>
      <c r="D2" t="s">
        <v>250</v>
      </c>
    </row>
    <row r="3" spans="1:4" x14ac:dyDescent="0.25">
      <c r="A3">
        <v>2</v>
      </c>
      <c r="B3">
        <v>17</v>
      </c>
      <c r="C3">
        <v>2</v>
      </c>
      <c r="D3" t="s">
        <v>250</v>
      </c>
    </row>
    <row r="4" spans="1:4" x14ac:dyDescent="0.25">
      <c r="A4">
        <v>2</v>
      </c>
      <c r="B4">
        <v>17</v>
      </c>
      <c r="C4">
        <v>3</v>
      </c>
      <c r="D4" t="s">
        <v>250</v>
      </c>
    </row>
    <row r="5" spans="1:4" x14ac:dyDescent="0.25">
      <c r="A5">
        <v>2</v>
      </c>
      <c r="B5">
        <v>17</v>
      </c>
      <c r="C5">
        <v>4</v>
      </c>
      <c r="D5" t="s">
        <v>250</v>
      </c>
    </row>
    <row r="6" spans="1:4" x14ac:dyDescent="0.25">
      <c r="A6">
        <v>2</v>
      </c>
      <c r="B6">
        <v>17</v>
      </c>
      <c r="C6">
        <v>5</v>
      </c>
      <c r="D6" t="s">
        <v>250</v>
      </c>
    </row>
    <row r="7" spans="1:4" x14ac:dyDescent="0.25">
      <c r="A7">
        <v>2</v>
      </c>
      <c r="B7">
        <v>17</v>
      </c>
      <c r="C7">
        <v>6</v>
      </c>
      <c r="D7" t="s">
        <v>250</v>
      </c>
    </row>
    <row r="8" spans="1:4" x14ac:dyDescent="0.25">
      <c r="A8">
        <v>2</v>
      </c>
      <c r="B8">
        <v>17</v>
      </c>
      <c r="C8">
        <v>7</v>
      </c>
      <c r="D8" t="s">
        <v>250</v>
      </c>
    </row>
    <row r="9" spans="1:4" x14ac:dyDescent="0.25">
      <c r="A9">
        <v>2</v>
      </c>
      <c r="B9">
        <v>17</v>
      </c>
      <c r="C9">
        <v>8</v>
      </c>
      <c r="D9" t="s">
        <v>250</v>
      </c>
    </row>
    <row r="10" spans="1:4" x14ac:dyDescent="0.25">
      <c r="A10">
        <v>2</v>
      </c>
      <c r="B10">
        <v>171</v>
      </c>
      <c r="C10">
        <v>1</v>
      </c>
      <c r="D10" t="s">
        <v>190</v>
      </c>
    </row>
    <row r="11" spans="1:4" x14ac:dyDescent="0.25">
      <c r="A11">
        <v>2</v>
      </c>
      <c r="B11">
        <v>171</v>
      </c>
      <c r="C11">
        <v>2</v>
      </c>
      <c r="D11" t="s">
        <v>190</v>
      </c>
    </row>
    <row r="12" spans="1:4" x14ac:dyDescent="0.25">
      <c r="A12">
        <v>2</v>
      </c>
      <c r="B12">
        <v>172</v>
      </c>
      <c r="C12">
        <v>1</v>
      </c>
      <c r="D12" t="s">
        <v>190</v>
      </c>
    </row>
    <row r="13" spans="1:4" x14ac:dyDescent="0.25">
      <c r="A13">
        <v>2</v>
      </c>
      <c r="B13">
        <v>172</v>
      </c>
      <c r="C13">
        <v>2</v>
      </c>
      <c r="D13" t="s">
        <v>190</v>
      </c>
    </row>
    <row r="14" spans="1:4" x14ac:dyDescent="0.25">
      <c r="A14">
        <v>2</v>
      </c>
      <c r="B14">
        <v>173</v>
      </c>
      <c r="C14">
        <v>1</v>
      </c>
      <c r="D14" t="s">
        <v>190</v>
      </c>
    </row>
    <row r="15" spans="1:4" x14ac:dyDescent="0.25">
      <c r="A15">
        <v>2</v>
      </c>
      <c r="B15">
        <v>173</v>
      </c>
      <c r="C15">
        <v>2</v>
      </c>
      <c r="D15" t="s">
        <v>190</v>
      </c>
    </row>
    <row r="16" spans="1:4" x14ac:dyDescent="0.25">
      <c r="A16">
        <v>2</v>
      </c>
      <c r="B16">
        <v>174</v>
      </c>
      <c r="C16">
        <v>1</v>
      </c>
      <c r="D16" t="s">
        <v>190</v>
      </c>
    </row>
    <row r="17" spans="1:4" x14ac:dyDescent="0.25">
      <c r="A17">
        <v>2</v>
      </c>
      <c r="B17">
        <v>112</v>
      </c>
      <c r="C17">
        <v>1</v>
      </c>
      <c r="D17" t="s">
        <v>190</v>
      </c>
    </row>
    <row r="18" spans="1:4" x14ac:dyDescent="0.25">
      <c r="A18">
        <v>2</v>
      </c>
      <c r="B18">
        <v>10</v>
      </c>
      <c r="C18">
        <v>1</v>
      </c>
      <c r="D18" t="s">
        <v>190</v>
      </c>
    </row>
    <row r="19" spans="1:4" x14ac:dyDescent="0.25">
      <c r="A19">
        <v>2</v>
      </c>
      <c r="B19">
        <v>11</v>
      </c>
      <c r="C19">
        <v>1</v>
      </c>
      <c r="D19" t="s">
        <v>190</v>
      </c>
    </row>
    <row r="20" spans="1:4" x14ac:dyDescent="0.25">
      <c r="A20">
        <v>2</v>
      </c>
      <c r="B20">
        <v>11</v>
      </c>
      <c r="C20">
        <v>2</v>
      </c>
      <c r="D20" t="s">
        <v>190</v>
      </c>
    </row>
    <row r="21" spans="1:4" x14ac:dyDescent="0.25">
      <c r="A21">
        <v>2</v>
      </c>
      <c r="B21">
        <v>11</v>
      </c>
      <c r="C21">
        <v>3</v>
      </c>
      <c r="D21" t="s">
        <v>190</v>
      </c>
    </row>
    <row r="22" spans="1:4" x14ac:dyDescent="0.25">
      <c r="A22">
        <v>2</v>
      </c>
      <c r="B22">
        <v>67</v>
      </c>
      <c r="C22">
        <v>1</v>
      </c>
      <c r="D22" t="s">
        <v>250</v>
      </c>
    </row>
    <row r="23" spans="1:4" x14ac:dyDescent="0.25">
      <c r="A23">
        <v>2</v>
      </c>
      <c r="B23">
        <v>67</v>
      </c>
      <c r="C23">
        <v>2</v>
      </c>
      <c r="D23" t="s">
        <v>250</v>
      </c>
    </row>
    <row r="24" spans="1:4" x14ac:dyDescent="0.25">
      <c r="A24">
        <v>2</v>
      </c>
      <c r="B24">
        <v>67</v>
      </c>
      <c r="C24">
        <v>3</v>
      </c>
      <c r="D24" t="s">
        <v>250</v>
      </c>
    </row>
    <row r="25" spans="1:4" x14ac:dyDescent="0.25">
      <c r="A25">
        <v>2</v>
      </c>
      <c r="B25">
        <v>67</v>
      </c>
      <c r="C25">
        <v>4</v>
      </c>
      <c r="D25" t="s">
        <v>250</v>
      </c>
    </row>
    <row r="26" spans="1:4" x14ac:dyDescent="0.25">
      <c r="A26">
        <v>2</v>
      </c>
      <c r="B26">
        <v>67</v>
      </c>
      <c r="C26">
        <v>5</v>
      </c>
      <c r="D26" t="s">
        <v>250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16"/>
  <sheetViews>
    <sheetView workbookViewId="0">
      <selection activeCell="I1" sqref="I1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166</v>
      </c>
      <c r="C1" t="s">
        <v>168</v>
      </c>
      <c r="D1" t="s">
        <v>167</v>
      </c>
      <c r="I1" s="30" t="s">
        <v>185</v>
      </c>
    </row>
    <row r="2" spans="2:13" x14ac:dyDescent="0.25">
      <c r="B2" t="s">
        <v>163</v>
      </c>
      <c r="C2">
        <v>29</v>
      </c>
      <c r="D2">
        <v>1.7</v>
      </c>
    </row>
    <row r="3" spans="2:13" x14ac:dyDescent="0.25">
      <c r="B3" t="s">
        <v>181</v>
      </c>
      <c r="C3">
        <v>6</v>
      </c>
      <c r="D3">
        <v>0.9</v>
      </c>
    </row>
    <row r="4" spans="2:13" x14ac:dyDescent="0.25">
      <c r="B4" t="s">
        <v>164</v>
      </c>
      <c r="C4">
        <v>5</v>
      </c>
      <c r="D4">
        <v>1</v>
      </c>
    </row>
    <row r="5" spans="2:13" x14ac:dyDescent="0.25">
      <c r="B5" t="s">
        <v>165</v>
      </c>
      <c r="C5">
        <v>27</v>
      </c>
      <c r="D5">
        <v>1.7</v>
      </c>
      <c r="I5" t="s">
        <v>186</v>
      </c>
    </row>
    <row r="6" spans="2:13" x14ac:dyDescent="0.25">
      <c r="B6" t="s">
        <v>182</v>
      </c>
      <c r="C6" s="23" t="s">
        <v>183</v>
      </c>
      <c r="D6" s="23" t="s">
        <v>184</v>
      </c>
      <c r="I6" t="s">
        <v>93</v>
      </c>
      <c r="J6" t="s">
        <v>179</v>
      </c>
      <c r="K6" t="s">
        <v>180</v>
      </c>
      <c r="L6" t="s">
        <v>168</v>
      </c>
      <c r="M6" t="s">
        <v>187</v>
      </c>
    </row>
    <row r="7" spans="2:13" x14ac:dyDescent="0.25">
      <c r="I7">
        <v>17</v>
      </c>
      <c r="J7">
        <v>1</v>
      </c>
      <c r="K7">
        <v>1.9400000000000001E-3</v>
      </c>
      <c r="L7" s="26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169</v>
      </c>
      <c r="D8" t="s">
        <v>173</v>
      </c>
      <c r="E8">
        <f>C4*D13+E13</f>
        <v>1</v>
      </c>
      <c r="I8">
        <v>17</v>
      </c>
      <c r="J8">
        <v>2</v>
      </c>
      <c r="K8">
        <v>1.9400000000000001E-3</v>
      </c>
      <c r="L8" s="26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170</v>
      </c>
      <c r="D9" t="s">
        <v>174</v>
      </c>
      <c r="E9">
        <f>C5*D13+E13</f>
        <v>1.7</v>
      </c>
      <c r="I9">
        <v>17</v>
      </c>
      <c r="J9">
        <v>3</v>
      </c>
      <c r="K9">
        <v>1.2600000000000001E-3</v>
      </c>
      <c r="L9" s="26">
        <f t="shared" si="1"/>
        <v>6.6528</v>
      </c>
      <c r="M9" s="1">
        <f t="shared" si="0"/>
        <v>1.0525890909090909</v>
      </c>
    </row>
    <row r="10" spans="2:13" x14ac:dyDescent="0.25">
      <c r="C10" t="s">
        <v>171</v>
      </c>
      <c r="D10" t="s">
        <v>175</v>
      </c>
      <c r="E10" t="s">
        <v>176</v>
      </c>
      <c r="I10">
        <v>17</v>
      </c>
      <c r="J10">
        <v>4</v>
      </c>
      <c r="K10">
        <v>1.24E-3</v>
      </c>
      <c r="L10" s="26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172</v>
      </c>
      <c r="I11">
        <v>17</v>
      </c>
      <c r="J11">
        <v>5</v>
      </c>
      <c r="K11">
        <v>1.2600000000000001E-3</v>
      </c>
      <c r="L11" s="26">
        <f t="shared" si="1"/>
        <v>6.6528</v>
      </c>
      <c r="M11" s="1">
        <f t="shared" si="0"/>
        <v>1.0525890909090909</v>
      </c>
    </row>
    <row r="12" spans="2:13" x14ac:dyDescent="0.25">
      <c r="D12" t="s">
        <v>177</v>
      </c>
      <c r="E12" t="s">
        <v>178</v>
      </c>
      <c r="I12">
        <v>17</v>
      </c>
      <c r="J12">
        <v>6</v>
      </c>
      <c r="K12">
        <v>1.1999999999999999E-3</v>
      </c>
      <c r="L12" s="26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6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6">
        <f t="shared" si="1"/>
        <v>5.2271999999999998</v>
      </c>
      <c r="M14" s="1">
        <f t="shared" si="0"/>
        <v>1.0072290909090909</v>
      </c>
    </row>
    <row r="16" spans="2:13" x14ac:dyDescent="0.25">
      <c r="I16" t="s">
        <v>188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80</v>
      </c>
      <c r="B1" t="s">
        <v>189</v>
      </c>
    </row>
    <row r="2" spans="1:2" x14ac:dyDescent="0.25">
      <c r="B2" t="s">
        <v>81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workbookViewId="0">
      <pane xSplit="8" ySplit="1" topLeftCell="I2" activePane="bottomRight" state="frozen"/>
      <selection pane="topRight" activeCell="K1" sqref="K1"/>
      <selection pane="bottomLeft" activeCell="A2" sqref="A2"/>
      <selection pane="bottomRight" activeCell="F36" sqref="F36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4" bestFit="1" customWidth="1"/>
    <col min="4" max="4" width="3.85546875" customWidth="1"/>
    <col min="5" max="5" width="4.28515625" customWidth="1"/>
    <col min="6" max="6" width="12.85546875" bestFit="1" customWidth="1"/>
    <col min="7" max="7" width="12.85546875" style="2" customWidth="1"/>
    <col min="8" max="8" width="15.28515625" customWidth="1"/>
    <col min="9" max="9" width="11.28515625" bestFit="1" customWidth="1"/>
    <col min="10" max="10" width="11.28515625" customWidth="1"/>
    <col min="11" max="11" width="6.85546875" customWidth="1"/>
    <col min="12" max="12" width="6.5703125" customWidth="1"/>
    <col min="13" max="13" width="7.42578125" bestFit="1" customWidth="1"/>
    <col min="14" max="14" width="9.28515625" style="2" bestFit="1" customWidth="1"/>
    <col min="15" max="15" width="9.28515625" style="2" customWidth="1"/>
    <col min="16" max="16" width="4.7109375" customWidth="1"/>
    <col min="17" max="19" width="7.5703125" customWidth="1"/>
    <col min="20" max="20" width="11.5703125" style="1" bestFit="1" customWidth="1"/>
    <col min="21" max="21" width="10.28515625" style="26" customWidth="1"/>
    <col min="22" max="22" width="8.28515625" bestFit="1" customWidth="1"/>
    <col min="23" max="23" width="12.28515625" bestFit="1" customWidth="1"/>
    <col min="24" max="24" width="7.140625" customWidth="1"/>
    <col min="25" max="25" width="13.140625" customWidth="1"/>
    <col min="26" max="26" width="5.85546875" customWidth="1"/>
    <col min="27" max="28" width="11.28515625" bestFit="1" customWidth="1"/>
    <col min="29" max="29" width="4" style="26" customWidth="1"/>
    <col min="30" max="30" width="4.28515625" style="26" customWidth="1"/>
    <col min="31" max="32" width="9" style="26" bestFit="1" customWidth="1"/>
    <col min="33" max="33" width="7.140625" bestFit="1" customWidth="1"/>
    <col min="34" max="34" width="7.28515625" bestFit="1" customWidth="1"/>
    <col min="35" max="35" width="10.42578125" style="1" bestFit="1" customWidth="1"/>
    <col min="36" max="36" width="6.28515625" style="1" customWidth="1"/>
  </cols>
  <sheetData>
    <row r="1" spans="1:36" s="3" customFormat="1" x14ac:dyDescent="0.25">
      <c r="A1" s="3" t="s">
        <v>313</v>
      </c>
      <c r="B1" s="3" t="s">
        <v>314</v>
      </c>
      <c r="C1" s="3" t="s">
        <v>315</v>
      </c>
      <c r="D1" s="3" t="s">
        <v>316</v>
      </c>
      <c r="E1" s="3" t="s">
        <v>317</v>
      </c>
      <c r="F1" s="4" t="s">
        <v>132</v>
      </c>
      <c r="G1" s="4" t="s">
        <v>318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342</v>
      </c>
      <c r="O1" s="4" t="s">
        <v>248</v>
      </c>
      <c r="P1" s="5" t="s">
        <v>121</v>
      </c>
      <c r="Q1" s="3" t="s">
        <v>326</v>
      </c>
      <c r="R1" s="3" t="s">
        <v>327</v>
      </c>
      <c r="S1" s="5" t="s">
        <v>328</v>
      </c>
      <c r="T1" s="5" t="s">
        <v>329</v>
      </c>
      <c r="U1" s="24" t="s">
        <v>298</v>
      </c>
      <c r="V1" s="5" t="s">
        <v>296</v>
      </c>
      <c r="W1" s="3" t="s">
        <v>330</v>
      </c>
      <c r="X1" s="3" t="s">
        <v>331</v>
      </c>
      <c r="Y1" s="3" t="s">
        <v>332</v>
      </c>
      <c r="Z1" s="3" t="s">
        <v>333</v>
      </c>
      <c r="AA1" s="4" t="s">
        <v>334</v>
      </c>
      <c r="AB1" s="4" t="s">
        <v>335</v>
      </c>
      <c r="AC1" s="24" t="s">
        <v>336</v>
      </c>
      <c r="AD1" s="24" t="s">
        <v>337</v>
      </c>
      <c r="AE1" s="24" t="s">
        <v>338</v>
      </c>
      <c r="AF1" s="24" t="s">
        <v>339</v>
      </c>
      <c r="AG1" s="5" t="s">
        <v>340</v>
      </c>
      <c r="AH1" s="5" t="s">
        <v>341</v>
      </c>
      <c r="AI1" s="5" t="s">
        <v>187</v>
      </c>
      <c r="AJ1" s="5"/>
    </row>
    <row r="2" spans="1:36" s="15" customFormat="1" x14ac:dyDescent="0.25">
      <c r="A2" s="15">
        <v>1</v>
      </c>
      <c r="B2" s="15">
        <v>2</v>
      </c>
      <c r="C2" s="15">
        <v>17</v>
      </c>
      <c r="D2" s="15">
        <v>1</v>
      </c>
      <c r="E2" s="15">
        <v>1</v>
      </c>
      <c r="F2" s="16">
        <v>1403526</v>
      </c>
      <c r="G2" s="16"/>
      <c r="H2" s="16">
        <v>0</v>
      </c>
      <c r="I2" s="16"/>
      <c r="J2" s="16"/>
      <c r="K2" s="16">
        <v>0</v>
      </c>
      <c r="L2" s="16">
        <v>0</v>
      </c>
      <c r="M2" s="16">
        <v>0</v>
      </c>
      <c r="N2" s="16">
        <v>0</v>
      </c>
      <c r="O2" s="16" t="s">
        <v>249</v>
      </c>
      <c r="P2" s="16">
        <v>17</v>
      </c>
      <c r="S2" s="17"/>
      <c r="T2" s="17">
        <v>0</v>
      </c>
      <c r="U2" s="25"/>
      <c r="V2" s="17"/>
      <c r="W2" s="15">
        <v>10000</v>
      </c>
      <c r="X2" s="15">
        <v>0.15</v>
      </c>
      <c r="Y2" s="15">
        <v>750</v>
      </c>
      <c r="Z2" s="15">
        <v>1</v>
      </c>
      <c r="AA2" s="16">
        <v>32</v>
      </c>
      <c r="AB2" s="17">
        <v>0.56000000000000005</v>
      </c>
      <c r="AC2" s="25">
        <v>1</v>
      </c>
      <c r="AD2" s="25">
        <v>6</v>
      </c>
      <c r="AE2" s="25">
        <v>0.63519999999999999</v>
      </c>
      <c r="AF2" s="25">
        <v>0.2797</v>
      </c>
      <c r="AG2" s="17">
        <v>0.31</v>
      </c>
      <c r="AH2" s="17">
        <v>1.32</v>
      </c>
      <c r="AI2" s="17">
        <v>0</v>
      </c>
      <c r="AJ2" s="17"/>
    </row>
    <row r="3" spans="1:36" s="3" customFormat="1" x14ac:dyDescent="0.25">
      <c r="A3" s="3">
        <v>2</v>
      </c>
      <c r="B3" s="3">
        <v>2</v>
      </c>
      <c r="C3" s="3">
        <v>17</v>
      </c>
      <c r="D3" s="3">
        <v>1</v>
      </c>
      <c r="E3" s="3">
        <v>2</v>
      </c>
      <c r="F3" s="4">
        <v>1400534</v>
      </c>
      <c r="G3" s="4"/>
      <c r="H3" s="4">
        <v>-1</v>
      </c>
      <c r="I3" s="4"/>
      <c r="J3" s="4"/>
      <c r="K3" s="4">
        <v>0</v>
      </c>
      <c r="L3" s="4">
        <v>0</v>
      </c>
      <c r="M3" s="4">
        <v>0</v>
      </c>
      <c r="N3" s="4">
        <v>0</v>
      </c>
      <c r="O3" s="4" t="s">
        <v>249</v>
      </c>
      <c r="P3" s="4">
        <v>17</v>
      </c>
      <c r="S3" s="5"/>
      <c r="T3" s="5">
        <v>0</v>
      </c>
      <c r="U3" s="24"/>
      <c r="V3" s="5"/>
      <c r="W3" s="3">
        <v>10000</v>
      </c>
      <c r="X3" s="3">
        <v>0.15</v>
      </c>
      <c r="Y3" s="3">
        <v>750</v>
      </c>
      <c r="Z3" s="3">
        <v>1</v>
      </c>
      <c r="AA3" s="4">
        <v>32</v>
      </c>
      <c r="AB3" s="5">
        <v>0.56000000000000005</v>
      </c>
      <c r="AC3" s="24">
        <v>1</v>
      </c>
      <c r="AD3" s="24">
        <v>6</v>
      </c>
      <c r="AE3" s="24">
        <v>0.63519999999999999</v>
      </c>
      <c r="AF3" s="24">
        <v>0.2797</v>
      </c>
      <c r="AG3" s="5">
        <v>0.31</v>
      </c>
      <c r="AH3" s="5">
        <v>1.32</v>
      </c>
      <c r="AI3" s="5">
        <v>0</v>
      </c>
      <c r="AJ3" s="5"/>
    </row>
    <row r="4" spans="1:36" x14ac:dyDescent="0.25">
      <c r="A4">
        <v>3</v>
      </c>
      <c r="B4">
        <v>2</v>
      </c>
      <c r="C4">
        <v>17</v>
      </c>
      <c r="D4">
        <f>D3+1</f>
        <v>2</v>
      </c>
      <c r="E4">
        <v>1</v>
      </c>
      <c r="F4" s="2">
        <v>1409500</v>
      </c>
      <c r="H4" s="2">
        <v>0</v>
      </c>
      <c r="I4" s="1" t="s">
        <v>7</v>
      </c>
      <c r="J4" s="1" t="s">
        <v>86</v>
      </c>
      <c r="K4" s="2">
        <v>161</v>
      </c>
      <c r="L4" s="2">
        <v>471</v>
      </c>
      <c r="M4" s="2">
        <v>656</v>
      </c>
      <c r="N4" s="2">
        <v>110</v>
      </c>
      <c r="O4" s="2" t="s">
        <v>250</v>
      </c>
      <c r="P4" s="2">
        <v>17</v>
      </c>
      <c r="Q4" s="14"/>
      <c r="S4" s="1"/>
      <c r="T4" s="1">
        <v>0.1</v>
      </c>
      <c r="V4" s="1"/>
      <c r="W4">
        <v>10000</v>
      </c>
      <c r="X4">
        <v>0.15</v>
      </c>
      <c r="Y4">
        <v>750</v>
      </c>
      <c r="Z4">
        <v>1</v>
      </c>
      <c r="AA4" s="2">
        <v>32</v>
      </c>
      <c r="AB4" s="1">
        <v>0.56000000000000005</v>
      </c>
      <c r="AC4" s="26">
        <v>1</v>
      </c>
      <c r="AD4" s="26">
        <v>6</v>
      </c>
      <c r="AE4" s="26">
        <v>0.63519999999999999</v>
      </c>
      <c r="AF4" s="26">
        <v>0.2797</v>
      </c>
      <c r="AG4" s="1">
        <v>0.31</v>
      </c>
      <c r="AH4" s="1">
        <v>1.32</v>
      </c>
      <c r="AI4" s="1">
        <v>1.17</v>
      </c>
    </row>
    <row r="5" spans="1:36" x14ac:dyDescent="0.25">
      <c r="A5">
        <v>4</v>
      </c>
      <c r="B5">
        <f t="shared" ref="B5:B41" si="0">B4</f>
        <v>2</v>
      </c>
      <c r="C5">
        <v>17</v>
      </c>
      <c r="D5">
        <f t="shared" ref="D5:D14" si="1">D4</f>
        <v>2</v>
      </c>
      <c r="E5">
        <f t="shared" ref="E5:E14" si="2">E4+1</f>
        <v>2</v>
      </c>
      <c r="F5" s="2">
        <v>1403507</v>
      </c>
      <c r="G5" s="2" t="s">
        <v>319</v>
      </c>
      <c r="H5" s="2">
        <v>1</v>
      </c>
      <c r="I5" s="2"/>
      <c r="J5" s="2"/>
      <c r="K5" s="2">
        <v>35</v>
      </c>
      <c r="L5" s="2">
        <v>27</v>
      </c>
      <c r="M5" s="2">
        <v>21</v>
      </c>
      <c r="N5" s="2">
        <v>110</v>
      </c>
      <c r="O5" s="2" t="s">
        <v>250</v>
      </c>
      <c r="P5" s="2">
        <v>17</v>
      </c>
      <c r="S5" s="1"/>
      <c r="T5" s="1">
        <v>0.1</v>
      </c>
      <c r="V5" s="1"/>
      <c r="W5">
        <v>10000</v>
      </c>
      <c r="X5">
        <v>0.15</v>
      </c>
      <c r="Y5">
        <v>750</v>
      </c>
      <c r="Z5">
        <v>1</v>
      </c>
      <c r="AA5" s="2">
        <v>32</v>
      </c>
      <c r="AB5" s="1">
        <v>0.56000000000000005</v>
      </c>
      <c r="AC5" s="26">
        <v>1</v>
      </c>
      <c r="AD5" s="26">
        <v>6</v>
      </c>
      <c r="AE5" s="26">
        <v>0.63519999999999999</v>
      </c>
      <c r="AF5" s="26">
        <v>0.2797</v>
      </c>
      <c r="AG5" s="1">
        <v>0.31</v>
      </c>
      <c r="AH5" s="1">
        <v>1.32</v>
      </c>
      <c r="AI5" s="1">
        <v>1.17</v>
      </c>
    </row>
    <row r="6" spans="1:36" x14ac:dyDescent="0.25">
      <c r="A6">
        <v>5</v>
      </c>
      <c r="B6">
        <f t="shared" si="0"/>
        <v>2</v>
      </c>
      <c r="C6">
        <v>17</v>
      </c>
      <c r="D6">
        <f t="shared" si="1"/>
        <v>2</v>
      </c>
      <c r="E6">
        <f t="shared" si="2"/>
        <v>3</v>
      </c>
      <c r="F6" s="2">
        <v>1400618</v>
      </c>
      <c r="H6" s="2">
        <v>-1</v>
      </c>
      <c r="I6" s="2"/>
      <c r="J6" s="2"/>
      <c r="K6" s="2">
        <v>15</v>
      </c>
      <c r="L6" s="2">
        <v>13</v>
      </c>
      <c r="M6" s="2">
        <v>14</v>
      </c>
      <c r="N6" s="2">
        <v>110</v>
      </c>
      <c r="O6" s="2" t="s">
        <v>250</v>
      </c>
      <c r="P6" s="2">
        <v>17</v>
      </c>
      <c r="S6" s="1"/>
      <c r="T6" s="1">
        <v>0.1</v>
      </c>
      <c r="V6" s="1"/>
      <c r="W6">
        <v>10000</v>
      </c>
      <c r="X6">
        <v>0.15</v>
      </c>
      <c r="Y6">
        <v>750</v>
      </c>
      <c r="Z6">
        <v>1</v>
      </c>
      <c r="AA6" s="2">
        <v>32</v>
      </c>
      <c r="AB6" s="1">
        <v>0.56000000000000005</v>
      </c>
      <c r="AC6" s="26">
        <v>1</v>
      </c>
      <c r="AD6" s="26">
        <v>6</v>
      </c>
      <c r="AE6" s="26">
        <v>0.63519999999999999</v>
      </c>
      <c r="AF6" s="26">
        <v>0.2797</v>
      </c>
      <c r="AG6" s="1">
        <v>0.31</v>
      </c>
      <c r="AH6" s="1">
        <v>1.32</v>
      </c>
      <c r="AI6" s="1">
        <v>1.17</v>
      </c>
    </row>
    <row r="7" spans="1:36" x14ac:dyDescent="0.25">
      <c r="A7">
        <v>6</v>
      </c>
      <c r="B7">
        <f t="shared" si="0"/>
        <v>2</v>
      </c>
      <c r="C7">
        <v>17</v>
      </c>
      <c r="D7">
        <f t="shared" si="1"/>
        <v>2</v>
      </c>
      <c r="E7">
        <f t="shared" si="2"/>
        <v>4</v>
      </c>
      <c r="F7" s="2">
        <v>1403694</v>
      </c>
      <c r="H7" s="2">
        <v>-1</v>
      </c>
      <c r="I7" s="2"/>
      <c r="J7" s="2"/>
      <c r="K7" s="2">
        <v>0</v>
      </c>
      <c r="L7" s="2">
        <v>0</v>
      </c>
      <c r="M7" s="2">
        <v>0</v>
      </c>
      <c r="N7" s="2">
        <v>110</v>
      </c>
      <c r="O7" s="2" t="s">
        <v>250</v>
      </c>
      <c r="P7" s="2">
        <v>17</v>
      </c>
      <c r="S7" s="1"/>
      <c r="T7" s="1">
        <v>0.1</v>
      </c>
      <c r="V7" s="1"/>
      <c r="W7">
        <v>10000</v>
      </c>
      <c r="X7">
        <v>0.15</v>
      </c>
      <c r="Y7">
        <v>750</v>
      </c>
      <c r="Z7">
        <v>1</v>
      </c>
      <c r="AA7" s="2">
        <v>32</v>
      </c>
      <c r="AB7" s="1">
        <v>0.56000000000000005</v>
      </c>
      <c r="AC7" s="26">
        <v>1</v>
      </c>
      <c r="AD7" s="26">
        <v>6</v>
      </c>
      <c r="AE7" s="26">
        <v>0.63519999999999999</v>
      </c>
      <c r="AF7" s="26">
        <v>0.2797</v>
      </c>
      <c r="AG7" s="1">
        <v>0.31</v>
      </c>
      <c r="AH7" s="1">
        <v>1.32</v>
      </c>
      <c r="AI7" s="1">
        <v>1.17</v>
      </c>
    </row>
    <row r="8" spans="1:36" x14ac:dyDescent="0.25">
      <c r="A8">
        <v>7</v>
      </c>
      <c r="B8">
        <f t="shared" si="0"/>
        <v>2</v>
      </c>
      <c r="C8">
        <v>17</v>
      </c>
      <c r="D8">
        <f t="shared" si="1"/>
        <v>2</v>
      </c>
      <c r="E8">
        <f t="shared" si="2"/>
        <v>5</v>
      </c>
      <c r="F8" s="2">
        <v>1400589</v>
      </c>
      <c r="H8" s="2">
        <v>-1</v>
      </c>
      <c r="I8" s="1"/>
      <c r="J8" s="1"/>
      <c r="K8" s="2">
        <v>51</v>
      </c>
      <c r="L8" s="2">
        <v>14</v>
      </c>
      <c r="M8" s="2">
        <v>26</v>
      </c>
      <c r="N8" s="2">
        <v>110</v>
      </c>
      <c r="O8" s="2" t="s">
        <v>250</v>
      </c>
      <c r="P8" s="2">
        <v>17</v>
      </c>
      <c r="S8" s="1"/>
      <c r="T8" s="1">
        <v>0.1</v>
      </c>
      <c r="V8" s="1"/>
      <c r="W8">
        <v>10000</v>
      </c>
      <c r="X8">
        <v>0.15</v>
      </c>
      <c r="Y8">
        <v>750</v>
      </c>
      <c r="Z8">
        <v>1</v>
      </c>
      <c r="AA8" s="2">
        <v>32</v>
      </c>
      <c r="AB8" s="1">
        <v>0.56000000000000005</v>
      </c>
      <c r="AC8" s="26">
        <v>1</v>
      </c>
      <c r="AD8" s="26">
        <v>6</v>
      </c>
      <c r="AE8" s="26">
        <v>0.63519999999999999</v>
      </c>
      <c r="AF8" s="26">
        <v>0.2797</v>
      </c>
      <c r="AG8" s="1">
        <v>0.31</v>
      </c>
      <c r="AH8" s="1">
        <v>1.32</v>
      </c>
      <c r="AI8" s="1">
        <v>1.17</v>
      </c>
    </row>
    <row r="9" spans="1:36" x14ac:dyDescent="0.25">
      <c r="A9">
        <v>8</v>
      </c>
      <c r="B9">
        <f t="shared" si="0"/>
        <v>2</v>
      </c>
      <c r="C9">
        <v>17</v>
      </c>
      <c r="D9">
        <f t="shared" si="1"/>
        <v>2</v>
      </c>
      <c r="E9">
        <f t="shared" si="2"/>
        <v>6</v>
      </c>
      <c r="F9" s="2">
        <v>1400536</v>
      </c>
      <c r="H9" s="2">
        <v>-1</v>
      </c>
      <c r="I9" s="2"/>
      <c r="J9" s="2"/>
      <c r="K9" s="2">
        <v>0</v>
      </c>
      <c r="L9" s="2">
        <v>0</v>
      </c>
      <c r="M9" s="2">
        <v>0</v>
      </c>
      <c r="N9" s="2">
        <v>110</v>
      </c>
      <c r="O9" s="2" t="s">
        <v>250</v>
      </c>
      <c r="P9" s="2">
        <v>17</v>
      </c>
      <c r="S9" s="1"/>
      <c r="T9" s="1">
        <v>0.1</v>
      </c>
      <c r="V9" s="1"/>
      <c r="W9">
        <v>10000</v>
      </c>
      <c r="X9">
        <v>0.15</v>
      </c>
      <c r="Y9">
        <v>750</v>
      </c>
      <c r="Z9">
        <v>1</v>
      </c>
      <c r="AA9" s="2">
        <v>32</v>
      </c>
      <c r="AB9" s="1">
        <v>0.56000000000000005</v>
      </c>
      <c r="AC9" s="26">
        <v>1</v>
      </c>
      <c r="AD9" s="26">
        <v>6</v>
      </c>
      <c r="AE9" s="26">
        <v>0.63519999999999999</v>
      </c>
      <c r="AF9" s="26">
        <v>0.2797</v>
      </c>
      <c r="AG9" s="1">
        <v>0.31</v>
      </c>
      <c r="AH9" s="1">
        <v>1.32</v>
      </c>
      <c r="AI9" s="1">
        <v>1.17</v>
      </c>
    </row>
    <row r="10" spans="1:36" x14ac:dyDescent="0.25">
      <c r="A10">
        <v>9</v>
      </c>
      <c r="B10">
        <f t="shared" si="0"/>
        <v>2</v>
      </c>
      <c r="C10">
        <v>17</v>
      </c>
      <c r="D10">
        <f t="shared" si="1"/>
        <v>2</v>
      </c>
      <c r="E10">
        <f t="shared" si="2"/>
        <v>7</v>
      </c>
      <c r="F10" s="2">
        <v>1400800</v>
      </c>
      <c r="G10" s="2" t="s">
        <v>319</v>
      </c>
      <c r="H10" s="2">
        <v>1</v>
      </c>
      <c r="I10" s="7" t="s">
        <v>25</v>
      </c>
      <c r="J10" s="7" t="s">
        <v>86</v>
      </c>
      <c r="K10" s="2">
        <v>49</v>
      </c>
      <c r="L10" s="2">
        <v>133</v>
      </c>
      <c r="M10" s="2">
        <v>296</v>
      </c>
      <c r="N10" s="2">
        <v>110</v>
      </c>
      <c r="O10" s="2" t="s">
        <v>250</v>
      </c>
      <c r="P10" s="2">
        <v>17</v>
      </c>
      <c r="S10" s="1"/>
      <c r="T10" s="1">
        <v>0.1</v>
      </c>
      <c r="V10" s="1"/>
      <c r="W10">
        <v>10000</v>
      </c>
      <c r="X10">
        <v>0.15</v>
      </c>
      <c r="Y10">
        <v>750</v>
      </c>
      <c r="Z10">
        <v>1</v>
      </c>
      <c r="AA10" s="2">
        <v>32</v>
      </c>
      <c r="AB10" s="1">
        <v>0.56000000000000005</v>
      </c>
      <c r="AC10" s="26">
        <v>1</v>
      </c>
      <c r="AD10" s="26">
        <v>6</v>
      </c>
      <c r="AE10" s="26">
        <v>0.63519999999999999</v>
      </c>
      <c r="AF10" s="26">
        <v>0.2797</v>
      </c>
      <c r="AG10" s="1">
        <v>0.31</v>
      </c>
      <c r="AH10" s="1">
        <v>1.32</v>
      </c>
      <c r="AI10" s="1">
        <v>1.17</v>
      </c>
    </row>
    <row r="11" spans="1:36" x14ac:dyDescent="0.25">
      <c r="A11">
        <v>10</v>
      </c>
      <c r="B11">
        <f t="shared" si="0"/>
        <v>2</v>
      </c>
      <c r="C11">
        <v>17</v>
      </c>
      <c r="D11">
        <f t="shared" si="1"/>
        <v>2</v>
      </c>
      <c r="E11">
        <f t="shared" si="2"/>
        <v>8</v>
      </c>
      <c r="F11" s="2">
        <v>1400620</v>
      </c>
      <c r="G11" s="2" t="s">
        <v>319</v>
      </c>
      <c r="H11" s="2">
        <v>1</v>
      </c>
      <c r="I11" s="21"/>
      <c r="J11" s="21"/>
      <c r="K11" s="2">
        <v>18</v>
      </c>
      <c r="L11" s="2">
        <v>18</v>
      </c>
      <c r="M11" s="2">
        <v>21</v>
      </c>
      <c r="N11" s="2">
        <v>110</v>
      </c>
      <c r="O11" s="2" t="s">
        <v>250</v>
      </c>
      <c r="P11" s="2">
        <v>17</v>
      </c>
      <c r="S11" s="1"/>
      <c r="T11" s="1">
        <v>0.1</v>
      </c>
      <c r="V11" s="1"/>
      <c r="W11">
        <v>10000</v>
      </c>
      <c r="X11">
        <v>0.15</v>
      </c>
      <c r="Y11">
        <v>750</v>
      </c>
      <c r="Z11">
        <v>1</v>
      </c>
      <c r="AA11" s="2">
        <v>32</v>
      </c>
      <c r="AB11" s="1">
        <v>0.56000000000000005</v>
      </c>
      <c r="AC11" s="26">
        <v>1</v>
      </c>
      <c r="AD11" s="26">
        <v>6</v>
      </c>
      <c r="AE11" s="26">
        <v>0.63519999999999999</v>
      </c>
      <c r="AF11" s="26">
        <v>0.2797</v>
      </c>
      <c r="AG11" s="1">
        <v>0.31</v>
      </c>
      <c r="AH11" s="1">
        <v>1.32</v>
      </c>
      <c r="AI11" s="1">
        <v>1.17</v>
      </c>
    </row>
    <row r="12" spans="1:36" x14ac:dyDescent="0.25">
      <c r="A12">
        <v>11</v>
      </c>
      <c r="B12">
        <f t="shared" si="0"/>
        <v>2</v>
      </c>
      <c r="C12">
        <v>17</v>
      </c>
      <c r="D12">
        <f t="shared" si="1"/>
        <v>2</v>
      </c>
      <c r="E12">
        <f t="shared" si="2"/>
        <v>9</v>
      </c>
      <c r="F12" s="2">
        <v>1409508</v>
      </c>
      <c r="G12" s="2" t="s">
        <v>319</v>
      </c>
      <c r="H12" s="2">
        <v>1</v>
      </c>
      <c r="I12" s="1" t="s">
        <v>27</v>
      </c>
      <c r="J12" s="1" t="s">
        <v>86</v>
      </c>
      <c r="K12" s="2">
        <v>67</v>
      </c>
      <c r="L12" s="2">
        <v>64</v>
      </c>
      <c r="M12" s="2">
        <v>64</v>
      </c>
      <c r="N12" s="2">
        <v>110</v>
      </c>
      <c r="O12" s="2" t="s">
        <v>250</v>
      </c>
      <c r="P12" s="2">
        <v>17</v>
      </c>
      <c r="S12" s="1"/>
      <c r="T12" s="1">
        <v>0.1</v>
      </c>
      <c r="V12" s="1"/>
      <c r="W12">
        <v>10000</v>
      </c>
      <c r="X12">
        <v>0.15</v>
      </c>
      <c r="Y12">
        <v>750</v>
      </c>
      <c r="Z12">
        <v>1</v>
      </c>
      <c r="AA12" s="2">
        <v>32</v>
      </c>
      <c r="AB12" s="1">
        <v>0.56000000000000005</v>
      </c>
      <c r="AC12" s="26">
        <v>1</v>
      </c>
      <c r="AD12" s="26">
        <v>6</v>
      </c>
      <c r="AE12" s="26">
        <v>0.63519999999999999</v>
      </c>
      <c r="AF12" s="26">
        <v>0.2797</v>
      </c>
      <c r="AG12" s="1">
        <v>0.31</v>
      </c>
      <c r="AH12" s="1">
        <v>1.32</v>
      </c>
      <c r="AI12" s="1">
        <v>1.17</v>
      </c>
    </row>
    <row r="13" spans="1:36" x14ac:dyDescent="0.25">
      <c r="A13">
        <v>12</v>
      </c>
      <c r="B13">
        <f t="shared" si="0"/>
        <v>2</v>
      </c>
      <c r="C13">
        <v>17</v>
      </c>
      <c r="D13">
        <f t="shared" si="1"/>
        <v>2</v>
      </c>
      <c r="E13">
        <f t="shared" si="2"/>
        <v>10</v>
      </c>
      <c r="F13" s="2">
        <v>1400539</v>
      </c>
      <c r="H13" s="2">
        <v>-1</v>
      </c>
      <c r="I13" s="1"/>
      <c r="J13" s="1"/>
      <c r="K13" s="2">
        <v>0</v>
      </c>
      <c r="L13" s="2">
        <v>14</v>
      </c>
      <c r="M13" s="2">
        <v>0</v>
      </c>
      <c r="N13" s="2">
        <v>110</v>
      </c>
      <c r="O13" s="2" t="s">
        <v>250</v>
      </c>
      <c r="P13" s="2">
        <v>17</v>
      </c>
      <c r="S13" s="1"/>
      <c r="T13" s="1">
        <v>0.1</v>
      </c>
      <c r="V13" s="1"/>
      <c r="W13">
        <v>10000</v>
      </c>
      <c r="X13">
        <v>0.15</v>
      </c>
      <c r="Y13">
        <v>750</v>
      </c>
      <c r="Z13">
        <v>1</v>
      </c>
      <c r="AA13" s="2">
        <v>32</v>
      </c>
      <c r="AB13" s="1">
        <v>0.56000000000000005</v>
      </c>
      <c r="AC13" s="26">
        <v>1</v>
      </c>
      <c r="AD13" s="26">
        <v>6</v>
      </c>
      <c r="AE13" s="26">
        <v>0.63519999999999999</v>
      </c>
      <c r="AF13" s="26">
        <v>0.2797</v>
      </c>
      <c r="AG13" s="1">
        <v>0.31</v>
      </c>
      <c r="AH13" s="1">
        <v>1.32</v>
      </c>
      <c r="AI13" s="1">
        <v>1.17</v>
      </c>
    </row>
    <row r="14" spans="1:36" s="3" customFormat="1" x14ac:dyDescent="0.25">
      <c r="A14" s="3">
        <v>13</v>
      </c>
      <c r="B14" s="3">
        <f t="shared" si="0"/>
        <v>2</v>
      </c>
      <c r="C14" s="3">
        <v>17</v>
      </c>
      <c r="D14" s="3">
        <f t="shared" si="1"/>
        <v>2</v>
      </c>
      <c r="E14" s="3">
        <f t="shared" si="2"/>
        <v>11</v>
      </c>
      <c r="F14" s="4">
        <v>1509501</v>
      </c>
      <c r="G14" s="4" t="s">
        <v>319</v>
      </c>
      <c r="H14" s="4">
        <v>1</v>
      </c>
      <c r="I14" s="5" t="s">
        <v>30</v>
      </c>
      <c r="J14" s="5" t="s">
        <v>86</v>
      </c>
      <c r="K14" s="4">
        <v>5</v>
      </c>
      <c r="L14" s="4">
        <v>27</v>
      </c>
      <c r="M14" s="4">
        <v>202</v>
      </c>
      <c r="N14" s="4">
        <v>110</v>
      </c>
      <c r="O14" s="4" t="s">
        <v>250</v>
      </c>
      <c r="P14" s="4">
        <v>17</v>
      </c>
      <c r="S14" s="5"/>
      <c r="T14" s="5">
        <v>0.1</v>
      </c>
      <c r="U14" s="24"/>
      <c r="V14" s="5"/>
      <c r="W14" s="3">
        <v>10000</v>
      </c>
      <c r="X14" s="3">
        <v>0.15</v>
      </c>
      <c r="Y14" s="3">
        <v>750</v>
      </c>
      <c r="Z14" s="3">
        <v>1</v>
      </c>
      <c r="AA14" s="4">
        <v>32</v>
      </c>
      <c r="AB14" s="5">
        <v>0.56000000000000005</v>
      </c>
      <c r="AC14" s="24">
        <v>1</v>
      </c>
      <c r="AD14" s="24">
        <v>6</v>
      </c>
      <c r="AE14" s="24">
        <v>0.63519999999999999</v>
      </c>
      <c r="AF14" s="24">
        <v>0.2797</v>
      </c>
      <c r="AG14" s="5">
        <v>0.31</v>
      </c>
      <c r="AH14" s="5">
        <v>1.32</v>
      </c>
      <c r="AI14" s="5">
        <v>1.17</v>
      </c>
      <c r="AJ14" s="5"/>
    </row>
    <row r="15" spans="1:36" x14ac:dyDescent="0.25">
      <c r="A15">
        <v>14</v>
      </c>
      <c r="B15">
        <f t="shared" si="0"/>
        <v>2</v>
      </c>
      <c r="C15">
        <v>17</v>
      </c>
      <c r="D15">
        <f>D14+1</f>
        <v>3</v>
      </c>
      <c r="E15">
        <v>1</v>
      </c>
      <c r="F15" s="2">
        <v>1409503</v>
      </c>
      <c r="H15" s="2">
        <v>0</v>
      </c>
      <c r="I15" s="2" t="s">
        <v>8</v>
      </c>
      <c r="J15" s="2" t="s">
        <v>86</v>
      </c>
      <c r="K15" s="2">
        <v>283</v>
      </c>
      <c r="L15" s="2">
        <v>705</v>
      </c>
      <c r="M15" s="2">
        <v>1330</v>
      </c>
      <c r="N15" s="2">
        <v>203</v>
      </c>
      <c r="O15" s="2" t="s">
        <v>250</v>
      </c>
      <c r="P15" s="2">
        <v>17</v>
      </c>
      <c r="S15" s="1"/>
      <c r="T15" s="1">
        <v>0.13</v>
      </c>
      <c r="V15" s="1"/>
      <c r="W15">
        <v>10000</v>
      </c>
      <c r="X15">
        <v>0.15</v>
      </c>
      <c r="Y15">
        <v>1500</v>
      </c>
      <c r="Z15">
        <v>1</v>
      </c>
      <c r="AA15" s="2">
        <v>32</v>
      </c>
      <c r="AB15" s="1">
        <v>0.56000000000000005</v>
      </c>
      <c r="AC15" s="26">
        <v>1</v>
      </c>
      <c r="AD15" s="26">
        <v>4</v>
      </c>
      <c r="AE15" s="26">
        <v>0.67910000000000004</v>
      </c>
      <c r="AF15" s="26">
        <v>0.22839999999999999</v>
      </c>
      <c r="AG15" s="1">
        <v>0.31</v>
      </c>
      <c r="AH15" s="1">
        <v>1.5</v>
      </c>
      <c r="AI15" s="1">
        <v>1.05</v>
      </c>
    </row>
    <row r="16" spans="1:36" x14ac:dyDescent="0.25">
      <c r="A16">
        <v>15</v>
      </c>
      <c r="B16">
        <f t="shared" si="0"/>
        <v>2</v>
      </c>
      <c r="C16">
        <v>17</v>
      </c>
      <c r="D16">
        <f t="shared" ref="D16:D21" si="3">D15</f>
        <v>3</v>
      </c>
      <c r="E16">
        <v>2</v>
      </c>
      <c r="F16" s="2">
        <v>1420020</v>
      </c>
      <c r="G16" s="2" t="s">
        <v>319</v>
      </c>
      <c r="H16" s="2">
        <v>1</v>
      </c>
      <c r="I16" s="2"/>
      <c r="J16" s="2"/>
      <c r="K16" s="2">
        <v>5</v>
      </c>
      <c r="L16" s="2">
        <v>5</v>
      </c>
      <c r="M16" s="2">
        <v>5</v>
      </c>
      <c r="N16" s="2">
        <v>203</v>
      </c>
      <c r="O16" s="2" t="s">
        <v>250</v>
      </c>
      <c r="P16" s="2">
        <v>17</v>
      </c>
      <c r="S16" s="1"/>
      <c r="T16" s="1">
        <v>0.13</v>
      </c>
      <c r="V16" s="1"/>
      <c r="W16">
        <v>10000</v>
      </c>
      <c r="X16">
        <v>0.15</v>
      </c>
      <c r="Y16">
        <v>1500</v>
      </c>
      <c r="Z16">
        <v>1</v>
      </c>
      <c r="AA16" s="2">
        <v>32</v>
      </c>
      <c r="AB16" s="1">
        <v>0.56000000000000005</v>
      </c>
      <c r="AC16" s="26">
        <v>1</v>
      </c>
      <c r="AD16" s="26">
        <v>4</v>
      </c>
      <c r="AE16" s="26">
        <v>0.67910000000000004</v>
      </c>
      <c r="AF16" s="26">
        <v>0.22839999999999999</v>
      </c>
      <c r="AG16" s="1">
        <v>0.31</v>
      </c>
      <c r="AH16" s="1">
        <v>1.5</v>
      </c>
      <c r="AI16" s="1">
        <v>1.05</v>
      </c>
    </row>
    <row r="17" spans="1:36" x14ac:dyDescent="0.25">
      <c r="A17">
        <v>16</v>
      </c>
      <c r="B17">
        <f t="shared" si="0"/>
        <v>2</v>
      </c>
      <c r="C17">
        <v>17</v>
      </c>
      <c r="D17">
        <f t="shared" si="3"/>
        <v>3</v>
      </c>
      <c r="E17">
        <v>3</v>
      </c>
      <c r="F17" s="2">
        <v>1400538</v>
      </c>
      <c r="H17" s="2">
        <v>-1</v>
      </c>
      <c r="I17" s="2"/>
      <c r="J17" s="2"/>
      <c r="K17" s="2">
        <v>0</v>
      </c>
      <c r="L17" s="2">
        <v>0</v>
      </c>
      <c r="M17" s="2">
        <v>0</v>
      </c>
      <c r="N17" s="2">
        <v>203</v>
      </c>
      <c r="O17" s="2" t="s">
        <v>250</v>
      </c>
      <c r="P17" s="2">
        <v>17</v>
      </c>
      <c r="S17" s="1"/>
      <c r="T17" s="1">
        <v>0.13</v>
      </c>
      <c r="V17" s="1"/>
      <c r="W17">
        <v>10000</v>
      </c>
      <c r="X17">
        <v>0.15</v>
      </c>
      <c r="Y17">
        <v>1500</v>
      </c>
      <c r="Z17">
        <v>1</v>
      </c>
      <c r="AA17" s="2">
        <v>32</v>
      </c>
      <c r="AB17" s="1">
        <v>0.56000000000000005</v>
      </c>
      <c r="AC17" s="26">
        <v>1</v>
      </c>
      <c r="AD17" s="26">
        <v>4</v>
      </c>
      <c r="AE17" s="26">
        <v>0.67910000000000004</v>
      </c>
      <c r="AF17" s="26">
        <v>0.22839999999999999</v>
      </c>
      <c r="AG17" s="1">
        <v>0.31</v>
      </c>
      <c r="AH17" s="1">
        <v>1.5</v>
      </c>
      <c r="AI17" s="1">
        <v>1.05</v>
      </c>
    </row>
    <row r="18" spans="1:36" x14ac:dyDescent="0.25">
      <c r="A18">
        <v>17</v>
      </c>
      <c r="B18">
        <f t="shared" si="0"/>
        <v>2</v>
      </c>
      <c r="C18">
        <v>17</v>
      </c>
      <c r="D18">
        <f t="shared" si="3"/>
        <v>3</v>
      </c>
      <c r="E18">
        <v>4</v>
      </c>
      <c r="F18" s="2">
        <v>1700540</v>
      </c>
      <c r="H18" s="2">
        <v>-1</v>
      </c>
      <c r="I18" s="2" t="s">
        <v>39</v>
      </c>
      <c r="J18" s="2" t="s">
        <v>86</v>
      </c>
      <c r="K18" s="2">
        <v>0</v>
      </c>
      <c r="L18" s="2">
        <v>126</v>
      </c>
      <c r="M18" s="2">
        <v>203</v>
      </c>
      <c r="N18" s="2">
        <v>203</v>
      </c>
      <c r="O18" s="2" t="s">
        <v>250</v>
      </c>
      <c r="P18" s="2">
        <v>17</v>
      </c>
      <c r="S18" s="1"/>
      <c r="T18" s="1">
        <v>0.13</v>
      </c>
      <c r="V18" s="1"/>
      <c r="W18">
        <v>10000</v>
      </c>
      <c r="X18">
        <v>0.15</v>
      </c>
      <c r="Y18">
        <v>1500</v>
      </c>
      <c r="Z18">
        <v>1</v>
      </c>
      <c r="AA18" s="2">
        <v>32</v>
      </c>
      <c r="AB18" s="1">
        <v>0.56000000000000005</v>
      </c>
      <c r="AC18" s="26">
        <v>1</v>
      </c>
      <c r="AD18" s="26">
        <v>4</v>
      </c>
      <c r="AE18" s="26">
        <v>0.67910000000000004</v>
      </c>
      <c r="AF18" s="26">
        <v>0.22839999999999999</v>
      </c>
      <c r="AG18" s="1">
        <v>0.31</v>
      </c>
      <c r="AH18" s="1">
        <v>1.5</v>
      </c>
      <c r="AI18" s="1">
        <v>1.05</v>
      </c>
    </row>
    <row r="19" spans="1:36" x14ac:dyDescent="0.25">
      <c r="A19">
        <v>18</v>
      </c>
      <c r="B19">
        <f t="shared" si="0"/>
        <v>2</v>
      </c>
      <c r="C19">
        <v>17</v>
      </c>
      <c r="D19">
        <f t="shared" si="3"/>
        <v>3</v>
      </c>
      <c r="E19">
        <v>5</v>
      </c>
      <c r="F19" s="2">
        <v>1409506</v>
      </c>
      <c r="G19" s="2" t="s">
        <v>319</v>
      </c>
      <c r="H19" s="2">
        <v>1</v>
      </c>
      <c r="I19" s="2" t="s">
        <v>40</v>
      </c>
      <c r="J19" s="2" t="s">
        <v>86</v>
      </c>
      <c r="K19" s="2">
        <v>1</v>
      </c>
      <c r="L19" s="2">
        <v>21</v>
      </c>
      <c r="M19" s="2">
        <v>231</v>
      </c>
      <c r="N19" s="2">
        <v>203</v>
      </c>
      <c r="O19" s="2" t="s">
        <v>250</v>
      </c>
      <c r="P19" s="2">
        <v>17</v>
      </c>
      <c r="S19" s="1"/>
      <c r="T19" s="1">
        <v>0.13</v>
      </c>
      <c r="V19" s="1"/>
      <c r="W19">
        <v>10000</v>
      </c>
      <c r="X19">
        <v>0.15</v>
      </c>
      <c r="Y19">
        <v>1500</v>
      </c>
      <c r="Z19">
        <v>1</v>
      </c>
      <c r="AA19" s="2">
        <v>32</v>
      </c>
      <c r="AB19" s="1">
        <v>0.56000000000000005</v>
      </c>
      <c r="AC19" s="26">
        <v>1</v>
      </c>
      <c r="AD19" s="26">
        <v>4</v>
      </c>
      <c r="AE19" s="26">
        <v>0.67910000000000004</v>
      </c>
      <c r="AF19" s="26">
        <v>0.22839999999999999</v>
      </c>
      <c r="AG19" s="1">
        <v>0.31</v>
      </c>
      <c r="AH19" s="1">
        <v>1.5</v>
      </c>
      <c r="AI19" s="1">
        <v>1.05</v>
      </c>
    </row>
    <row r="20" spans="1:36" x14ac:dyDescent="0.25">
      <c r="A20">
        <v>19</v>
      </c>
      <c r="B20">
        <f t="shared" si="0"/>
        <v>2</v>
      </c>
      <c r="C20">
        <v>17</v>
      </c>
      <c r="D20">
        <f t="shared" si="3"/>
        <v>3</v>
      </c>
      <c r="E20">
        <v>6</v>
      </c>
      <c r="F20" s="2">
        <v>1700542</v>
      </c>
      <c r="H20" s="2">
        <v>-1</v>
      </c>
      <c r="I20" s="2" t="s">
        <v>41</v>
      </c>
      <c r="J20" s="2" t="s">
        <v>86</v>
      </c>
      <c r="K20" s="2">
        <v>129</v>
      </c>
      <c r="L20" s="2">
        <v>142</v>
      </c>
      <c r="M20" s="2">
        <v>348</v>
      </c>
      <c r="N20" s="2">
        <v>203</v>
      </c>
      <c r="O20" s="2" t="s">
        <v>250</v>
      </c>
      <c r="P20" s="2">
        <v>17</v>
      </c>
      <c r="S20" s="1"/>
      <c r="T20" s="1">
        <v>0.13</v>
      </c>
      <c r="V20" s="1"/>
      <c r="W20">
        <v>10000</v>
      </c>
      <c r="X20">
        <v>0.15</v>
      </c>
      <c r="Y20">
        <v>1500</v>
      </c>
      <c r="Z20">
        <v>1</v>
      </c>
      <c r="AA20" s="2">
        <v>32</v>
      </c>
      <c r="AB20" s="1">
        <v>0.56000000000000005</v>
      </c>
      <c r="AC20" s="26">
        <v>1</v>
      </c>
      <c r="AD20" s="26">
        <v>4</v>
      </c>
      <c r="AE20" s="26">
        <v>0.67910000000000004</v>
      </c>
      <c r="AF20" s="26">
        <v>0.22839999999999999</v>
      </c>
      <c r="AG20" s="1">
        <v>0.31</v>
      </c>
      <c r="AH20" s="1">
        <v>1.5</v>
      </c>
      <c r="AI20" s="1">
        <v>1.05</v>
      </c>
    </row>
    <row r="21" spans="1:36" s="3" customFormat="1" x14ac:dyDescent="0.25">
      <c r="A21" s="3">
        <v>20</v>
      </c>
      <c r="B21" s="3">
        <f t="shared" si="0"/>
        <v>2</v>
      </c>
      <c r="C21" s="3">
        <v>17</v>
      </c>
      <c r="D21" s="3">
        <f t="shared" si="3"/>
        <v>3</v>
      </c>
      <c r="E21" s="3">
        <v>7</v>
      </c>
      <c r="F21" s="4">
        <v>1700541</v>
      </c>
      <c r="G21" s="4"/>
      <c r="H21" s="4">
        <v>-1</v>
      </c>
      <c r="I21" s="4" t="s">
        <v>42</v>
      </c>
      <c r="J21" s="4" t="s">
        <v>86</v>
      </c>
      <c r="K21" s="4">
        <v>17</v>
      </c>
      <c r="L21" s="4">
        <v>35</v>
      </c>
      <c r="M21" s="4">
        <v>103</v>
      </c>
      <c r="N21" s="4">
        <v>203</v>
      </c>
      <c r="O21" s="4" t="s">
        <v>250</v>
      </c>
      <c r="P21" s="4">
        <v>17</v>
      </c>
      <c r="S21" s="5"/>
      <c r="T21" s="5">
        <v>0.13</v>
      </c>
      <c r="U21" s="24"/>
      <c r="V21" s="5"/>
      <c r="W21" s="3">
        <v>10000</v>
      </c>
      <c r="X21" s="3">
        <v>0.15</v>
      </c>
      <c r="Y21" s="3">
        <v>1500</v>
      </c>
      <c r="Z21" s="3">
        <v>1</v>
      </c>
      <c r="AA21" s="4">
        <v>32</v>
      </c>
      <c r="AB21" s="5">
        <v>0.56000000000000005</v>
      </c>
      <c r="AC21" s="24">
        <v>1</v>
      </c>
      <c r="AD21" s="24">
        <v>4</v>
      </c>
      <c r="AE21" s="24">
        <v>0.67910000000000004</v>
      </c>
      <c r="AF21" s="24">
        <v>0.22839999999999999</v>
      </c>
      <c r="AG21" s="5">
        <v>0.31</v>
      </c>
      <c r="AH21" s="5">
        <v>1.5</v>
      </c>
      <c r="AI21" s="5">
        <v>1.05</v>
      </c>
      <c r="AJ21" s="5"/>
    </row>
    <row r="22" spans="1:36" x14ac:dyDescent="0.25">
      <c r="A22">
        <v>21</v>
      </c>
      <c r="B22">
        <f t="shared" si="0"/>
        <v>2</v>
      </c>
      <c r="C22">
        <v>17</v>
      </c>
      <c r="D22">
        <f>D21+1</f>
        <v>4</v>
      </c>
      <c r="E22">
        <v>1</v>
      </c>
      <c r="F22" s="2">
        <v>1409502</v>
      </c>
      <c r="H22" s="2">
        <v>0</v>
      </c>
      <c r="I22" s="2" t="s">
        <v>9</v>
      </c>
      <c r="J22" s="2" t="s">
        <v>86</v>
      </c>
      <c r="K22" s="2">
        <v>155</v>
      </c>
      <c r="L22" s="2">
        <v>515</v>
      </c>
      <c r="M22" s="2">
        <v>1115</v>
      </c>
      <c r="N22" s="2">
        <v>85</v>
      </c>
      <c r="O22" s="2" t="s">
        <v>250</v>
      </c>
      <c r="P22" s="2">
        <v>17</v>
      </c>
      <c r="S22" s="1"/>
      <c r="T22" s="1">
        <v>0.13</v>
      </c>
      <c r="V22" s="1"/>
      <c r="W22">
        <v>10000</v>
      </c>
      <c r="X22">
        <v>0.15</v>
      </c>
      <c r="Y22">
        <v>1500</v>
      </c>
      <c r="Z22">
        <v>1</v>
      </c>
      <c r="AA22" s="2">
        <v>32</v>
      </c>
      <c r="AB22" s="1">
        <v>0.56000000000000005</v>
      </c>
      <c r="AC22" s="26">
        <v>1</v>
      </c>
      <c r="AD22" s="26">
        <v>4</v>
      </c>
      <c r="AE22" s="26">
        <v>0.56440000000000001</v>
      </c>
      <c r="AF22" s="26">
        <v>0.24690000000000001</v>
      </c>
      <c r="AG22" s="1">
        <v>0.37</v>
      </c>
      <c r="AH22" s="1">
        <v>1.38</v>
      </c>
      <c r="AI22" s="1">
        <v>1.05</v>
      </c>
    </row>
    <row r="23" spans="1:36" x14ac:dyDescent="0.25">
      <c r="A23">
        <v>22</v>
      </c>
      <c r="B23">
        <f t="shared" si="0"/>
        <v>2</v>
      </c>
      <c r="C23">
        <v>17</v>
      </c>
      <c r="D23">
        <f>D22</f>
        <v>4</v>
      </c>
      <c r="E23">
        <f>E22+1</f>
        <v>2</v>
      </c>
      <c r="F23" s="2">
        <v>1700557</v>
      </c>
      <c r="H23" s="2">
        <v>-1</v>
      </c>
      <c r="I23" s="2" t="s">
        <v>67</v>
      </c>
      <c r="J23" s="2" t="s">
        <v>86</v>
      </c>
      <c r="K23" s="2">
        <v>0</v>
      </c>
      <c r="L23" s="2">
        <v>33</v>
      </c>
      <c r="M23" s="2">
        <v>21</v>
      </c>
      <c r="N23" s="2">
        <v>85</v>
      </c>
      <c r="O23" s="2" t="s">
        <v>250</v>
      </c>
      <c r="P23" s="2">
        <v>17</v>
      </c>
      <c r="S23" s="1"/>
      <c r="T23" s="1">
        <v>0.13</v>
      </c>
      <c r="V23" s="1"/>
      <c r="W23">
        <v>10000</v>
      </c>
      <c r="X23">
        <v>0.15</v>
      </c>
      <c r="Y23">
        <v>1500</v>
      </c>
      <c r="Z23">
        <v>1</v>
      </c>
      <c r="AA23" s="2">
        <v>32</v>
      </c>
      <c r="AB23" s="1">
        <v>0.56000000000000005</v>
      </c>
      <c r="AC23" s="26">
        <v>1</v>
      </c>
      <c r="AD23" s="26">
        <v>4</v>
      </c>
      <c r="AE23" s="26">
        <v>0.56440000000000001</v>
      </c>
      <c r="AF23" s="26">
        <v>0.24690000000000001</v>
      </c>
      <c r="AG23" s="1">
        <v>0.37</v>
      </c>
      <c r="AH23" s="1">
        <v>1.38</v>
      </c>
      <c r="AI23" s="1">
        <v>1.05</v>
      </c>
    </row>
    <row r="24" spans="1:36" x14ac:dyDescent="0.25">
      <c r="A24">
        <v>23</v>
      </c>
      <c r="B24">
        <f t="shared" si="0"/>
        <v>2</v>
      </c>
      <c r="C24">
        <v>17</v>
      </c>
      <c r="D24">
        <f>D23</f>
        <v>4</v>
      </c>
      <c r="E24">
        <f>E23+1</f>
        <v>3</v>
      </c>
      <c r="F24" s="2">
        <v>1709502</v>
      </c>
      <c r="G24" s="2" t="s">
        <v>319</v>
      </c>
      <c r="H24" s="2">
        <v>1</v>
      </c>
      <c r="I24" s="1" t="s">
        <v>45</v>
      </c>
      <c r="J24" s="1" t="s">
        <v>86</v>
      </c>
      <c r="K24" s="2">
        <v>4</v>
      </c>
      <c r="L24" s="2">
        <v>12</v>
      </c>
      <c r="M24" s="2">
        <v>36</v>
      </c>
      <c r="N24" s="2">
        <v>85</v>
      </c>
      <c r="O24" s="2" t="s">
        <v>250</v>
      </c>
      <c r="P24" s="2">
        <v>17</v>
      </c>
      <c r="S24" s="1"/>
      <c r="T24" s="1">
        <v>0.13</v>
      </c>
      <c r="V24" s="1"/>
      <c r="W24">
        <v>10000</v>
      </c>
      <c r="X24">
        <v>0.15</v>
      </c>
      <c r="Y24">
        <v>1500</v>
      </c>
      <c r="Z24">
        <v>1</v>
      </c>
      <c r="AA24" s="2">
        <v>32</v>
      </c>
      <c r="AB24" s="1">
        <v>0.56000000000000005</v>
      </c>
      <c r="AC24" s="26">
        <v>1</v>
      </c>
      <c r="AD24" s="26">
        <v>4</v>
      </c>
      <c r="AE24" s="26">
        <v>0.56440000000000001</v>
      </c>
      <c r="AF24" s="26">
        <v>0.24690000000000001</v>
      </c>
      <c r="AG24" s="1">
        <v>0.37</v>
      </c>
      <c r="AH24" s="1">
        <v>1.38</v>
      </c>
      <c r="AI24" s="1">
        <v>1.05</v>
      </c>
    </row>
    <row r="25" spans="1:36" s="3" customFormat="1" x14ac:dyDescent="0.25">
      <c r="A25" s="3">
        <v>24</v>
      </c>
      <c r="B25" s="3">
        <f t="shared" si="0"/>
        <v>2</v>
      </c>
      <c r="C25" s="3">
        <v>17</v>
      </c>
      <c r="D25" s="3">
        <f>D24</f>
        <v>4</v>
      </c>
      <c r="E25" s="3">
        <f>E24+1</f>
        <v>4</v>
      </c>
      <c r="F25" s="4">
        <v>1700552</v>
      </c>
      <c r="G25" s="4"/>
      <c r="H25" s="4">
        <v>-1</v>
      </c>
      <c r="I25" s="4" t="s">
        <v>68</v>
      </c>
      <c r="J25" s="4" t="s">
        <v>87</v>
      </c>
      <c r="K25" s="4">
        <v>132</v>
      </c>
      <c r="L25" s="4">
        <v>151</v>
      </c>
      <c r="M25" s="4">
        <v>272</v>
      </c>
      <c r="N25" s="4">
        <v>85</v>
      </c>
      <c r="O25" s="4" t="s">
        <v>250</v>
      </c>
      <c r="P25" s="4">
        <v>17</v>
      </c>
      <c r="S25" s="5"/>
      <c r="T25" s="5">
        <v>0.13</v>
      </c>
      <c r="U25" s="24"/>
      <c r="V25" s="5"/>
      <c r="W25" s="3">
        <v>10000</v>
      </c>
      <c r="X25" s="3">
        <v>0.15</v>
      </c>
      <c r="Y25" s="3">
        <v>1500</v>
      </c>
      <c r="Z25" s="3">
        <v>1</v>
      </c>
      <c r="AA25" s="4">
        <v>32</v>
      </c>
      <c r="AB25" s="5">
        <v>0.56000000000000005</v>
      </c>
      <c r="AC25" s="24">
        <v>1</v>
      </c>
      <c r="AD25" s="24">
        <v>4</v>
      </c>
      <c r="AE25" s="24">
        <v>0.56440000000000001</v>
      </c>
      <c r="AF25" s="24">
        <v>0.24690000000000001</v>
      </c>
      <c r="AG25" s="5">
        <v>0.37</v>
      </c>
      <c r="AH25" s="5">
        <v>1.38</v>
      </c>
      <c r="AI25" s="5">
        <v>1.05</v>
      </c>
      <c r="AJ25" s="5"/>
    </row>
    <row r="26" spans="1:36" x14ac:dyDescent="0.25">
      <c r="A26">
        <v>25</v>
      </c>
      <c r="B26">
        <f t="shared" si="0"/>
        <v>2</v>
      </c>
      <c r="C26">
        <v>17</v>
      </c>
      <c r="D26">
        <f>D25+1</f>
        <v>5</v>
      </c>
      <c r="E26">
        <v>1</v>
      </c>
      <c r="F26" s="2">
        <v>1709503</v>
      </c>
      <c r="H26" s="2">
        <v>0</v>
      </c>
      <c r="I26" s="2" t="s">
        <v>10</v>
      </c>
      <c r="J26" s="2" t="s">
        <v>86</v>
      </c>
      <c r="K26" s="2">
        <v>101</v>
      </c>
      <c r="L26" s="2">
        <v>424</v>
      </c>
      <c r="M26" s="2">
        <v>943</v>
      </c>
      <c r="N26" s="2">
        <v>17</v>
      </c>
      <c r="O26" s="2" t="s">
        <v>250</v>
      </c>
      <c r="P26" s="2">
        <v>17</v>
      </c>
      <c r="S26" s="1"/>
      <c r="T26" s="1">
        <v>0.13</v>
      </c>
      <c r="V26" s="1"/>
      <c r="W26">
        <v>10000</v>
      </c>
      <c r="X26">
        <v>0.15</v>
      </c>
      <c r="Y26">
        <v>2500</v>
      </c>
      <c r="Z26">
        <v>1</v>
      </c>
      <c r="AA26" s="2">
        <v>32</v>
      </c>
      <c r="AB26" s="1">
        <v>0.56000000000000005</v>
      </c>
      <c r="AC26" s="26">
        <v>1</v>
      </c>
      <c r="AD26" s="26">
        <v>4</v>
      </c>
      <c r="AE26" s="26">
        <v>0.70189999999999997</v>
      </c>
      <c r="AF26" s="26">
        <v>0.2102</v>
      </c>
      <c r="AG26" s="1">
        <v>0.44</v>
      </c>
      <c r="AH26" s="1">
        <v>1.18</v>
      </c>
      <c r="AI26" s="1">
        <v>1.05</v>
      </c>
    </row>
    <row r="27" spans="1:36" x14ac:dyDescent="0.25">
      <c r="A27">
        <v>26</v>
      </c>
      <c r="B27">
        <f t="shared" si="0"/>
        <v>2</v>
      </c>
      <c r="C27">
        <v>17</v>
      </c>
      <c r="D27">
        <f>D26</f>
        <v>5</v>
      </c>
      <c r="E27">
        <f>E26+1</f>
        <v>2</v>
      </c>
      <c r="F27" s="2">
        <v>1700554</v>
      </c>
      <c r="H27" s="2">
        <v>-1</v>
      </c>
      <c r="I27" s="2" t="s">
        <v>50</v>
      </c>
      <c r="J27" s="2" t="s">
        <v>86</v>
      </c>
      <c r="K27" s="2">
        <v>0</v>
      </c>
      <c r="L27" s="2">
        <v>145</v>
      </c>
      <c r="M27" s="2">
        <v>155</v>
      </c>
      <c r="N27" s="2">
        <v>17</v>
      </c>
      <c r="O27" s="2" t="s">
        <v>250</v>
      </c>
      <c r="P27" s="2">
        <v>17</v>
      </c>
      <c r="S27" s="1"/>
      <c r="T27" s="1">
        <v>0.13</v>
      </c>
      <c r="V27" s="1"/>
      <c r="W27">
        <v>10000</v>
      </c>
      <c r="X27">
        <v>0.15</v>
      </c>
      <c r="Y27">
        <v>2500</v>
      </c>
      <c r="Z27">
        <v>1</v>
      </c>
      <c r="AA27" s="2">
        <v>32</v>
      </c>
      <c r="AB27" s="1">
        <v>0.56000000000000005</v>
      </c>
      <c r="AC27" s="26">
        <v>1</v>
      </c>
      <c r="AD27" s="26">
        <v>4</v>
      </c>
      <c r="AE27" s="26">
        <v>0.70189999999999997</v>
      </c>
      <c r="AF27" s="26">
        <v>0.2102</v>
      </c>
      <c r="AG27" s="1">
        <v>0.44</v>
      </c>
      <c r="AH27" s="1">
        <v>1.18</v>
      </c>
      <c r="AI27" s="1">
        <v>1.05</v>
      </c>
    </row>
    <row r="28" spans="1:36" x14ac:dyDescent="0.25">
      <c r="A28">
        <v>27</v>
      </c>
      <c r="B28">
        <f t="shared" si="0"/>
        <v>2</v>
      </c>
      <c r="C28">
        <v>17</v>
      </c>
      <c r="D28">
        <f>D27</f>
        <v>5</v>
      </c>
      <c r="E28">
        <f>E27+1</f>
        <v>3</v>
      </c>
      <c r="F28" s="2">
        <v>1700558</v>
      </c>
      <c r="H28" s="2">
        <v>-1</v>
      </c>
      <c r="I28" s="2" t="s">
        <v>51</v>
      </c>
      <c r="J28" s="2" t="s">
        <v>88</v>
      </c>
      <c r="K28" s="2">
        <v>83</v>
      </c>
      <c r="L28" s="2">
        <v>45</v>
      </c>
      <c r="M28" s="2">
        <v>103</v>
      </c>
      <c r="N28" s="2">
        <v>17</v>
      </c>
      <c r="O28" s="2" t="s">
        <v>250</v>
      </c>
      <c r="P28" s="2">
        <v>17</v>
      </c>
      <c r="S28" s="1"/>
      <c r="T28" s="1">
        <v>0.13</v>
      </c>
      <c r="V28" s="1"/>
      <c r="W28">
        <v>10000</v>
      </c>
      <c r="X28">
        <v>0.15</v>
      </c>
      <c r="Y28">
        <v>2500</v>
      </c>
      <c r="Z28">
        <v>1</v>
      </c>
      <c r="AA28" s="2">
        <v>32</v>
      </c>
      <c r="AB28" s="1">
        <v>0.56000000000000005</v>
      </c>
      <c r="AC28" s="26">
        <v>1</v>
      </c>
      <c r="AD28" s="26">
        <v>4</v>
      </c>
      <c r="AE28" s="26">
        <v>0.70189999999999997</v>
      </c>
      <c r="AF28" s="26">
        <v>0.2102</v>
      </c>
      <c r="AG28" s="1">
        <v>0.44</v>
      </c>
      <c r="AH28" s="1">
        <v>1.18</v>
      </c>
      <c r="AI28" s="1">
        <v>1.05</v>
      </c>
    </row>
    <row r="29" spans="1:36" x14ac:dyDescent="0.25">
      <c r="A29">
        <v>28</v>
      </c>
      <c r="B29">
        <f t="shared" si="0"/>
        <v>2</v>
      </c>
      <c r="C29">
        <v>17</v>
      </c>
      <c r="D29">
        <f>D28</f>
        <v>5</v>
      </c>
      <c r="E29">
        <f>E28+1</f>
        <v>4</v>
      </c>
      <c r="F29" s="2">
        <v>1700648</v>
      </c>
      <c r="H29" s="2">
        <v>-1</v>
      </c>
      <c r="I29" s="2" t="s">
        <v>52</v>
      </c>
      <c r="J29" s="2" t="s">
        <v>86</v>
      </c>
      <c r="K29" s="2">
        <v>0</v>
      </c>
      <c r="L29" s="2">
        <v>233</v>
      </c>
      <c r="M29" s="2">
        <v>0</v>
      </c>
      <c r="N29" s="2">
        <v>17</v>
      </c>
      <c r="O29" s="2" t="s">
        <v>250</v>
      </c>
      <c r="P29" s="2">
        <v>17</v>
      </c>
      <c r="S29" s="1"/>
      <c r="T29" s="1">
        <v>0.13</v>
      </c>
      <c r="V29" s="1"/>
      <c r="W29">
        <v>10000</v>
      </c>
      <c r="X29">
        <v>0.15</v>
      </c>
      <c r="Y29">
        <v>2500</v>
      </c>
      <c r="Z29">
        <v>1</v>
      </c>
      <c r="AA29" s="2">
        <v>32</v>
      </c>
      <c r="AB29" s="1">
        <v>0.56000000000000005</v>
      </c>
      <c r="AC29" s="26">
        <v>1</v>
      </c>
      <c r="AD29" s="26">
        <v>4</v>
      </c>
      <c r="AE29" s="26">
        <v>0.70189999999999997</v>
      </c>
      <c r="AF29" s="26">
        <v>0.2102</v>
      </c>
      <c r="AG29" s="1">
        <v>0.44</v>
      </c>
      <c r="AH29" s="1">
        <v>1.18</v>
      </c>
      <c r="AI29" s="1">
        <v>1.05</v>
      </c>
    </row>
    <row r="30" spans="1:36" x14ac:dyDescent="0.25">
      <c r="A30">
        <v>29</v>
      </c>
      <c r="B30">
        <f t="shared" si="0"/>
        <v>2</v>
      </c>
      <c r="C30">
        <v>17</v>
      </c>
      <c r="D30">
        <f>D29</f>
        <v>5</v>
      </c>
      <c r="E30">
        <f>E29+1</f>
        <v>5</v>
      </c>
      <c r="F30" s="2">
        <v>1700668</v>
      </c>
      <c r="G30" s="2" t="s">
        <v>319</v>
      </c>
      <c r="H30" s="2">
        <v>1</v>
      </c>
      <c r="I30" s="2" t="s">
        <v>53</v>
      </c>
      <c r="J30" s="2" t="s">
        <v>87</v>
      </c>
      <c r="K30" s="2">
        <v>24</v>
      </c>
      <c r="L30" s="2">
        <v>26</v>
      </c>
      <c r="M30" s="2">
        <v>31</v>
      </c>
      <c r="N30" s="2">
        <v>17</v>
      </c>
      <c r="O30" s="2" t="s">
        <v>250</v>
      </c>
      <c r="P30" s="2">
        <v>17</v>
      </c>
      <c r="S30" s="1"/>
      <c r="T30" s="1">
        <v>0.13</v>
      </c>
      <c r="V30" s="1"/>
      <c r="W30">
        <v>10000</v>
      </c>
      <c r="X30">
        <v>0.15</v>
      </c>
      <c r="Y30">
        <v>2500</v>
      </c>
      <c r="Z30">
        <v>1</v>
      </c>
      <c r="AA30" s="2">
        <v>32</v>
      </c>
      <c r="AB30" s="1">
        <v>0.56000000000000005</v>
      </c>
      <c r="AC30" s="26">
        <v>1</v>
      </c>
      <c r="AD30" s="26">
        <v>4</v>
      </c>
      <c r="AE30" s="26">
        <v>0.70189999999999997</v>
      </c>
      <c r="AF30" s="26">
        <v>0.2102</v>
      </c>
      <c r="AG30" s="1">
        <v>0.44</v>
      </c>
      <c r="AH30" s="1">
        <v>1.18</v>
      </c>
      <c r="AI30" s="1">
        <v>1.05</v>
      </c>
    </row>
    <row r="31" spans="1:36" s="3" customFormat="1" x14ac:dyDescent="0.25">
      <c r="A31" s="3">
        <v>30</v>
      </c>
      <c r="B31" s="3">
        <f t="shared" si="0"/>
        <v>2</v>
      </c>
      <c r="C31" s="3">
        <v>17</v>
      </c>
      <c r="D31" s="3">
        <f>D30</f>
        <v>5</v>
      </c>
      <c r="E31" s="3">
        <f>E30+1</f>
        <v>6</v>
      </c>
      <c r="F31" s="4">
        <v>1703525</v>
      </c>
      <c r="G31" s="4" t="s">
        <v>319</v>
      </c>
      <c r="H31" s="4">
        <v>1</v>
      </c>
      <c r="I31" s="4" t="s">
        <v>49</v>
      </c>
      <c r="J31" s="4" t="s">
        <v>86</v>
      </c>
      <c r="K31" s="4">
        <v>72</v>
      </c>
      <c r="L31" s="4">
        <v>36</v>
      </c>
      <c r="M31" s="4">
        <v>47</v>
      </c>
      <c r="N31" s="4">
        <v>17</v>
      </c>
      <c r="O31" s="4" t="s">
        <v>250</v>
      </c>
      <c r="P31" s="4">
        <v>17</v>
      </c>
      <c r="S31" s="5"/>
      <c r="T31" s="5">
        <v>0.13</v>
      </c>
      <c r="U31" s="24"/>
      <c r="V31" s="5"/>
      <c r="W31" s="3">
        <v>10000</v>
      </c>
      <c r="X31" s="3">
        <v>0.15</v>
      </c>
      <c r="Y31" s="3">
        <v>2500</v>
      </c>
      <c r="Z31" s="3">
        <v>1</v>
      </c>
      <c r="AA31" s="4">
        <v>32</v>
      </c>
      <c r="AB31" s="5">
        <v>0.56000000000000005</v>
      </c>
      <c r="AC31" s="24">
        <v>1</v>
      </c>
      <c r="AD31" s="24">
        <v>4</v>
      </c>
      <c r="AE31" s="24">
        <v>0.70189999999999997</v>
      </c>
      <c r="AF31" s="24">
        <v>0.2102</v>
      </c>
      <c r="AG31" s="5">
        <v>0.44</v>
      </c>
      <c r="AH31" s="5">
        <v>1.18</v>
      </c>
      <c r="AI31" s="5">
        <v>1.05</v>
      </c>
      <c r="AJ31" s="5"/>
    </row>
    <row r="32" spans="1:36" x14ac:dyDescent="0.25">
      <c r="A32">
        <v>31</v>
      </c>
      <c r="B32">
        <f t="shared" si="0"/>
        <v>2</v>
      </c>
      <c r="C32">
        <v>17</v>
      </c>
      <c r="D32">
        <f>D31+1</f>
        <v>6</v>
      </c>
      <c r="E32">
        <v>1</v>
      </c>
      <c r="F32" s="2">
        <v>1709507</v>
      </c>
      <c r="H32" s="2">
        <v>0</v>
      </c>
      <c r="I32" s="2" t="s">
        <v>11</v>
      </c>
      <c r="J32" s="2" t="s">
        <v>86</v>
      </c>
      <c r="K32" s="2">
        <v>107</v>
      </c>
      <c r="L32" s="2">
        <v>346</v>
      </c>
      <c r="M32" s="2">
        <v>780</v>
      </c>
      <c r="N32" s="2">
        <v>56</v>
      </c>
      <c r="O32" s="2" t="s">
        <v>250</v>
      </c>
      <c r="P32" s="2">
        <v>17</v>
      </c>
      <c r="S32" s="1"/>
      <c r="T32" s="1">
        <v>0.13</v>
      </c>
      <c r="V32" s="1"/>
      <c r="W32">
        <v>10000</v>
      </c>
      <c r="X32">
        <v>0.15</v>
      </c>
      <c r="Y32">
        <v>2500</v>
      </c>
      <c r="Z32">
        <v>1</v>
      </c>
      <c r="AA32" s="2">
        <v>32</v>
      </c>
      <c r="AB32" s="1">
        <v>0.56000000000000005</v>
      </c>
      <c r="AC32" s="26">
        <v>1</v>
      </c>
      <c r="AD32" s="26">
        <v>3.5</v>
      </c>
      <c r="AE32" s="26">
        <v>0.49640000000000001</v>
      </c>
      <c r="AF32" s="26">
        <v>0.2626</v>
      </c>
      <c r="AG32" s="1">
        <v>0.49</v>
      </c>
      <c r="AH32" s="1">
        <v>0.96</v>
      </c>
      <c r="AI32" s="1">
        <v>1.04</v>
      </c>
    </row>
    <row r="33" spans="1:36" x14ac:dyDescent="0.25">
      <c r="A33">
        <v>32</v>
      </c>
      <c r="B33">
        <f t="shared" si="0"/>
        <v>2</v>
      </c>
      <c r="C33">
        <v>17</v>
      </c>
      <c r="D33">
        <f>D32</f>
        <v>6</v>
      </c>
      <c r="E33">
        <f>E32+1</f>
        <v>2</v>
      </c>
      <c r="F33" s="2" t="str">
        <f>SRnewremoved!C33</f>
        <v>Timpas Creek</v>
      </c>
      <c r="G33" s="2" t="s">
        <v>319</v>
      </c>
      <c r="H33" s="2">
        <v>1</v>
      </c>
      <c r="I33" s="2"/>
      <c r="J33" s="2"/>
      <c r="K33" s="2">
        <v>21</v>
      </c>
      <c r="L33" s="2">
        <v>48</v>
      </c>
      <c r="M33" s="2">
        <v>79</v>
      </c>
      <c r="N33" s="2">
        <v>56</v>
      </c>
      <c r="O33" s="2" t="s">
        <v>250</v>
      </c>
      <c r="P33" s="2">
        <v>17</v>
      </c>
      <c r="S33" s="1"/>
      <c r="T33" s="1">
        <v>0.13</v>
      </c>
      <c r="V33" s="1"/>
      <c r="W33">
        <v>10000</v>
      </c>
      <c r="X33">
        <v>0.15</v>
      </c>
      <c r="Y33">
        <v>2500</v>
      </c>
      <c r="Z33">
        <v>1</v>
      </c>
      <c r="AA33" s="2">
        <v>32</v>
      </c>
      <c r="AB33" s="1">
        <v>0.56000000000000005</v>
      </c>
      <c r="AC33" s="26">
        <v>1</v>
      </c>
      <c r="AD33" s="26">
        <v>3.5</v>
      </c>
      <c r="AE33" s="26">
        <v>0.49640000000000001</v>
      </c>
      <c r="AF33" s="26">
        <v>0.2626</v>
      </c>
      <c r="AG33" s="1">
        <v>0.49</v>
      </c>
      <c r="AH33" s="1">
        <v>0.96</v>
      </c>
      <c r="AI33" s="1">
        <v>1.04</v>
      </c>
    </row>
    <row r="34" spans="1:36" x14ac:dyDescent="0.25">
      <c r="A34">
        <v>33</v>
      </c>
      <c r="B34">
        <f t="shared" si="0"/>
        <v>2</v>
      </c>
      <c r="C34">
        <v>17</v>
      </c>
      <c r="D34">
        <f>D33</f>
        <v>6</v>
      </c>
      <c r="E34">
        <f>E33+1</f>
        <v>3</v>
      </c>
      <c r="F34" s="2">
        <v>1703511</v>
      </c>
      <c r="G34" s="2" t="s">
        <v>319</v>
      </c>
      <c r="H34" s="2">
        <v>1</v>
      </c>
      <c r="I34" s="2" t="s">
        <v>98</v>
      </c>
      <c r="J34" s="2" t="s">
        <v>86</v>
      </c>
      <c r="K34" s="2">
        <v>0</v>
      </c>
      <c r="L34" s="2">
        <v>0</v>
      </c>
      <c r="M34" s="2">
        <v>0</v>
      </c>
      <c r="N34" s="2">
        <v>56</v>
      </c>
      <c r="O34" s="2" t="s">
        <v>250</v>
      </c>
      <c r="P34" s="2">
        <v>17</v>
      </c>
      <c r="S34" s="1"/>
      <c r="T34" s="1">
        <v>0.13</v>
      </c>
      <c r="V34" s="1"/>
      <c r="W34">
        <v>10000</v>
      </c>
      <c r="X34">
        <v>0.15</v>
      </c>
      <c r="Y34">
        <v>2500</v>
      </c>
      <c r="Z34">
        <v>1</v>
      </c>
      <c r="AA34" s="2">
        <v>32</v>
      </c>
      <c r="AB34" s="1">
        <v>0.56000000000000005</v>
      </c>
      <c r="AC34" s="26">
        <v>1</v>
      </c>
      <c r="AD34" s="26">
        <v>3.5</v>
      </c>
      <c r="AE34" s="26">
        <v>0.49640000000000001</v>
      </c>
      <c r="AF34" s="26">
        <v>0.2626</v>
      </c>
      <c r="AG34" s="1">
        <v>0.49</v>
      </c>
      <c r="AH34" s="1">
        <v>0.96</v>
      </c>
      <c r="AI34" s="1">
        <v>1.04</v>
      </c>
    </row>
    <row r="35" spans="1:36" x14ac:dyDescent="0.25">
      <c r="A35">
        <v>34</v>
      </c>
      <c r="B35">
        <f t="shared" si="0"/>
        <v>2</v>
      </c>
      <c r="C35">
        <v>17</v>
      </c>
      <c r="D35">
        <f>D34</f>
        <v>6</v>
      </c>
      <c r="E35">
        <f>E34+1</f>
        <v>4</v>
      </c>
      <c r="F35" s="2">
        <v>1700553</v>
      </c>
      <c r="H35" s="2">
        <v>-1</v>
      </c>
      <c r="I35" s="2" t="s">
        <v>58</v>
      </c>
      <c r="J35" s="2" t="s">
        <v>86</v>
      </c>
      <c r="K35" s="2">
        <v>152</v>
      </c>
      <c r="L35" s="2">
        <v>313</v>
      </c>
      <c r="M35" s="2">
        <v>552</v>
      </c>
      <c r="N35" s="2">
        <v>56</v>
      </c>
      <c r="O35" s="2" t="s">
        <v>250</v>
      </c>
      <c r="P35" s="2">
        <v>17</v>
      </c>
      <c r="S35" s="1"/>
      <c r="T35" s="1">
        <v>0.13</v>
      </c>
      <c r="V35" s="1"/>
      <c r="W35">
        <v>10000</v>
      </c>
      <c r="X35">
        <v>0.15</v>
      </c>
      <c r="Y35">
        <v>2500</v>
      </c>
      <c r="Z35">
        <v>1</v>
      </c>
      <c r="AA35" s="2">
        <v>32</v>
      </c>
      <c r="AB35" s="1">
        <v>0.56000000000000005</v>
      </c>
      <c r="AC35" s="26">
        <v>1</v>
      </c>
      <c r="AD35" s="26">
        <v>3.5</v>
      </c>
      <c r="AE35" s="26">
        <v>0.49640000000000001</v>
      </c>
      <c r="AF35" s="26">
        <v>0.2626</v>
      </c>
      <c r="AG35" s="1">
        <v>0.49</v>
      </c>
      <c r="AH35" s="1">
        <v>0.96</v>
      </c>
      <c r="AI35" s="1">
        <v>1.04</v>
      </c>
    </row>
    <row r="36" spans="1:36" s="3" customFormat="1" x14ac:dyDescent="0.25">
      <c r="A36" s="3">
        <v>35</v>
      </c>
      <c r="B36" s="3">
        <f t="shared" si="0"/>
        <v>2</v>
      </c>
      <c r="C36" s="3">
        <v>17</v>
      </c>
      <c r="D36" s="3">
        <f>D35</f>
        <v>6</v>
      </c>
      <c r="E36" s="3">
        <f>E35+1</f>
        <v>5</v>
      </c>
      <c r="F36" s="4" t="str">
        <f>SRnewremoved!C36</f>
        <v>Crooked Arroyo</v>
      </c>
      <c r="G36" s="4" t="s">
        <v>319</v>
      </c>
      <c r="H36" s="4">
        <v>1</v>
      </c>
      <c r="I36" s="4"/>
      <c r="J36" s="4"/>
      <c r="K36" s="4">
        <v>4</v>
      </c>
      <c r="L36" s="4">
        <v>10</v>
      </c>
      <c r="M36" s="4">
        <v>32</v>
      </c>
      <c r="N36" s="4">
        <v>56</v>
      </c>
      <c r="O36" s="4" t="s">
        <v>250</v>
      </c>
      <c r="P36" s="4">
        <v>17</v>
      </c>
      <c r="S36" s="5"/>
      <c r="T36" s="5">
        <v>0.13</v>
      </c>
      <c r="U36" s="24"/>
      <c r="V36" s="5"/>
      <c r="W36" s="3">
        <v>10000</v>
      </c>
      <c r="X36" s="3">
        <v>0.15</v>
      </c>
      <c r="Y36" s="3">
        <v>2500</v>
      </c>
      <c r="Z36" s="3">
        <v>1</v>
      </c>
      <c r="AA36" s="4">
        <v>32</v>
      </c>
      <c r="AB36" s="5">
        <v>0.56000000000000005</v>
      </c>
      <c r="AC36" s="24">
        <v>1</v>
      </c>
      <c r="AD36" s="24">
        <v>3.5</v>
      </c>
      <c r="AE36" s="24">
        <v>0.49640000000000001</v>
      </c>
      <c r="AF36" s="24">
        <v>0.2626</v>
      </c>
      <c r="AG36" s="5">
        <v>0.49</v>
      </c>
      <c r="AH36" s="5">
        <v>0.96</v>
      </c>
      <c r="AI36" s="5">
        <v>1.04</v>
      </c>
      <c r="AJ36" s="5"/>
    </row>
    <row r="37" spans="1:36" x14ac:dyDescent="0.25">
      <c r="A37">
        <v>36</v>
      </c>
      <c r="B37">
        <f t="shared" si="0"/>
        <v>2</v>
      </c>
      <c r="C37">
        <v>17</v>
      </c>
      <c r="D37">
        <f>D36+1</f>
        <v>7</v>
      </c>
      <c r="E37">
        <v>1</v>
      </c>
      <c r="F37" s="2">
        <v>1709504</v>
      </c>
      <c r="H37" s="2">
        <v>0</v>
      </c>
      <c r="I37" s="2" t="s">
        <v>12</v>
      </c>
      <c r="J37" s="2" t="s">
        <v>86</v>
      </c>
      <c r="K37" s="2">
        <v>12</v>
      </c>
      <c r="L37" s="2">
        <v>165</v>
      </c>
      <c r="M37" s="2">
        <v>395</v>
      </c>
      <c r="N37" s="2">
        <v>116</v>
      </c>
      <c r="O37" s="2" t="s">
        <v>250</v>
      </c>
      <c r="P37" s="2">
        <v>17</v>
      </c>
      <c r="S37" s="1"/>
      <c r="T37" s="1">
        <v>0.15</v>
      </c>
      <c r="V37" s="1"/>
      <c r="W37">
        <v>10000</v>
      </c>
      <c r="X37">
        <v>0.15</v>
      </c>
      <c r="Y37">
        <v>3000</v>
      </c>
      <c r="Z37">
        <v>1</v>
      </c>
      <c r="AA37" s="2">
        <v>32</v>
      </c>
      <c r="AB37" s="1">
        <v>0.56000000000000005</v>
      </c>
      <c r="AC37" s="26">
        <v>1</v>
      </c>
      <c r="AD37" s="26">
        <v>3</v>
      </c>
      <c r="AE37" s="26">
        <v>1.1425000000000001</v>
      </c>
      <c r="AF37" s="26">
        <v>0.14080000000000001</v>
      </c>
      <c r="AG37" s="1">
        <v>0.41</v>
      </c>
      <c r="AH37" s="1">
        <v>1.06</v>
      </c>
      <c r="AI37" s="1">
        <v>1.02</v>
      </c>
    </row>
    <row r="38" spans="1:36" x14ac:dyDescent="0.25">
      <c r="A38">
        <v>37</v>
      </c>
      <c r="B38">
        <f t="shared" si="0"/>
        <v>2</v>
      </c>
      <c r="C38">
        <v>17</v>
      </c>
      <c r="D38">
        <f>D37</f>
        <v>7</v>
      </c>
      <c r="E38">
        <v>2</v>
      </c>
      <c r="F38" s="2">
        <v>1720017</v>
      </c>
      <c r="G38" s="2" t="s">
        <v>319</v>
      </c>
      <c r="H38" s="2">
        <v>1</v>
      </c>
      <c r="I38" s="2"/>
      <c r="J38" s="2"/>
      <c r="K38" s="2">
        <v>5</v>
      </c>
      <c r="L38" s="2">
        <v>5</v>
      </c>
      <c r="M38" s="2">
        <v>5</v>
      </c>
      <c r="N38" s="2">
        <v>116</v>
      </c>
      <c r="O38" s="2" t="s">
        <v>250</v>
      </c>
      <c r="P38" s="2">
        <v>17</v>
      </c>
      <c r="S38" s="1"/>
      <c r="T38" s="1">
        <v>0.15</v>
      </c>
      <c r="V38" s="1"/>
      <c r="W38">
        <v>10000</v>
      </c>
      <c r="X38">
        <v>0.15</v>
      </c>
      <c r="Y38">
        <v>3000</v>
      </c>
      <c r="Z38">
        <v>1</v>
      </c>
      <c r="AA38" s="2">
        <v>32</v>
      </c>
      <c r="AB38" s="1">
        <v>0.56000000000000005</v>
      </c>
      <c r="AC38" s="26">
        <v>1</v>
      </c>
      <c r="AD38" s="26">
        <v>3</v>
      </c>
      <c r="AE38" s="26">
        <v>1.1425000000000001</v>
      </c>
      <c r="AF38" s="26">
        <v>0.14080000000000001</v>
      </c>
      <c r="AG38" s="1">
        <v>0.41</v>
      </c>
      <c r="AH38" s="1">
        <v>1.06</v>
      </c>
      <c r="AI38" s="1">
        <v>1.02</v>
      </c>
    </row>
    <row r="39" spans="1:36" x14ac:dyDescent="0.25">
      <c r="A39">
        <v>38</v>
      </c>
      <c r="B39">
        <f t="shared" si="0"/>
        <v>2</v>
      </c>
      <c r="C39">
        <v>17</v>
      </c>
      <c r="D39">
        <f>D38</f>
        <v>7</v>
      </c>
      <c r="E39">
        <v>3</v>
      </c>
      <c r="F39" s="2">
        <v>1700556</v>
      </c>
      <c r="H39" s="2">
        <v>-1</v>
      </c>
      <c r="I39" s="2" t="s">
        <v>62</v>
      </c>
      <c r="J39" s="2" t="s">
        <v>86</v>
      </c>
      <c r="K39" s="2">
        <v>27</v>
      </c>
      <c r="L39" s="2">
        <v>53</v>
      </c>
      <c r="M39" s="2">
        <v>29</v>
      </c>
      <c r="N39" s="2">
        <v>116</v>
      </c>
      <c r="O39" s="2" t="s">
        <v>250</v>
      </c>
      <c r="P39" s="2">
        <v>17</v>
      </c>
      <c r="S39" s="1"/>
      <c r="T39" s="1">
        <v>0.15</v>
      </c>
      <c r="V39" s="1"/>
      <c r="W39">
        <v>10000</v>
      </c>
      <c r="X39">
        <v>0.15</v>
      </c>
      <c r="Y39">
        <v>3000</v>
      </c>
      <c r="Z39">
        <v>1</v>
      </c>
      <c r="AA39" s="2">
        <v>32</v>
      </c>
      <c r="AB39" s="1">
        <v>0.56000000000000005</v>
      </c>
      <c r="AC39" s="26">
        <v>1</v>
      </c>
      <c r="AD39" s="26">
        <v>3</v>
      </c>
      <c r="AE39" s="26">
        <v>1.1425000000000001</v>
      </c>
      <c r="AF39" s="26">
        <v>0.14080000000000001</v>
      </c>
      <c r="AG39" s="1">
        <v>0.41</v>
      </c>
      <c r="AH39" s="1">
        <v>1.06</v>
      </c>
      <c r="AI39" s="1">
        <v>1.02</v>
      </c>
    </row>
    <row r="40" spans="1:36" s="3" customFormat="1" x14ac:dyDescent="0.25">
      <c r="A40" s="3">
        <v>39</v>
      </c>
      <c r="B40" s="3">
        <f t="shared" si="0"/>
        <v>2</v>
      </c>
      <c r="C40" s="3">
        <v>17</v>
      </c>
      <c r="D40" s="3">
        <f>D39</f>
        <v>7</v>
      </c>
      <c r="E40" s="3">
        <v>4</v>
      </c>
      <c r="F40" s="4" t="str">
        <f>SRnewremoved!C40</f>
        <v>Horse Creek</v>
      </c>
      <c r="G40" s="4" t="s">
        <v>319</v>
      </c>
      <c r="H40" s="4">
        <v>1</v>
      </c>
      <c r="I40" s="4"/>
      <c r="J40" s="4"/>
      <c r="K40" s="4">
        <v>7</v>
      </c>
      <c r="L40" s="4">
        <v>7</v>
      </c>
      <c r="M40" s="4">
        <v>7</v>
      </c>
      <c r="N40" s="4">
        <v>116</v>
      </c>
      <c r="O40" s="4" t="s">
        <v>250</v>
      </c>
      <c r="P40" s="4">
        <v>17</v>
      </c>
      <c r="S40" s="5"/>
      <c r="T40" s="5">
        <v>0.15</v>
      </c>
      <c r="U40" s="24"/>
      <c r="V40" s="5"/>
      <c r="W40" s="3">
        <v>10000</v>
      </c>
      <c r="X40" s="3">
        <v>0.15</v>
      </c>
      <c r="Y40" s="3">
        <v>3000</v>
      </c>
      <c r="Z40" s="3">
        <v>1</v>
      </c>
      <c r="AA40" s="4">
        <v>32</v>
      </c>
      <c r="AB40" s="5">
        <v>0.56000000000000005</v>
      </c>
      <c r="AC40" s="24">
        <v>1</v>
      </c>
      <c r="AD40" s="24">
        <v>3</v>
      </c>
      <c r="AE40" s="24">
        <v>1.1425000000000001</v>
      </c>
      <c r="AF40" s="24">
        <v>0.14080000000000001</v>
      </c>
      <c r="AG40" s="5">
        <v>0.41</v>
      </c>
      <c r="AH40" s="5">
        <v>1.06</v>
      </c>
      <c r="AI40" s="5">
        <v>1.02</v>
      </c>
      <c r="AJ40" s="5"/>
    </row>
    <row r="41" spans="1:36" x14ac:dyDescent="0.25">
      <c r="A41">
        <v>40</v>
      </c>
      <c r="B41">
        <f t="shared" si="0"/>
        <v>2</v>
      </c>
      <c r="C41">
        <v>17</v>
      </c>
      <c r="D41">
        <f>D40+1</f>
        <v>8</v>
      </c>
      <c r="E41">
        <v>1</v>
      </c>
      <c r="F41" s="2">
        <v>1709505</v>
      </c>
      <c r="H41" s="2">
        <v>0</v>
      </c>
      <c r="I41" s="2" t="s">
        <v>13</v>
      </c>
      <c r="J41" s="2" t="s">
        <v>86</v>
      </c>
      <c r="K41" s="2">
        <v>25</v>
      </c>
      <c r="L41" s="2">
        <v>166</v>
      </c>
      <c r="M41" s="2">
        <v>494</v>
      </c>
      <c r="N41" s="2">
        <f>N40</f>
        <v>116</v>
      </c>
      <c r="O41" s="2" t="s">
        <v>250</v>
      </c>
      <c r="P41" s="2">
        <v>17</v>
      </c>
      <c r="S41" s="1"/>
      <c r="T41" s="1">
        <v>0.15</v>
      </c>
      <c r="V41" s="1"/>
      <c r="W41">
        <v>10000</v>
      </c>
      <c r="X41">
        <v>0.15</v>
      </c>
      <c r="Y41">
        <v>3000</v>
      </c>
      <c r="Z41">
        <v>1</v>
      </c>
      <c r="AA41" s="2">
        <v>32</v>
      </c>
      <c r="AB41" s="1">
        <v>0.56000000000000005</v>
      </c>
      <c r="AC41" s="26">
        <v>1</v>
      </c>
      <c r="AD41" s="26">
        <v>3</v>
      </c>
      <c r="AE41" s="26">
        <v>1.1425000000000001</v>
      </c>
      <c r="AF41" s="26">
        <v>0.14080000000000001</v>
      </c>
      <c r="AG41" s="1">
        <v>0.41</v>
      </c>
      <c r="AH41" s="1">
        <v>1.06</v>
      </c>
      <c r="AI41" s="1">
        <v>1.01</v>
      </c>
    </row>
    <row r="42" spans="1:36" x14ac:dyDescent="0.25">
      <c r="A42">
        <v>41</v>
      </c>
      <c r="B42">
        <f>B40</f>
        <v>2</v>
      </c>
      <c r="C42">
        <v>17</v>
      </c>
      <c r="D42">
        <f>D41</f>
        <v>8</v>
      </c>
      <c r="E42">
        <v>2</v>
      </c>
      <c r="F42" s="2">
        <v>1709518</v>
      </c>
      <c r="G42" s="2" t="s">
        <v>319</v>
      </c>
      <c r="H42" s="2">
        <v>1</v>
      </c>
      <c r="I42" s="2" t="s">
        <v>70</v>
      </c>
      <c r="J42" s="2" t="s">
        <v>86</v>
      </c>
      <c r="K42" s="2">
        <v>6</v>
      </c>
      <c r="L42" s="2">
        <v>51</v>
      </c>
      <c r="M42" s="2">
        <v>148</v>
      </c>
      <c r="N42" s="2">
        <f>N41</f>
        <v>116</v>
      </c>
      <c r="O42" s="2" t="s">
        <v>250</v>
      </c>
      <c r="P42" s="2">
        <v>17</v>
      </c>
      <c r="S42" s="1"/>
      <c r="T42" s="1">
        <v>0.15</v>
      </c>
      <c r="V42" s="1"/>
      <c r="W42">
        <v>10000</v>
      </c>
      <c r="X42">
        <v>0.15</v>
      </c>
      <c r="Y42">
        <v>3000</v>
      </c>
      <c r="Z42">
        <v>1</v>
      </c>
      <c r="AA42" s="2">
        <v>32</v>
      </c>
      <c r="AB42" s="1">
        <v>0.56000000000000005</v>
      </c>
      <c r="AC42" s="26">
        <v>1</v>
      </c>
      <c r="AD42" s="26">
        <v>3</v>
      </c>
      <c r="AE42" s="26">
        <v>1.1425000000000001</v>
      </c>
      <c r="AF42" s="26">
        <v>0.14080000000000001</v>
      </c>
      <c r="AG42" s="1">
        <v>0.41</v>
      </c>
      <c r="AH42" s="1">
        <v>1.06</v>
      </c>
      <c r="AI42" s="1">
        <v>1.01</v>
      </c>
    </row>
    <row r="43" spans="1:36" x14ac:dyDescent="0.25">
      <c r="A43">
        <v>42</v>
      </c>
      <c r="B43">
        <f>B41</f>
        <v>2</v>
      </c>
      <c r="C43">
        <v>17</v>
      </c>
      <c r="D43">
        <f>D42</f>
        <v>8</v>
      </c>
      <c r="E43">
        <v>3</v>
      </c>
      <c r="F43" s="2" t="str">
        <f>SRnewremoved!C43</f>
        <v>Gageby Creek</v>
      </c>
      <c r="G43" s="2" t="s">
        <v>319</v>
      </c>
      <c r="H43" s="2">
        <v>1</v>
      </c>
      <c r="I43" s="2"/>
      <c r="J43" s="2"/>
      <c r="K43" s="2">
        <v>1</v>
      </c>
      <c r="L43" s="2">
        <v>2</v>
      </c>
      <c r="M43" s="2">
        <v>3</v>
      </c>
      <c r="N43" s="2">
        <f>N42</f>
        <v>116</v>
      </c>
      <c r="O43" s="2" t="s">
        <v>249</v>
      </c>
      <c r="P43" s="2">
        <v>17</v>
      </c>
      <c r="S43" s="1"/>
      <c r="T43" s="1">
        <v>0</v>
      </c>
      <c r="V43" s="1"/>
      <c r="W43">
        <v>10000</v>
      </c>
      <c r="X43">
        <v>0.15</v>
      </c>
      <c r="Y43">
        <v>3000</v>
      </c>
      <c r="Z43">
        <v>1</v>
      </c>
      <c r="AA43" s="2">
        <v>32</v>
      </c>
      <c r="AB43" s="1">
        <v>0.56000000000000005</v>
      </c>
      <c r="AC43" s="26">
        <v>1</v>
      </c>
      <c r="AD43" s="26">
        <v>3</v>
      </c>
      <c r="AE43" s="26">
        <v>1.1425000000000001</v>
      </c>
      <c r="AF43" s="26">
        <v>0.14080000000000001</v>
      </c>
      <c r="AG43" s="1">
        <v>0.41</v>
      </c>
      <c r="AH43" s="1">
        <v>1.06</v>
      </c>
      <c r="AI43" s="1">
        <v>0</v>
      </c>
    </row>
    <row r="44" spans="1:36" x14ac:dyDescent="0.25">
      <c r="A44">
        <v>43</v>
      </c>
      <c r="B44">
        <f>B42</f>
        <v>2</v>
      </c>
      <c r="C44">
        <v>17</v>
      </c>
      <c r="D44">
        <f>D43</f>
        <v>8</v>
      </c>
      <c r="E44">
        <v>4</v>
      </c>
      <c r="F44" s="2">
        <v>6701005</v>
      </c>
      <c r="G44" s="2" t="s">
        <v>319</v>
      </c>
      <c r="H44" s="2">
        <v>1</v>
      </c>
      <c r="I44" s="7" t="s">
        <v>276</v>
      </c>
      <c r="J44" s="7" t="s">
        <v>86</v>
      </c>
      <c r="K44" s="2">
        <v>1</v>
      </c>
      <c r="L44" s="2">
        <v>2</v>
      </c>
      <c r="M44" s="2">
        <v>3</v>
      </c>
      <c r="N44" s="2">
        <f>N43</f>
        <v>116</v>
      </c>
      <c r="O44" s="2" t="s">
        <v>249</v>
      </c>
      <c r="P44" s="2">
        <v>17</v>
      </c>
      <c r="S44" s="1"/>
      <c r="T44" s="1">
        <v>0</v>
      </c>
      <c r="U44" s="26">
        <v>0.52400000000000002</v>
      </c>
      <c r="V44" s="1">
        <v>0.2</v>
      </c>
      <c r="W44">
        <v>10000</v>
      </c>
      <c r="X44">
        <v>0.15</v>
      </c>
      <c r="Y44">
        <v>3000</v>
      </c>
      <c r="Z44">
        <v>1</v>
      </c>
      <c r="AA44" s="2">
        <v>32</v>
      </c>
      <c r="AB44" s="1">
        <v>0.56000000000000005</v>
      </c>
      <c r="AC44" s="26">
        <v>1</v>
      </c>
      <c r="AD44" s="26">
        <v>3</v>
      </c>
      <c r="AE44" s="26">
        <v>1.1425000000000001</v>
      </c>
      <c r="AF44" s="26">
        <v>0.14080000000000001</v>
      </c>
      <c r="AG44" s="1">
        <v>0.41</v>
      </c>
      <c r="AH44" s="1">
        <v>1.06</v>
      </c>
      <c r="AI44" s="1">
        <v>0</v>
      </c>
    </row>
    <row r="45" spans="1:36" s="6" customFormat="1" ht="15.75" thickBot="1" x14ac:dyDescent="0.3">
      <c r="A45" s="6">
        <v>44</v>
      </c>
      <c r="B45" s="6">
        <v>2</v>
      </c>
      <c r="C45" s="6">
        <v>17</v>
      </c>
      <c r="D45" s="6">
        <v>8</v>
      </c>
      <c r="F45" s="7">
        <v>6703512</v>
      </c>
      <c r="G45" s="7"/>
      <c r="H45" s="7"/>
      <c r="I45" s="7"/>
      <c r="J45" s="7"/>
      <c r="K45" s="7"/>
      <c r="L45" s="7"/>
      <c r="M45" s="7"/>
      <c r="N45" s="7"/>
      <c r="O45" s="7"/>
      <c r="P45" s="7"/>
      <c r="S45" s="21"/>
      <c r="T45" s="21"/>
      <c r="U45" s="27"/>
      <c r="V45" s="21"/>
      <c r="AA45" s="7"/>
      <c r="AB45" s="21"/>
      <c r="AC45" s="27"/>
      <c r="AD45" s="27"/>
      <c r="AE45" s="27"/>
      <c r="AF45" s="27"/>
      <c r="AG45" s="21"/>
      <c r="AH45" s="21"/>
      <c r="AI45" s="21"/>
      <c r="AJ45" s="21"/>
    </row>
    <row r="46" spans="1:36" s="49" customFormat="1" x14ac:dyDescent="0.25">
      <c r="A46" s="49">
        <v>45</v>
      </c>
      <c r="B46" s="49">
        <v>2</v>
      </c>
      <c r="C46" s="49">
        <v>171</v>
      </c>
      <c r="D46" s="49">
        <v>1</v>
      </c>
      <c r="E46" s="49">
        <v>1</v>
      </c>
      <c r="F46" s="50">
        <v>1700800</v>
      </c>
      <c r="G46" s="50"/>
      <c r="H46" s="50">
        <v>0</v>
      </c>
      <c r="I46" s="50" t="s">
        <v>195</v>
      </c>
      <c r="J46" s="50" t="s">
        <v>86</v>
      </c>
      <c r="K46" s="50">
        <v>1</v>
      </c>
      <c r="L46" s="50">
        <v>2</v>
      </c>
      <c r="M46" s="50">
        <v>3</v>
      </c>
      <c r="N46" s="50">
        <v>10</v>
      </c>
      <c r="O46" s="50" t="s">
        <v>251</v>
      </c>
      <c r="P46" s="50">
        <v>17</v>
      </c>
      <c r="S46" s="51"/>
      <c r="T46" s="51">
        <v>0.11686583276296579</v>
      </c>
      <c r="U46" s="52"/>
      <c r="V46" s="51"/>
      <c r="W46" s="49">
        <v>10000</v>
      </c>
      <c r="X46" s="49">
        <v>0.15</v>
      </c>
      <c r="Y46" s="49">
        <v>2500</v>
      </c>
      <c r="Z46" s="49">
        <v>1</v>
      </c>
      <c r="AA46" s="50">
        <v>32</v>
      </c>
      <c r="AB46" s="51">
        <v>0.56000000000000005</v>
      </c>
      <c r="AC46" s="52">
        <v>1</v>
      </c>
      <c r="AD46" s="52"/>
      <c r="AE46" s="52">
        <v>1.1377999999999999</v>
      </c>
      <c r="AF46" s="52">
        <v>0.1648</v>
      </c>
      <c r="AG46" s="51">
        <v>0.2</v>
      </c>
      <c r="AH46" s="51">
        <v>1.32</v>
      </c>
      <c r="AI46" s="51">
        <v>0</v>
      </c>
      <c r="AJ46" s="51"/>
    </row>
    <row r="47" spans="1:36" s="15" customFormat="1" x14ac:dyDescent="0.25">
      <c r="A47" s="15">
        <v>46</v>
      </c>
      <c r="B47" s="15">
        <f>B46</f>
        <v>2</v>
      </c>
      <c r="C47" s="15">
        <v>171</v>
      </c>
      <c r="D47" s="15">
        <v>2</v>
      </c>
      <c r="E47" s="15">
        <v>1</v>
      </c>
      <c r="F47" s="16">
        <v>1709520</v>
      </c>
      <c r="G47" s="16"/>
      <c r="H47" s="16">
        <v>0</v>
      </c>
      <c r="I47" s="16" t="s">
        <v>57</v>
      </c>
      <c r="J47" s="16" t="s">
        <v>86</v>
      </c>
      <c r="K47" s="16">
        <v>21</v>
      </c>
      <c r="L47" s="16">
        <v>48</v>
      </c>
      <c r="M47" s="16">
        <v>79</v>
      </c>
      <c r="N47" s="16">
        <v>10</v>
      </c>
      <c r="O47" s="16" t="s">
        <v>251</v>
      </c>
      <c r="P47" s="16">
        <v>17</v>
      </c>
      <c r="S47" s="17"/>
      <c r="T47" s="17">
        <v>0.11686583276296579</v>
      </c>
      <c r="U47" s="25"/>
      <c r="V47" s="17"/>
      <c r="W47" s="15">
        <v>10000</v>
      </c>
      <c r="X47" s="15">
        <v>0.15</v>
      </c>
      <c r="Y47" s="15">
        <v>2500</v>
      </c>
      <c r="Z47" s="15">
        <v>1</v>
      </c>
      <c r="AA47" s="16">
        <v>32</v>
      </c>
      <c r="AB47" s="17">
        <v>0.56000000000000005</v>
      </c>
      <c r="AC47" s="25">
        <v>1</v>
      </c>
      <c r="AD47" s="25"/>
      <c r="AE47" s="25">
        <v>1.1377999999999999</v>
      </c>
      <c r="AF47" s="25">
        <v>0.1648</v>
      </c>
      <c r="AG47" s="17">
        <v>0.2</v>
      </c>
      <c r="AH47" s="17">
        <v>1.32</v>
      </c>
      <c r="AI47" s="17">
        <v>0</v>
      </c>
      <c r="AJ47" s="17"/>
    </row>
    <row r="48" spans="1:36" s="6" customFormat="1" ht="15.75" thickBot="1" x14ac:dyDescent="0.3">
      <c r="A48" s="6">
        <v>47</v>
      </c>
      <c r="B48" s="6">
        <v>2</v>
      </c>
      <c r="C48" s="6">
        <v>171</v>
      </c>
      <c r="D48" s="6">
        <v>2</v>
      </c>
      <c r="F48" s="7" t="str">
        <f>SRnewremoved!C48</f>
        <v>Timpas Creek Arkansas River Confluence</v>
      </c>
      <c r="G48" s="7"/>
      <c r="H48" s="7"/>
      <c r="I48" s="7"/>
      <c r="J48" s="7"/>
      <c r="K48" s="7"/>
      <c r="L48" s="7"/>
      <c r="M48" s="7"/>
      <c r="N48" s="7"/>
      <c r="O48" s="7"/>
      <c r="P48" s="7"/>
      <c r="S48" s="21"/>
      <c r="T48" s="21"/>
      <c r="U48" s="27"/>
      <c r="V48" s="21"/>
      <c r="AA48" s="7"/>
      <c r="AB48" s="21"/>
      <c r="AC48" s="27"/>
      <c r="AD48" s="27"/>
      <c r="AE48" s="27"/>
      <c r="AF48" s="27"/>
      <c r="AG48" s="21"/>
      <c r="AH48" s="21"/>
      <c r="AI48" s="21"/>
      <c r="AJ48" s="21"/>
    </row>
    <row r="49" spans="1:36" s="49" customFormat="1" x14ac:dyDescent="0.25">
      <c r="A49" s="49">
        <v>48</v>
      </c>
      <c r="B49" s="49">
        <v>2</v>
      </c>
      <c r="C49" s="49">
        <v>172</v>
      </c>
      <c r="D49" s="49">
        <v>1</v>
      </c>
      <c r="E49" s="57">
        <v>1</v>
      </c>
      <c r="F49" s="50">
        <v>1700801</v>
      </c>
      <c r="G49" s="50"/>
      <c r="H49" s="50">
        <v>0</v>
      </c>
      <c r="I49" s="50" t="s">
        <v>103</v>
      </c>
      <c r="J49" s="50" t="s">
        <v>86</v>
      </c>
      <c r="K49" s="50">
        <v>1</v>
      </c>
      <c r="L49" s="50">
        <v>2</v>
      </c>
      <c r="M49" s="50">
        <v>3</v>
      </c>
      <c r="N49" s="50">
        <v>10</v>
      </c>
      <c r="O49" s="50" t="s">
        <v>251</v>
      </c>
      <c r="P49" s="50">
        <v>17</v>
      </c>
      <c r="S49" s="51"/>
      <c r="T49" s="51">
        <v>0.16300081998869265</v>
      </c>
      <c r="U49" s="52"/>
      <c r="V49" s="51"/>
      <c r="W49" s="49">
        <v>10000</v>
      </c>
      <c r="X49" s="49">
        <v>0.15</v>
      </c>
      <c r="Y49" s="49">
        <v>2500</v>
      </c>
      <c r="Z49" s="49">
        <v>1</v>
      </c>
      <c r="AA49" s="50">
        <v>32</v>
      </c>
      <c r="AB49" s="51">
        <v>0.56000000000000005</v>
      </c>
      <c r="AC49" s="52">
        <v>1</v>
      </c>
      <c r="AD49" s="52"/>
      <c r="AE49" s="52">
        <v>1.1377999999999999</v>
      </c>
      <c r="AF49" s="52">
        <v>0.1648</v>
      </c>
      <c r="AG49" s="51">
        <v>0.2</v>
      </c>
      <c r="AH49" s="51">
        <v>1.32</v>
      </c>
      <c r="AI49" s="51">
        <v>0</v>
      </c>
      <c r="AJ49" s="51"/>
    </row>
    <row r="50" spans="1:36" s="15" customFormat="1" x14ac:dyDescent="0.25">
      <c r="A50" s="15">
        <v>49</v>
      </c>
      <c r="B50" s="15">
        <v>2</v>
      </c>
      <c r="C50" s="15">
        <v>172</v>
      </c>
      <c r="D50" s="15">
        <v>2</v>
      </c>
      <c r="E50" s="15">
        <v>1</v>
      </c>
      <c r="F50" s="16">
        <v>1709510</v>
      </c>
      <c r="G50" s="16"/>
      <c r="H50" s="16">
        <v>0</v>
      </c>
      <c r="I50" s="16" t="s">
        <v>69</v>
      </c>
      <c r="J50" s="16" t="s">
        <v>86</v>
      </c>
      <c r="K50" s="16">
        <v>4</v>
      </c>
      <c r="L50" s="16">
        <v>10</v>
      </c>
      <c r="M50" s="16">
        <v>32</v>
      </c>
      <c r="N50" s="16">
        <v>10</v>
      </c>
      <c r="O50" s="16" t="s">
        <v>251</v>
      </c>
      <c r="P50" s="16">
        <v>17</v>
      </c>
      <c r="S50" s="17"/>
      <c r="T50" s="17">
        <v>0.16300081998869265</v>
      </c>
      <c r="U50" s="25"/>
      <c r="V50" s="17"/>
      <c r="W50" s="15">
        <v>10000</v>
      </c>
      <c r="X50" s="15">
        <v>0.15</v>
      </c>
      <c r="Y50" s="15">
        <v>2500</v>
      </c>
      <c r="Z50" s="15">
        <v>1</v>
      </c>
      <c r="AA50" s="16">
        <v>32</v>
      </c>
      <c r="AB50" s="17">
        <v>0.56000000000000005</v>
      </c>
      <c r="AC50" s="25">
        <v>1</v>
      </c>
      <c r="AD50" s="25"/>
      <c r="AE50" s="25">
        <v>1.1377999999999999</v>
      </c>
      <c r="AF50" s="25">
        <v>0.1648</v>
      </c>
      <c r="AG50" s="17">
        <v>0.2</v>
      </c>
      <c r="AH50" s="17">
        <v>1.32</v>
      </c>
      <c r="AI50" s="17">
        <v>0</v>
      </c>
      <c r="AJ50" s="17"/>
    </row>
    <row r="51" spans="1:36" s="6" customFormat="1" x14ac:dyDescent="0.25">
      <c r="A51" s="6">
        <v>50</v>
      </c>
      <c r="B51" s="6">
        <v>2</v>
      </c>
      <c r="C51" s="6">
        <v>172</v>
      </c>
      <c r="D51" s="6">
        <v>2</v>
      </c>
      <c r="E51" s="6">
        <v>2</v>
      </c>
      <c r="F51" s="7">
        <v>1700577</v>
      </c>
      <c r="G51" s="7"/>
      <c r="H51" s="7">
        <v>-1</v>
      </c>
      <c r="I51" s="7"/>
      <c r="J51" s="7"/>
      <c r="K51" s="7">
        <v>1</v>
      </c>
      <c r="L51" s="7">
        <v>4</v>
      </c>
      <c r="M51" s="7">
        <v>6</v>
      </c>
      <c r="N51" s="7">
        <v>10</v>
      </c>
      <c r="O51" s="7" t="s">
        <v>251</v>
      </c>
      <c r="P51" s="7">
        <v>17</v>
      </c>
      <c r="S51" s="21"/>
      <c r="T51" s="21">
        <v>0.16300081998869265</v>
      </c>
      <c r="U51" s="27"/>
      <c r="V51" s="21"/>
      <c r="W51" s="6">
        <v>10000</v>
      </c>
      <c r="X51" s="6">
        <v>0.15</v>
      </c>
      <c r="Y51" s="6">
        <v>2500</v>
      </c>
      <c r="Z51" s="6">
        <v>1</v>
      </c>
      <c r="AA51" s="7">
        <v>32</v>
      </c>
      <c r="AB51" s="21">
        <v>0.56000000000000005</v>
      </c>
      <c r="AC51" s="27">
        <v>1</v>
      </c>
      <c r="AD51" s="27"/>
      <c r="AE51" s="27">
        <v>1.1377999999999999</v>
      </c>
      <c r="AF51" s="27">
        <v>0.1648</v>
      </c>
      <c r="AG51" s="21">
        <v>0.2</v>
      </c>
      <c r="AH51" s="21">
        <v>1.32</v>
      </c>
      <c r="AI51" s="21">
        <v>0</v>
      </c>
      <c r="AJ51" s="21"/>
    </row>
    <row r="52" spans="1:36" s="6" customFormat="1" ht="15.75" thickBot="1" x14ac:dyDescent="0.3">
      <c r="A52" s="6">
        <v>51</v>
      </c>
      <c r="B52" s="6">
        <v>2</v>
      </c>
      <c r="C52" s="6">
        <v>172</v>
      </c>
      <c r="D52" s="6">
        <v>2</v>
      </c>
      <c r="F52" s="7" t="str">
        <f>SRnewremoved!C52</f>
        <v>Crooked Arroyo Arkansas River Confluence</v>
      </c>
      <c r="G52" s="7"/>
      <c r="H52" s="7"/>
      <c r="I52" s="7"/>
      <c r="J52" s="7"/>
      <c r="K52" s="7"/>
      <c r="L52" s="7"/>
      <c r="M52" s="7"/>
      <c r="N52" s="7"/>
      <c r="O52" s="7"/>
      <c r="P52" s="7"/>
      <c r="S52" s="21"/>
      <c r="T52" s="21"/>
      <c r="U52" s="27"/>
      <c r="V52" s="21"/>
      <c r="AA52" s="7"/>
      <c r="AB52" s="21"/>
      <c r="AC52" s="27"/>
      <c r="AD52" s="27"/>
      <c r="AE52" s="27"/>
      <c r="AF52" s="27"/>
      <c r="AG52" s="21"/>
      <c r="AH52" s="21"/>
      <c r="AI52" s="21"/>
      <c r="AJ52" s="21"/>
    </row>
    <row r="53" spans="1:36" s="49" customFormat="1" x14ac:dyDescent="0.25">
      <c r="A53" s="49">
        <v>52</v>
      </c>
      <c r="B53" s="49">
        <v>2</v>
      </c>
      <c r="C53" s="49">
        <v>173</v>
      </c>
      <c r="D53" s="49">
        <v>1</v>
      </c>
      <c r="E53" s="57">
        <v>1</v>
      </c>
      <c r="F53" s="50">
        <v>1701000</v>
      </c>
      <c r="G53" s="50" t="s">
        <v>319</v>
      </c>
      <c r="H53" s="50">
        <v>0</v>
      </c>
      <c r="I53" s="50" t="s">
        <v>259</v>
      </c>
      <c r="J53" s="50" t="s">
        <v>86</v>
      </c>
      <c r="K53" s="50">
        <v>1</v>
      </c>
      <c r="L53" s="50">
        <v>2</v>
      </c>
      <c r="M53" s="50">
        <v>3</v>
      </c>
      <c r="N53" s="50">
        <v>10</v>
      </c>
      <c r="O53" s="50" t="s">
        <v>251</v>
      </c>
      <c r="P53" s="50">
        <v>17</v>
      </c>
      <c r="S53" s="51"/>
      <c r="T53" s="51">
        <v>0.41087026574215463</v>
      </c>
      <c r="U53" s="52">
        <v>0.61599999999999999</v>
      </c>
      <c r="V53" s="51">
        <v>0.25309608369716724</v>
      </c>
      <c r="W53" s="49">
        <v>10000</v>
      </c>
      <c r="X53" s="49">
        <v>0.15</v>
      </c>
      <c r="Y53" s="49">
        <v>2500</v>
      </c>
      <c r="Z53" s="49">
        <v>1</v>
      </c>
      <c r="AA53" s="50">
        <v>32</v>
      </c>
      <c r="AB53" s="51">
        <v>0.56000000000000005</v>
      </c>
      <c r="AC53" s="52">
        <v>1</v>
      </c>
      <c r="AD53" s="52"/>
      <c r="AE53" s="52">
        <v>1.1377999999999999</v>
      </c>
      <c r="AF53" s="52">
        <v>0.1648</v>
      </c>
      <c r="AG53" s="51">
        <v>0.2</v>
      </c>
      <c r="AH53" s="51">
        <v>1.32</v>
      </c>
      <c r="AI53" s="51">
        <v>0</v>
      </c>
      <c r="AJ53" s="51"/>
    </row>
    <row r="54" spans="1:36" s="15" customFormat="1" x14ac:dyDescent="0.25">
      <c r="A54" s="15">
        <v>53</v>
      </c>
      <c r="B54" s="15">
        <v>2</v>
      </c>
      <c r="C54" s="15">
        <v>173</v>
      </c>
      <c r="D54" s="15">
        <v>2</v>
      </c>
      <c r="E54" s="15">
        <v>1</v>
      </c>
      <c r="F54" s="16">
        <v>1709514</v>
      </c>
      <c r="G54" s="16"/>
      <c r="H54" s="16">
        <v>0</v>
      </c>
      <c r="I54" s="16" t="s">
        <v>63</v>
      </c>
      <c r="J54" s="16" t="s">
        <v>86</v>
      </c>
      <c r="K54" s="16">
        <v>7</v>
      </c>
      <c r="L54" s="16">
        <v>7</v>
      </c>
      <c r="M54" s="16">
        <v>7</v>
      </c>
      <c r="N54" s="16">
        <v>10</v>
      </c>
      <c r="O54" s="16" t="s">
        <v>251</v>
      </c>
      <c r="P54" s="16">
        <v>17</v>
      </c>
      <c r="S54" s="17"/>
      <c r="T54" s="17">
        <v>0.41087026574215463</v>
      </c>
      <c r="U54" s="25"/>
      <c r="V54" s="17"/>
      <c r="W54" s="15">
        <v>10000</v>
      </c>
      <c r="X54" s="15">
        <v>0.15</v>
      </c>
      <c r="Y54" s="15">
        <v>2500</v>
      </c>
      <c r="Z54" s="15">
        <v>1</v>
      </c>
      <c r="AA54" s="16">
        <v>32</v>
      </c>
      <c r="AB54" s="17">
        <v>0.56000000000000005</v>
      </c>
      <c r="AC54" s="25">
        <v>1</v>
      </c>
      <c r="AD54" s="25"/>
      <c r="AE54" s="25">
        <v>1.1377999999999999</v>
      </c>
      <c r="AF54" s="25">
        <v>0.1648</v>
      </c>
      <c r="AG54" s="17">
        <v>0.2</v>
      </c>
      <c r="AH54" s="17">
        <v>1.32</v>
      </c>
      <c r="AI54" s="17">
        <v>0</v>
      </c>
      <c r="AJ54" s="17"/>
    </row>
    <row r="55" spans="1:36" s="6" customFormat="1" x14ac:dyDescent="0.25">
      <c r="A55" s="6">
        <v>54</v>
      </c>
      <c r="B55" s="6">
        <v>2</v>
      </c>
      <c r="C55" s="6">
        <v>173</v>
      </c>
      <c r="D55" s="6">
        <v>2</v>
      </c>
      <c r="E55" s="6">
        <v>2</v>
      </c>
      <c r="F55" s="7">
        <v>1700594</v>
      </c>
      <c r="G55" s="7"/>
      <c r="H55" s="7">
        <v>-1</v>
      </c>
      <c r="I55" s="7"/>
      <c r="J55" s="7"/>
      <c r="K55" s="7">
        <v>1</v>
      </c>
      <c r="L55" s="7">
        <v>4</v>
      </c>
      <c r="M55" s="7">
        <v>6</v>
      </c>
      <c r="N55" s="7">
        <v>10</v>
      </c>
      <c r="O55" s="7" t="s">
        <v>251</v>
      </c>
      <c r="P55" s="7">
        <v>17</v>
      </c>
      <c r="S55" s="21"/>
      <c r="T55" s="21">
        <v>0.41087026574215463</v>
      </c>
      <c r="U55" s="27"/>
      <c r="V55" s="21"/>
      <c r="W55" s="6">
        <v>10000</v>
      </c>
      <c r="X55" s="6">
        <v>0.15</v>
      </c>
      <c r="Y55" s="6">
        <v>2500</v>
      </c>
      <c r="Z55" s="6">
        <v>1</v>
      </c>
      <c r="AA55" s="7">
        <v>32</v>
      </c>
      <c r="AB55" s="21">
        <v>0.56000000000000005</v>
      </c>
      <c r="AC55" s="27">
        <v>1</v>
      </c>
      <c r="AD55" s="27"/>
      <c r="AE55" s="27">
        <v>1.1377999999999999</v>
      </c>
      <c r="AF55" s="27">
        <v>0.1648</v>
      </c>
      <c r="AG55" s="21">
        <v>0.2</v>
      </c>
      <c r="AH55" s="21">
        <v>1.32</v>
      </c>
      <c r="AI55" s="21">
        <v>0</v>
      </c>
      <c r="AJ55" s="21"/>
    </row>
    <row r="56" spans="1:36" s="6" customFormat="1" ht="15.75" thickBot="1" x14ac:dyDescent="0.3">
      <c r="A56" s="6">
        <v>55</v>
      </c>
      <c r="B56" s="6">
        <v>2</v>
      </c>
      <c r="C56" s="6">
        <v>173</v>
      </c>
      <c r="D56" s="6">
        <v>2</v>
      </c>
      <c r="F56" s="7" t="str">
        <f>SRnewremoved!C56</f>
        <v>Horse Creek Arkansas River Confluence</v>
      </c>
      <c r="G56" s="7"/>
      <c r="H56" s="7"/>
      <c r="I56" s="7"/>
      <c r="J56" s="7"/>
      <c r="K56" s="7"/>
      <c r="L56" s="7"/>
      <c r="M56" s="7"/>
      <c r="N56" s="7"/>
      <c r="O56" s="7"/>
      <c r="P56" s="7"/>
      <c r="S56" s="21"/>
      <c r="T56" s="21"/>
      <c r="U56" s="27"/>
      <c r="V56" s="21"/>
      <c r="AA56" s="7"/>
      <c r="AB56" s="21"/>
      <c r="AC56" s="27"/>
      <c r="AD56" s="27"/>
      <c r="AE56" s="27"/>
      <c r="AF56" s="27"/>
      <c r="AG56" s="21"/>
      <c r="AH56" s="21"/>
      <c r="AI56" s="21"/>
      <c r="AJ56" s="21"/>
    </row>
    <row r="57" spans="1:36" s="41" customFormat="1" x14ac:dyDescent="0.25">
      <c r="A57" s="41">
        <v>56</v>
      </c>
      <c r="B57" s="41">
        <v>2</v>
      </c>
      <c r="C57" s="41">
        <v>174</v>
      </c>
      <c r="D57" s="41">
        <v>1</v>
      </c>
      <c r="E57" s="41">
        <v>1</v>
      </c>
      <c r="F57" s="42">
        <v>6709503</v>
      </c>
      <c r="G57" s="42"/>
      <c r="H57" s="42">
        <v>0</v>
      </c>
      <c r="I57" s="42" t="s">
        <v>271</v>
      </c>
      <c r="J57" s="42" t="s">
        <v>86</v>
      </c>
      <c r="K57" s="42">
        <v>7</v>
      </c>
      <c r="L57" s="42">
        <v>7</v>
      </c>
      <c r="M57" s="42">
        <v>7</v>
      </c>
      <c r="N57" s="42">
        <v>10</v>
      </c>
      <c r="O57" s="42" t="s">
        <v>251</v>
      </c>
      <c r="P57" s="42">
        <v>17</v>
      </c>
      <c r="S57" s="44"/>
      <c r="T57" s="44">
        <v>0.34567611513305763</v>
      </c>
      <c r="U57" s="43"/>
      <c r="V57" s="44"/>
      <c r="W57" s="41">
        <v>10000</v>
      </c>
      <c r="X57" s="41">
        <v>0.15</v>
      </c>
      <c r="Y57" s="41">
        <v>2500</v>
      </c>
      <c r="Z57" s="41">
        <v>1</v>
      </c>
      <c r="AA57" s="42">
        <v>32</v>
      </c>
      <c r="AB57" s="44">
        <v>0.56000000000000005</v>
      </c>
      <c r="AC57" s="43">
        <v>1</v>
      </c>
      <c r="AD57" s="43"/>
      <c r="AE57" s="43">
        <v>1.1377999999999999</v>
      </c>
      <c r="AF57" s="43">
        <v>0.1648</v>
      </c>
      <c r="AG57" s="44">
        <v>0.2</v>
      </c>
      <c r="AH57" s="44">
        <v>1.32</v>
      </c>
      <c r="AI57" s="44">
        <v>0</v>
      </c>
      <c r="AJ57" s="44"/>
    </row>
    <row r="58" spans="1:36" s="6" customFormat="1" x14ac:dyDescent="0.25">
      <c r="A58" s="6">
        <v>57</v>
      </c>
      <c r="B58" s="6">
        <v>2</v>
      </c>
      <c r="C58" s="6">
        <v>174</v>
      </c>
      <c r="D58" s="6">
        <v>1</v>
      </c>
      <c r="E58" s="6">
        <v>2</v>
      </c>
      <c r="F58" s="7">
        <v>6701006</v>
      </c>
      <c r="G58" s="7" t="s">
        <v>319</v>
      </c>
      <c r="H58" s="7">
        <v>1</v>
      </c>
      <c r="I58" s="7" t="s">
        <v>265</v>
      </c>
      <c r="J58" s="7" t="s">
        <v>86</v>
      </c>
      <c r="K58" s="7">
        <v>1</v>
      </c>
      <c r="L58" s="7">
        <v>2</v>
      </c>
      <c r="M58" s="7">
        <v>3</v>
      </c>
      <c r="N58" s="7">
        <v>10</v>
      </c>
      <c r="O58" s="7" t="s">
        <v>251</v>
      </c>
      <c r="P58" s="7">
        <v>17</v>
      </c>
      <c r="S58" s="21"/>
      <c r="T58" s="21">
        <v>0.34567611513305763</v>
      </c>
      <c r="U58" s="27">
        <v>0.45300000000000001</v>
      </c>
      <c r="V58" s="21">
        <v>0.1565912801552751</v>
      </c>
      <c r="W58" s="6">
        <v>10000</v>
      </c>
      <c r="X58" s="6">
        <v>0.15</v>
      </c>
      <c r="Y58" s="6">
        <v>2500</v>
      </c>
      <c r="Z58" s="6">
        <v>1</v>
      </c>
      <c r="AA58" s="7">
        <v>32</v>
      </c>
      <c r="AB58" s="21">
        <v>0.56000000000000005</v>
      </c>
      <c r="AC58" s="27">
        <v>1</v>
      </c>
      <c r="AD58" s="27"/>
      <c r="AE58" s="27">
        <v>1.1377999999999999</v>
      </c>
      <c r="AF58" s="27">
        <v>0.1648</v>
      </c>
      <c r="AG58" s="21">
        <v>0.2</v>
      </c>
      <c r="AH58" s="21">
        <v>1.32</v>
      </c>
      <c r="AI58" s="21">
        <v>0</v>
      </c>
      <c r="AJ58" s="21"/>
    </row>
    <row r="59" spans="1:36" s="6" customFormat="1" x14ac:dyDescent="0.25">
      <c r="A59" s="6">
        <v>58</v>
      </c>
      <c r="B59" s="6">
        <v>2</v>
      </c>
      <c r="C59" s="6">
        <v>174</v>
      </c>
      <c r="D59" s="6">
        <v>1</v>
      </c>
      <c r="E59" s="6">
        <v>3</v>
      </c>
      <c r="F59" s="7">
        <v>6701002</v>
      </c>
      <c r="G59" s="7" t="s">
        <v>319</v>
      </c>
      <c r="H59" s="7">
        <v>1</v>
      </c>
      <c r="I59" s="7" t="s">
        <v>269</v>
      </c>
      <c r="J59" s="7" t="s">
        <v>86</v>
      </c>
      <c r="K59" s="7">
        <v>1</v>
      </c>
      <c r="L59" s="7">
        <v>2</v>
      </c>
      <c r="M59" s="7">
        <v>3</v>
      </c>
      <c r="N59" s="7">
        <v>10</v>
      </c>
      <c r="O59" s="7" t="s">
        <v>251</v>
      </c>
      <c r="P59" s="7">
        <v>17</v>
      </c>
      <c r="S59" s="21"/>
      <c r="T59" s="21">
        <v>0.34567611513305763</v>
      </c>
      <c r="U59" s="27">
        <v>1.095</v>
      </c>
      <c r="V59" s="21">
        <v>0.12075615880644365</v>
      </c>
      <c r="W59" s="6">
        <v>10000</v>
      </c>
      <c r="X59" s="6">
        <v>0.15</v>
      </c>
      <c r="Y59" s="6">
        <v>2500</v>
      </c>
      <c r="Z59" s="6">
        <v>1</v>
      </c>
      <c r="AA59" s="7">
        <v>32</v>
      </c>
      <c r="AB59" s="21">
        <v>0.56000000000000005</v>
      </c>
      <c r="AC59" s="27">
        <v>1</v>
      </c>
      <c r="AD59" s="27"/>
      <c r="AE59" s="27">
        <v>1.1377999999999999</v>
      </c>
      <c r="AF59" s="27">
        <v>0.1648</v>
      </c>
      <c r="AG59" s="21">
        <v>0.2</v>
      </c>
      <c r="AH59" s="21">
        <v>1.32</v>
      </c>
      <c r="AI59" s="21">
        <v>0</v>
      </c>
      <c r="AJ59" s="21"/>
    </row>
    <row r="60" spans="1:36" s="6" customFormat="1" ht="15.75" thickBot="1" x14ac:dyDescent="0.3">
      <c r="A60" s="6">
        <v>59</v>
      </c>
      <c r="B60" s="6">
        <v>2</v>
      </c>
      <c r="C60" s="6">
        <v>174</v>
      </c>
      <c r="D60" s="6">
        <v>1</v>
      </c>
      <c r="F60" s="7" t="str">
        <f>SRnewremoved!C60</f>
        <v>Gageby Creek Arkansas River Confluence</v>
      </c>
      <c r="G60" s="7"/>
      <c r="H60" s="7"/>
      <c r="I60" s="7"/>
      <c r="J60" s="7"/>
      <c r="K60" s="7"/>
      <c r="L60" s="7"/>
      <c r="M60" s="7"/>
      <c r="N60" s="7"/>
      <c r="O60" s="7"/>
      <c r="P60" s="7"/>
      <c r="S60" s="21"/>
      <c r="T60" s="21"/>
      <c r="U60" s="27"/>
      <c r="V60" s="21"/>
      <c r="AA60" s="7"/>
      <c r="AB60" s="21"/>
      <c r="AC60" s="27"/>
      <c r="AD60" s="27"/>
      <c r="AE60" s="27"/>
      <c r="AF60" s="27"/>
      <c r="AG60" s="21"/>
      <c r="AH60" s="21"/>
      <c r="AI60" s="21"/>
      <c r="AJ60" s="21"/>
    </row>
    <row r="61" spans="1:36" s="41" customFormat="1" x14ac:dyDescent="0.25">
      <c r="A61" s="41">
        <v>60</v>
      </c>
      <c r="B61" s="41">
        <v>2</v>
      </c>
      <c r="C61" s="41">
        <v>112</v>
      </c>
      <c r="D61" s="41">
        <v>1</v>
      </c>
      <c r="E61" s="41">
        <v>1</v>
      </c>
      <c r="F61" s="42">
        <v>1103503</v>
      </c>
      <c r="G61" s="42"/>
      <c r="H61" s="42">
        <v>1</v>
      </c>
      <c r="I61" s="42"/>
      <c r="J61" s="42"/>
      <c r="K61" s="42">
        <v>0</v>
      </c>
      <c r="L61" s="42">
        <v>0</v>
      </c>
      <c r="M61" s="42">
        <v>0</v>
      </c>
      <c r="N61" s="42">
        <v>10</v>
      </c>
      <c r="O61" s="42" t="s">
        <v>251</v>
      </c>
      <c r="P61" s="42">
        <v>17</v>
      </c>
      <c r="S61" s="44"/>
      <c r="T61" s="44">
        <v>7.0000000000000007E-2</v>
      </c>
      <c r="U61" s="43"/>
      <c r="V61" s="44"/>
      <c r="W61" s="41">
        <v>10000</v>
      </c>
      <c r="X61" s="41">
        <v>0.15</v>
      </c>
      <c r="Y61" s="41">
        <v>750</v>
      </c>
      <c r="Z61" s="41">
        <v>1</v>
      </c>
      <c r="AA61" s="42">
        <v>32</v>
      </c>
      <c r="AB61" s="44">
        <v>0.56000000000000005</v>
      </c>
      <c r="AC61" s="43">
        <v>1</v>
      </c>
      <c r="AD61" s="43"/>
      <c r="AE61" s="43">
        <v>1.1377999999999999</v>
      </c>
      <c r="AF61" s="43">
        <v>0.1648</v>
      </c>
      <c r="AG61" s="44">
        <v>0.31</v>
      </c>
      <c r="AH61" s="44">
        <v>1.32</v>
      </c>
      <c r="AI61" s="44">
        <v>1.27</v>
      </c>
      <c r="AJ61" s="44"/>
    </row>
    <row r="62" spans="1:36" s="6" customFormat="1" x14ac:dyDescent="0.25">
      <c r="A62" s="6">
        <v>61</v>
      </c>
      <c r="B62" s="6">
        <v>2</v>
      </c>
      <c r="C62" s="6">
        <v>112</v>
      </c>
      <c r="D62" s="6">
        <v>1</v>
      </c>
      <c r="E62" s="6">
        <v>2</v>
      </c>
      <c r="F62" s="7">
        <v>1109518</v>
      </c>
      <c r="G62" s="7"/>
      <c r="H62" s="7">
        <v>0</v>
      </c>
      <c r="I62" s="7" t="s">
        <v>110</v>
      </c>
      <c r="J62" s="7" t="s">
        <v>86</v>
      </c>
      <c r="K62" s="7">
        <v>5</v>
      </c>
      <c r="L62" s="7">
        <v>10</v>
      </c>
      <c r="M62" s="7">
        <v>20</v>
      </c>
      <c r="N62" s="7">
        <v>10</v>
      </c>
      <c r="O62" s="7" t="s">
        <v>251</v>
      </c>
      <c r="P62" s="7">
        <v>17</v>
      </c>
      <c r="S62" s="21"/>
      <c r="T62" s="21">
        <v>7.0000000000000007E-2</v>
      </c>
      <c r="U62" s="27"/>
      <c r="V62" s="21"/>
      <c r="W62" s="6">
        <v>10000</v>
      </c>
      <c r="X62" s="6">
        <v>0.15</v>
      </c>
      <c r="Y62" s="6">
        <v>750</v>
      </c>
      <c r="Z62" s="6">
        <v>1</v>
      </c>
      <c r="AA62" s="7">
        <v>32</v>
      </c>
      <c r="AB62" s="21">
        <v>0.56000000000000005</v>
      </c>
      <c r="AC62" s="27">
        <v>1</v>
      </c>
      <c r="AD62" s="27"/>
      <c r="AE62" s="27">
        <v>1.1377999999999999</v>
      </c>
      <c r="AF62" s="27">
        <v>0.1648</v>
      </c>
      <c r="AG62" s="21">
        <v>0.31</v>
      </c>
      <c r="AH62" s="21">
        <v>1.32</v>
      </c>
      <c r="AI62" s="21">
        <v>1.27</v>
      </c>
      <c r="AJ62" s="21"/>
    </row>
    <row r="63" spans="1:36" s="33" customFormat="1" ht="15.75" thickBot="1" x14ac:dyDescent="0.3">
      <c r="A63" s="33">
        <v>62</v>
      </c>
      <c r="B63" s="33">
        <v>2</v>
      </c>
      <c r="C63" s="33">
        <v>112</v>
      </c>
      <c r="D63" s="33">
        <v>1</v>
      </c>
      <c r="F63" s="34">
        <v>1120002</v>
      </c>
      <c r="G63" s="34"/>
      <c r="H63" s="38"/>
      <c r="I63" s="34"/>
      <c r="J63" s="34"/>
      <c r="K63" s="38"/>
      <c r="L63" s="38"/>
      <c r="M63" s="38"/>
      <c r="N63" s="38"/>
      <c r="O63" s="38"/>
      <c r="P63" s="47"/>
      <c r="S63" s="38"/>
      <c r="T63" s="36"/>
      <c r="U63" s="46"/>
      <c r="V63" s="38"/>
      <c r="W63" s="38"/>
      <c r="X63" s="38"/>
      <c r="Y63" s="38"/>
      <c r="Z63" s="38"/>
      <c r="AA63" s="38"/>
      <c r="AB63" s="38"/>
      <c r="AC63" s="46"/>
      <c r="AD63" s="46"/>
      <c r="AE63" s="46"/>
      <c r="AF63" s="46"/>
      <c r="AG63" s="38"/>
      <c r="AH63" s="38"/>
      <c r="AI63" s="36"/>
      <c r="AJ63" s="36"/>
    </row>
    <row r="64" spans="1:36" s="6" customFormat="1" x14ac:dyDescent="0.25">
      <c r="A64" s="6">
        <v>63</v>
      </c>
      <c r="B64" s="6">
        <v>2</v>
      </c>
      <c r="C64" s="6">
        <v>10</v>
      </c>
      <c r="D64" s="6">
        <v>1</v>
      </c>
      <c r="E64" s="6">
        <v>1</v>
      </c>
      <c r="F64" s="7">
        <v>1003657</v>
      </c>
      <c r="G64" s="7"/>
      <c r="H64" s="7">
        <v>1</v>
      </c>
      <c r="I64" s="7"/>
      <c r="J64" s="7"/>
      <c r="K64" s="7">
        <v>0</v>
      </c>
      <c r="L64" s="7">
        <v>0</v>
      </c>
      <c r="M64" s="7">
        <v>0</v>
      </c>
      <c r="N64" s="7">
        <v>10</v>
      </c>
      <c r="O64" s="7" t="s">
        <v>251</v>
      </c>
      <c r="P64" s="7">
        <v>17</v>
      </c>
      <c r="Q64" s="6">
        <v>50</v>
      </c>
      <c r="R64" s="19">
        <v>50</v>
      </c>
      <c r="S64" s="21"/>
      <c r="T64" s="21">
        <v>0.1</v>
      </c>
      <c r="U64" s="27"/>
      <c r="V64" s="21"/>
      <c r="W64" s="6">
        <v>10000</v>
      </c>
      <c r="X64" s="6">
        <v>0.15</v>
      </c>
      <c r="Y64" s="6">
        <v>750</v>
      </c>
      <c r="Z64" s="6">
        <v>1</v>
      </c>
      <c r="AA64" s="7">
        <v>32</v>
      </c>
      <c r="AB64" s="21">
        <v>0.56000000000000005</v>
      </c>
      <c r="AC64" s="27">
        <v>1</v>
      </c>
      <c r="AD64" s="27"/>
      <c r="AE64" s="27">
        <v>0.83</v>
      </c>
      <c r="AF64" s="27">
        <v>0.21</v>
      </c>
      <c r="AG64" s="21">
        <v>0.31</v>
      </c>
      <c r="AH64" s="21">
        <v>1.32</v>
      </c>
      <c r="AI64" s="21">
        <v>1.27</v>
      </c>
      <c r="AJ64" s="21"/>
    </row>
    <row r="65" spans="1:36" s="6" customFormat="1" x14ac:dyDescent="0.25">
      <c r="A65" s="6">
        <v>64</v>
      </c>
      <c r="B65" s="6">
        <v>2</v>
      </c>
      <c r="C65" s="6">
        <v>10</v>
      </c>
      <c r="D65" s="6">
        <v>1</v>
      </c>
      <c r="E65" s="6">
        <v>2</v>
      </c>
      <c r="F65" s="7">
        <v>1009999</v>
      </c>
      <c r="G65" s="7"/>
      <c r="H65" s="7">
        <v>-1</v>
      </c>
      <c r="I65" s="7"/>
      <c r="J65" s="7"/>
      <c r="K65" s="7">
        <v>0</v>
      </c>
      <c r="L65" s="7">
        <v>0</v>
      </c>
      <c r="M65" s="7">
        <v>0</v>
      </c>
      <c r="N65" s="7">
        <v>10</v>
      </c>
      <c r="O65" s="7" t="s">
        <v>251</v>
      </c>
      <c r="P65" s="7">
        <v>17</v>
      </c>
      <c r="Q65" s="6">
        <v>50</v>
      </c>
      <c r="R65" s="6">
        <v>50</v>
      </c>
      <c r="S65" s="21"/>
      <c r="T65" s="21">
        <v>0.1</v>
      </c>
      <c r="U65" s="27"/>
      <c r="V65" s="21"/>
      <c r="W65" s="6">
        <v>10000</v>
      </c>
      <c r="X65" s="6">
        <v>0.15</v>
      </c>
      <c r="Y65" s="6">
        <v>750</v>
      </c>
      <c r="Z65" s="6">
        <v>1</v>
      </c>
      <c r="AA65" s="7">
        <v>32</v>
      </c>
      <c r="AB65" s="21">
        <v>0.56000000000000005</v>
      </c>
      <c r="AC65" s="27">
        <v>1</v>
      </c>
      <c r="AD65" s="27"/>
      <c r="AE65" s="27">
        <v>0.83</v>
      </c>
      <c r="AF65" s="27">
        <v>0.21</v>
      </c>
      <c r="AG65" s="21">
        <v>0.31</v>
      </c>
      <c r="AH65" s="21">
        <v>1.32</v>
      </c>
      <c r="AI65" s="21">
        <v>1.17</v>
      </c>
      <c r="AJ65" s="21"/>
    </row>
    <row r="66" spans="1:36" s="6" customFormat="1" x14ac:dyDescent="0.25">
      <c r="A66" s="6">
        <v>65</v>
      </c>
      <c r="B66" s="6">
        <v>2</v>
      </c>
      <c r="C66" s="6">
        <v>10</v>
      </c>
      <c r="D66" s="6">
        <v>1</v>
      </c>
      <c r="E66" s="6">
        <v>3</v>
      </c>
      <c r="F66" s="7">
        <v>1009510</v>
      </c>
      <c r="G66" s="7"/>
      <c r="H66" s="7">
        <v>0</v>
      </c>
      <c r="I66" s="7" t="s">
        <v>25</v>
      </c>
      <c r="J66" s="7" t="s">
        <v>86</v>
      </c>
      <c r="K66" s="7">
        <v>49</v>
      </c>
      <c r="L66" s="7">
        <v>133</v>
      </c>
      <c r="M66" s="7">
        <v>296</v>
      </c>
      <c r="N66" s="7">
        <v>10</v>
      </c>
      <c r="O66" s="7" t="s">
        <v>251</v>
      </c>
      <c r="P66" s="7">
        <v>17</v>
      </c>
      <c r="S66" s="21"/>
      <c r="T66" s="21">
        <v>0.1</v>
      </c>
      <c r="U66" s="27"/>
      <c r="V66" s="21"/>
      <c r="W66" s="6">
        <v>10000</v>
      </c>
      <c r="X66" s="6">
        <v>0.15</v>
      </c>
      <c r="Y66" s="6">
        <v>750</v>
      </c>
      <c r="Z66" s="6">
        <v>1</v>
      </c>
      <c r="AA66" s="7">
        <v>32</v>
      </c>
      <c r="AB66" s="21">
        <v>0.56000000000000005</v>
      </c>
      <c r="AC66" s="27">
        <v>1</v>
      </c>
      <c r="AD66" s="27"/>
      <c r="AE66" s="27">
        <v>0.83</v>
      </c>
      <c r="AF66" s="27">
        <v>0.21</v>
      </c>
      <c r="AG66" s="21">
        <v>0.31</v>
      </c>
      <c r="AH66" s="21">
        <v>1.32</v>
      </c>
      <c r="AI66" s="21">
        <v>1.17</v>
      </c>
      <c r="AJ66" s="21"/>
    </row>
    <row r="67" spans="1:36" s="33" customFormat="1" ht="15.75" thickBot="1" x14ac:dyDescent="0.3">
      <c r="A67" s="33">
        <v>66</v>
      </c>
      <c r="B67" s="33">
        <v>2</v>
      </c>
      <c r="C67" s="33">
        <v>10</v>
      </c>
      <c r="D67" s="33">
        <v>1</v>
      </c>
      <c r="F67" s="34">
        <v>1400800</v>
      </c>
      <c r="G67" s="34"/>
      <c r="N67" s="34"/>
      <c r="O67" s="34"/>
      <c r="P67" s="34"/>
      <c r="Q67" s="34"/>
      <c r="R67" s="34"/>
      <c r="S67" s="36"/>
      <c r="T67" s="37"/>
      <c r="U67" s="46"/>
      <c r="V67" s="36"/>
      <c r="AC67" s="35"/>
      <c r="AD67" s="35"/>
      <c r="AE67" s="35"/>
      <c r="AF67" s="35"/>
      <c r="AI67" s="37"/>
      <c r="AJ67" s="37"/>
    </row>
    <row r="68" spans="1:36" s="7" customFormat="1" x14ac:dyDescent="0.25">
      <c r="A68" s="7">
        <v>67</v>
      </c>
      <c r="B68" s="6">
        <v>2</v>
      </c>
      <c r="C68" s="6">
        <v>11</v>
      </c>
      <c r="D68" s="6">
        <v>1</v>
      </c>
      <c r="E68" s="6">
        <v>1</v>
      </c>
      <c r="F68" s="7">
        <v>1109504</v>
      </c>
      <c r="H68" s="6">
        <v>0</v>
      </c>
      <c r="I68" s="6" t="s">
        <v>115</v>
      </c>
      <c r="J68" s="6" t="s">
        <v>86</v>
      </c>
      <c r="K68" s="6">
        <v>5</v>
      </c>
      <c r="L68" s="6">
        <v>10</v>
      </c>
      <c r="M68" s="6">
        <v>20</v>
      </c>
      <c r="N68" s="7">
        <v>110</v>
      </c>
      <c r="O68" s="7" t="s">
        <v>251</v>
      </c>
      <c r="P68" s="7">
        <v>17</v>
      </c>
      <c r="S68" s="21"/>
      <c r="T68" s="21">
        <v>7.0000000000000007E-2</v>
      </c>
      <c r="U68" s="27"/>
      <c r="V68" s="21"/>
      <c r="W68" s="6">
        <v>10000</v>
      </c>
      <c r="X68" s="6">
        <v>0.15</v>
      </c>
      <c r="Y68" s="6">
        <v>750</v>
      </c>
      <c r="Z68" s="6">
        <v>1</v>
      </c>
      <c r="AA68" s="6">
        <v>32</v>
      </c>
      <c r="AB68" s="6">
        <v>0.56000000000000005</v>
      </c>
      <c r="AC68" s="27">
        <v>1</v>
      </c>
      <c r="AD68" s="27"/>
      <c r="AE68" s="27">
        <v>0.83</v>
      </c>
      <c r="AF68" s="27">
        <v>0.21</v>
      </c>
      <c r="AG68" s="6">
        <v>0.31</v>
      </c>
      <c r="AH68" s="6">
        <v>1.32</v>
      </c>
      <c r="AI68" s="21">
        <v>1.27</v>
      </c>
      <c r="AJ68" s="21"/>
    </row>
    <row r="69" spans="1:36" s="7" customFormat="1" x14ac:dyDescent="0.25">
      <c r="A69" s="7">
        <v>68</v>
      </c>
      <c r="B69" s="6">
        <v>2</v>
      </c>
      <c r="C69" s="6">
        <v>11</v>
      </c>
      <c r="D69" s="6">
        <v>1</v>
      </c>
      <c r="E69" s="6">
        <v>2</v>
      </c>
      <c r="F69" s="7">
        <v>1120002</v>
      </c>
      <c r="G69" s="7" t="s">
        <v>319</v>
      </c>
      <c r="H69" s="6">
        <v>1</v>
      </c>
      <c r="I69" s="6"/>
      <c r="J69" s="6"/>
      <c r="K69" s="6">
        <v>5</v>
      </c>
      <c r="L69" s="6">
        <v>10</v>
      </c>
      <c r="M69" s="6">
        <v>20</v>
      </c>
      <c r="N69" s="7">
        <v>110</v>
      </c>
      <c r="O69" s="7" t="s">
        <v>251</v>
      </c>
      <c r="P69" s="7">
        <v>17</v>
      </c>
      <c r="S69" s="21"/>
      <c r="T69" s="21">
        <v>7.0000000000000007E-2</v>
      </c>
      <c r="U69" s="27"/>
      <c r="V69" s="21"/>
      <c r="W69" s="6">
        <v>10000</v>
      </c>
      <c r="X69" s="6">
        <v>0.15</v>
      </c>
      <c r="Y69" s="6">
        <v>750</v>
      </c>
      <c r="Z69" s="6">
        <v>1</v>
      </c>
      <c r="AA69" s="6">
        <v>32</v>
      </c>
      <c r="AB69" s="6">
        <v>0.56000000000000005</v>
      </c>
      <c r="AC69" s="27">
        <v>1</v>
      </c>
      <c r="AD69" s="27"/>
      <c r="AE69" s="27">
        <v>0.83</v>
      </c>
      <c r="AF69" s="27">
        <v>0.21</v>
      </c>
      <c r="AG69" s="6">
        <v>0.31</v>
      </c>
      <c r="AH69" s="6">
        <v>1.32</v>
      </c>
      <c r="AI69" s="21">
        <v>1.27</v>
      </c>
      <c r="AJ69" s="21"/>
    </row>
    <row r="70" spans="1:36" s="7" customFormat="1" x14ac:dyDescent="0.25">
      <c r="A70" s="7">
        <v>69</v>
      </c>
      <c r="B70" s="6">
        <v>2</v>
      </c>
      <c r="C70" s="6">
        <v>11</v>
      </c>
      <c r="D70" s="6">
        <v>2</v>
      </c>
      <c r="E70" s="6">
        <v>1</v>
      </c>
      <c r="F70" s="7">
        <v>1109501</v>
      </c>
      <c r="H70" s="6">
        <v>0</v>
      </c>
      <c r="I70" s="6" t="s">
        <v>117</v>
      </c>
      <c r="J70" s="6" t="s">
        <v>86</v>
      </c>
      <c r="K70" s="6">
        <v>5</v>
      </c>
      <c r="L70" s="6">
        <v>10</v>
      </c>
      <c r="M70" s="6">
        <v>20</v>
      </c>
      <c r="N70" s="7">
        <v>110</v>
      </c>
      <c r="O70" s="7" t="s">
        <v>251</v>
      </c>
      <c r="P70" s="7">
        <v>17</v>
      </c>
      <c r="S70" s="21"/>
      <c r="T70" s="21">
        <v>7.0000000000000007E-2</v>
      </c>
      <c r="U70" s="27"/>
      <c r="V70" s="21"/>
      <c r="W70" s="6">
        <v>10000</v>
      </c>
      <c r="X70" s="6">
        <v>0.15</v>
      </c>
      <c r="Y70" s="6">
        <v>750</v>
      </c>
      <c r="Z70" s="6">
        <v>1</v>
      </c>
      <c r="AA70" s="6">
        <v>32</v>
      </c>
      <c r="AB70" s="6">
        <v>0.56000000000000005</v>
      </c>
      <c r="AC70" s="27">
        <v>1</v>
      </c>
      <c r="AD70" s="27"/>
      <c r="AE70" s="27">
        <v>0.83</v>
      </c>
      <c r="AF70" s="27">
        <v>0.21</v>
      </c>
      <c r="AG70" s="6">
        <v>0.31</v>
      </c>
      <c r="AH70" s="6">
        <v>1.32</v>
      </c>
      <c r="AI70" s="21">
        <v>1.27</v>
      </c>
      <c r="AJ70" s="21"/>
    </row>
    <row r="71" spans="1:36" s="7" customFormat="1" x14ac:dyDescent="0.25">
      <c r="A71" s="7">
        <v>70</v>
      </c>
      <c r="B71" s="6">
        <v>2</v>
      </c>
      <c r="C71" s="6">
        <v>11</v>
      </c>
      <c r="D71" s="6">
        <v>3</v>
      </c>
      <c r="E71" s="6">
        <v>1</v>
      </c>
      <c r="F71" s="7">
        <v>1209502</v>
      </c>
      <c r="H71" s="7">
        <v>0</v>
      </c>
      <c r="I71" s="7" t="s">
        <v>118</v>
      </c>
      <c r="J71" s="7" t="s">
        <v>86</v>
      </c>
      <c r="K71" s="7">
        <v>5</v>
      </c>
      <c r="L71" s="7">
        <v>10</v>
      </c>
      <c r="M71" s="7">
        <v>20</v>
      </c>
      <c r="N71" s="7">
        <v>110</v>
      </c>
      <c r="O71" s="7" t="s">
        <v>251</v>
      </c>
      <c r="P71" s="7">
        <v>17</v>
      </c>
      <c r="S71" s="21"/>
      <c r="T71" s="21">
        <v>7.0000000000000007E-2</v>
      </c>
      <c r="U71" s="27"/>
      <c r="V71" s="21"/>
      <c r="W71" s="6">
        <v>10000</v>
      </c>
      <c r="X71" s="6">
        <v>0.15</v>
      </c>
      <c r="Y71" s="6">
        <v>750</v>
      </c>
      <c r="Z71" s="6">
        <v>1</v>
      </c>
      <c r="AA71" s="6">
        <v>32</v>
      </c>
      <c r="AB71" s="6">
        <v>0.56000000000000005</v>
      </c>
      <c r="AC71" s="27">
        <v>1</v>
      </c>
      <c r="AD71" s="27"/>
      <c r="AE71" s="27">
        <v>0.83</v>
      </c>
      <c r="AF71" s="27">
        <v>0.21</v>
      </c>
      <c r="AG71" s="6">
        <v>0.31</v>
      </c>
      <c r="AH71" s="6">
        <v>1.32</v>
      </c>
      <c r="AI71" s="21">
        <v>1.27</v>
      </c>
      <c r="AJ71" s="21"/>
    </row>
    <row r="72" spans="1:36" s="33" customFormat="1" ht="15.75" thickBot="1" x14ac:dyDescent="0.3">
      <c r="A72" s="33">
        <v>71</v>
      </c>
      <c r="B72" s="33">
        <v>2</v>
      </c>
      <c r="C72" s="33">
        <v>11</v>
      </c>
      <c r="D72" s="33">
        <v>3</v>
      </c>
      <c r="F72" s="33">
        <v>1403526</v>
      </c>
      <c r="G72" s="34"/>
      <c r="N72" s="34"/>
      <c r="O72" s="34"/>
      <c r="T72" s="37"/>
      <c r="U72" s="35"/>
      <c r="AC72" s="35"/>
      <c r="AD72" s="35"/>
      <c r="AE72" s="35"/>
      <c r="AF72" s="35"/>
      <c r="AI72" s="37"/>
      <c r="AJ72" s="37"/>
    </row>
    <row r="73" spans="1:36" s="2" customFormat="1" x14ac:dyDescent="0.25">
      <c r="A73" s="2">
        <v>72</v>
      </c>
      <c r="B73">
        <v>2</v>
      </c>
      <c r="C73">
        <v>67</v>
      </c>
      <c r="D73">
        <v>1</v>
      </c>
      <c r="E73">
        <v>1</v>
      </c>
      <c r="F73">
        <v>6703512</v>
      </c>
      <c r="H73" s="7">
        <v>0</v>
      </c>
      <c r="I73"/>
      <c r="J73"/>
      <c r="K73">
        <v>0</v>
      </c>
      <c r="L73">
        <v>0</v>
      </c>
      <c r="M73">
        <v>0</v>
      </c>
      <c r="N73" s="2">
        <v>0</v>
      </c>
      <c r="O73" s="2" t="s">
        <v>249</v>
      </c>
      <c r="P73">
        <v>671</v>
      </c>
      <c r="Q73" s="14"/>
      <c r="R73" s="14"/>
      <c r="S73" s="1"/>
      <c r="T73" s="2">
        <v>0</v>
      </c>
      <c r="U73" s="26"/>
      <c r="V73" s="1"/>
      <c r="W73">
        <v>9000</v>
      </c>
      <c r="X73">
        <v>0.18</v>
      </c>
      <c r="Y73">
        <v>800</v>
      </c>
      <c r="Z73">
        <v>1</v>
      </c>
      <c r="AA73">
        <v>32</v>
      </c>
      <c r="AB73">
        <v>0.56000000000000005</v>
      </c>
      <c r="AC73" s="26">
        <v>1</v>
      </c>
      <c r="AD73" s="26"/>
      <c r="AE73" s="26">
        <v>0.98509999999999998</v>
      </c>
      <c r="AF73" s="26">
        <v>0.20039999999999999</v>
      </c>
      <c r="AG73">
        <v>0.38</v>
      </c>
      <c r="AH73">
        <v>0.99</v>
      </c>
      <c r="AI73" s="1">
        <v>0</v>
      </c>
      <c r="AJ73" s="1"/>
    </row>
    <row r="74" spans="1:36" s="15" customFormat="1" x14ac:dyDescent="0.25">
      <c r="A74" s="15">
        <v>73</v>
      </c>
      <c r="B74" s="15">
        <v>2</v>
      </c>
      <c r="C74" s="15">
        <v>67</v>
      </c>
      <c r="D74" s="15">
        <v>2</v>
      </c>
      <c r="E74" s="15">
        <v>1</v>
      </c>
      <c r="F74" s="16">
        <v>6709501</v>
      </c>
      <c r="G74" s="16"/>
      <c r="H74" s="16">
        <v>0</v>
      </c>
      <c r="I74" s="15" t="s">
        <v>134</v>
      </c>
      <c r="J74" s="15" t="s">
        <v>86</v>
      </c>
      <c r="K74" s="15">
        <v>150</v>
      </c>
      <c r="L74" s="15">
        <v>542</v>
      </c>
      <c r="M74" s="15">
        <v>831</v>
      </c>
      <c r="N74" s="18">
        <v>10.7</v>
      </c>
      <c r="O74" s="18" t="s">
        <v>250</v>
      </c>
      <c r="P74" s="15">
        <v>671</v>
      </c>
      <c r="Q74" s="16"/>
      <c r="T74" s="15">
        <v>1.5</v>
      </c>
      <c r="U74" s="25"/>
      <c r="W74" s="15">
        <v>9000</v>
      </c>
      <c r="X74" s="15">
        <v>0.18</v>
      </c>
      <c r="Y74" s="15">
        <v>800</v>
      </c>
      <c r="Z74" s="15">
        <v>1</v>
      </c>
      <c r="AA74" s="15">
        <v>32</v>
      </c>
      <c r="AB74" s="15">
        <v>0.56000000000000005</v>
      </c>
      <c r="AC74" s="25">
        <v>1</v>
      </c>
      <c r="AD74" s="25"/>
      <c r="AE74" s="25">
        <v>0.98509999999999998</v>
      </c>
      <c r="AF74" s="25">
        <v>0.20039999999999999</v>
      </c>
      <c r="AG74" s="15">
        <v>0.38</v>
      </c>
      <c r="AH74" s="15">
        <v>0.99</v>
      </c>
      <c r="AI74" s="17">
        <v>1</v>
      </c>
      <c r="AJ74" s="17"/>
    </row>
    <row r="75" spans="1:36" s="6" customFormat="1" x14ac:dyDescent="0.25">
      <c r="A75" s="6">
        <v>74</v>
      </c>
      <c r="B75" s="6">
        <v>2</v>
      </c>
      <c r="C75" s="6">
        <v>67</v>
      </c>
      <c r="D75" s="6">
        <v>2</v>
      </c>
      <c r="E75" s="6">
        <f t="shared" ref="E75:E82" si="4">E74+1</f>
        <v>2</v>
      </c>
      <c r="F75" s="7">
        <v>6700610</v>
      </c>
      <c r="G75" s="7"/>
      <c r="H75" s="7">
        <v>-1</v>
      </c>
      <c r="I75" s="6" t="s">
        <v>135</v>
      </c>
      <c r="J75" s="6" t="s">
        <v>86</v>
      </c>
      <c r="K75" s="6">
        <v>17.600000000000001</v>
      </c>
      <c r="L75" s="6">
        <v>49.3</v>
      </c>
      <c r="M75" s="6">
        <v>70.599999999999994</v>
      </c>
      <c r="N75" s="22">
        <v>10.7</v>
      </c>
      <c r="O75" s="22" t="s">
        <v>250</v>
      </c>
      <c r="P75" s="6">
        <v>671</v>
      </c>
      <c r="T75" s="6">
        <v>1.5</v>
      </c>
      <c r="U75" s="27"/>
      <c r="W75" s="6">
        <v>9000</v>
      </c>
      <c r="X75" s="6">
        <v>0.18</v>
      </c>
      <c r="Y75" s="6">
        <v>800</v>
      </c>
      <c r="Z75" s="6">
        <v>1</v>
      </c>
      <c r="AA75" s="6">
        <v>32</v>
      </c>
      <c r="AB75" s="6">
        <v>0.56000000000000005</v>
      </c>
      <c r="AC75" s="27">
        <v>1</v>
      </c>
      <c r="AD75" s="27"/>
      <c r="AE75" s="27">
        <v>0.98509999999999998</v>
      </c>
      <c r="AF75" s="27">
        <v>0.20039999999999999</v>
      </c>
      <c r="AG75" s="6">
        <v>0.38</v>
      </c>
      <c r="AH75" s="6">
        <v>0.99</v>
      </c>
      <c r="AI75" s="21">
        <v>1</v>
      </c>
      <c r="AJ75" s="21"/>
    </row>
    <row r="76" spans="1:36" s="6" customFormat="1" x14ac:dyDescent="0.25">
      <c r="A76" s="6">
        <v>75</v>
      </c>
      <c r="B76" s="6">
        <v>2</v>
      </c>
      <c r="C76" s="6">
        <v>67</v>
      </c>
      <c r="D76" s="6">
        <v>2</v>
      </c>
      <c r="E76" s="6">
        <f t="shared" si="4"/>
        <v>3</v>
      </c>
      <c r="F76" s="7">
        <v>6700613</v>
      </c>
      <c r="G76" s="7"/>
      <c r="H76" s="7">
        <v>-1</v>
      </c>
      <c r="K76" s="6">
        <v>15.6</v>
      </c>
      <c r="L76" s="6">
        <v>14</v>
      </c>
      <c r="M76" s="6">
        <v>17.600000000000001</v>
      </c>
      <c r="N76" s="22">
        <v>10.7</v>
      </c>
      <c r="O76" s="22" t="s">
        <v>250</v>
      </c>
      <c r="P76" s="6">
        <v>671</v>
      </c>
      <c r="T76" s="6">
        <v>1.5</v>
      </c>
      <c r="U76" s="27"/>
      <c r="W76" s="6">
        <v>9000</v>
      </c>
      <c r="X76" s="6">
        <v>0.18</v>
      </c>
      <c r="Y76" s="6">
        <v>800</v>
      </c>
      <c r="Z76" s="6">
        <v>1</v>
      </c>
      <c r="AA76" s="6">
        <v>32</v>
      </c>
      <c r="AB76" s="6">
        <v>0.56000000000000005</v>
      </c>
      <c r="AC76" s="27">
        <v>1</v>
      </c>
      <c r="AD76" s="27"/>
      <c r="AE76" s="27">
        <v>0.98509999999999998</v>
      </c>
      <c r="AF76" s="27">
        <v>0.20039999999999999</v>
      </c>
      <c r="AG76" s="6">
        <v>0.38</v>
      </c>
      <c r="AH76" s="6">
        <v>0.99</v>
      </c>
      <c r="AI76" s="21">
        <v>1</v>
      </c>
      <c r="AJ76" s="21"/>
    </row>
    <row r="77" spans="1:36" s="6" customFormat="1" x14ac:dyDescent="0.25">
      <c r="A77" s="6">
        <v>76</v>
      </c>
      <c r="B77" s="6">
        <v>2</v>
      </c>
      <c r="C77" s="6">
        <v>67</v>
      </c>
      <c r="D77" s="6">
        <v>2</v>
      </c>
      <c r="E77" s="6">
        <f t="shared" si="4"/>
        <v>4</v>
      </c>
      <c r="F77" s="26">
        <v>6701004</v>
      </c>
      <c r="G77" s="61" t="s">
        <v>319</v>
      </c>
      <c r="H77" s="7">
        <v>1</v>
      </c>
      <c r="I77" t="s">
        <v>277</v>
      </c>
      <c r="J77" t="s">
        <v>86</v>
      </c>
      <c r="K77">
        <v>0</v>
      </c>
      <c r="L77">
        <v>0</v>
      </c>
      <c r="M77">
        <v>0</v>
      </c>
      <c r="N77" s="22">
        <v>10.7</v>
      </c>
      <c r="O77" s="22" t="s">
        <v>250</v>
      </c>
      <c r="P77" s="6">
        <v>671</v>
      </c>
      <c r="S77" s="20"/>
      <c r="T77" s="6">
        <v>1.5</v>
      </c>
      <c r="U77" s="58">
        <v>4.2220000000000004</v>
      </c>
      <c r="V77" s="1">
        <v>2.1999999999999997</v>
      </c>
      <c r="W77" s="6">
        <v>9000</v>
      </c>
      <c r="X77" s="6">
        <v>0.18</v>
      </c>
      <c r="Y77" s="6">
        <v>800</v>
      </c>
      <c r="Z77" s="6">
        <v>1</v>
      </c>
      <c r="AA77" s="6">
        <v>32</v>
      </c>
      <c r="AB77" s="6">
        <v>0.56000000000000005</v>
      </c>
      <c r="AC77" s="27">
        <v>1</v>
      </c>
      <c r="AD77" s="27"/>
      <c r="AE77" s="27">
        <v>0.98509999999999998</v>
      </c>
      <c r="AF77" s="27">
        <v>0.20039999999999999</v>
      </c>
      <c r="AG77" s="6">
        <v>0.38</v>
      </c>
      <c r="AH77" s="6">
        <v>0.99</v>
      </c>
      <c r="AI77" s="21">
        <v>1</v>
      </c>
      <c r="AJ77" s="21"/>
    </row>
    <row r="78" spans="1:36" s="6" customFormat="1" x14ac:dyDescent="0.25">
      <c r="A78" s="6">
        <v>77</v>
      </c>
      <c r="B78" s="6">
        <v>2</v>
      </c>
      <c r="C78" s="6">
        <v>67</v>
      </c>
      <c r="D78" s="6">
        <v>2</v>
      </c>
      <c r="E78" s="6">
        <f t="shared" si="4"/>
        <v>5</v>
      </c>
      <c r="F78" s="26">
        <v>6701003</v>
      </c>
      <c r="G78" s="61" t="s">
        <v>319</v>
      </c>
      <c r="H78" s="7">
        <v>1</v>
      </c>
      <c r="I78" t="s">
        <v>278</v>
      </c>
      <c r="J78" t="s">
        <v>86</v>
      </c>
      <c r="K78">
        <v>0</v>
      </c>
      <c r="L78">
        <v>0</v>
      </c>
      <c r="M78">
        <v>0</v>
      </c>
      <c r="N78" s="22">
        <v>10.7</v>
      </c>
      <c r="O78" s="22" t="s">
        <v>250</v>
      </c>
      <c r="P78" s="6">
        <v>671</v>
      </c>
      <c r="S78" s="20"/>
      <c r="T78" s="6">
        <v>1.5</v>
      </c>
      <c r="U78" s="58">
        <v>1.0069999999999999</v>
      </c>
      <c r="V78" s="1">
        <v>0.6</v>
      </c>
      <c r="W78" s="6">
        <v>9000</v>
      </c>
      <c r="X78" s="6">
        <v>0.18</v>
      </c>
      <c r="Y78" s="6">
        <v>800</v>
      </c>
      <c r="Z78" s="6">
        <v>1</v>
      </c>
      <c r="AA78" s="6">
        <v>32</v>
      </c>
      <c r="AB78" s="6">
        <v>0.56000000000000005</v>
      </c>
      <c r="AC78" s="27">
        <v>1</v>
      </c>
      <c r="AD78" s="27"/>
      <c r="AE78" s="27">
        <v>0.98509999999999998</v>
      </c>
      <c r="AF78" s="27">
        <v>0.20039999999999999</v>
      </c>
      <c r="AG78" s="6">
        <v>0.38</v>
      </c>
      <c r="AH78" s="6">
        <v>0.99</v>
      </c>
      <c r="AI78" s="21">
        <v>1</v>
      </c>
      <c r="AJ78" s="21"/>
    </row>
    <row r="79" spans="1:36" s="6" customFormat="1" x14ac:dyDescent="0.25">
      <c r="A79" s="6">
        <v>78</v>
      </c>
      <c r="B79" s="6">
        <v>2</v>
      </c>
      <c r="C79" s="6">
        <v>67</v>
      </c>
      <c r="D79" s="6">
        <v>2</v>
      </c>
      <c r="E79" s="6">
        <f t="shared" si="4"/>
        <v>6</v>
      </c>
      <c r="F79" s="26">
        <v>6701001</v>
      </c>
      <c r="G79" s="61" t="s">
        <v>319</v>
      </c>
      <c r="H79" s="7">
        <v>1</v>
      </c>
      <c r="I79" t="s">
        <v>279</v>
      </c>
      <c r="J79" t="s">
        <v>86</v>
      </c>
      <c r="K79">
        <v>0</v>
      </c>
      <c r="L79">
        <v>0</v>
      </c>
      <c r="M79">
        <v>0</v>
      </c>
      <c r="N79" s="22">
        <v>10.7</v>
      </c>
      <c r="O79" s="22" t="s">
        <v>250</v>
      </c>
      <c r="P79" s="6">
        <v>671</v>
      </c>
      <c r="S79" s="20"/>
      <c r="T79" s="6">
        <v>1.5</v>
      </c>
      <c r="U79" s="62">
        <v>0.76</v>
      </c>
      <c r="V79" s="1">
        <v>0.4</v>
      </c>
      <c r="W79" s="6">
        <v>9000</v>
      </c>
      <c r="X79" s="6">
        <v>0.18</v>
      </c>
      <c r="Y79" s="6">
        <v>800</v>
      </c>
      <c r="Z79" s="6">
        <v>1</v>
      </c>
      <c r="AA79" s="6">
        <v>32</v>
      </c>
      <c r="AB79" s="6">
        <v>0.56000000000000005</v>
      </c>
      <c r="AC79" s="27">
        <v>1</v>
      </c>
      <c r="AD79" s="27"/>
      <c r="AE79" s="27">
        <v>0.98509999999999998</v>
      </c>
      <c r="AF79" s="27">
        <v>0.20039999999999999</v>
      </c>
      <c r="AG79" s="6">
        <v>0.38</v>
      </c>
      <c r="AH79" s="6">
        <v>0.99</v>
      </c>
      <c r="AI79" s="21">
        <v>1</v>
      </c>
      <c r="AJ79" s="21"/>
    </row>
    <row r="80" spans="1:36" s="6" customFormat="1" x14ac:dyDescent="0.25">
      <c r="A80" s="6">
        <v>79</v>
      </c>
      <c r="B80" s="6">
        <v>2</v>
      </c>
      <c r="C80" s="6">
        <v>67</v>
      </c>
      <c r="D80" s="6">
        <v>2</v>
      </c>
      <c r="E80" s="6">
        <f t="shared" si="4"/>
        <v>7</v>
      </c>
      <c r="F80" s="7">
        <v>6700607</v>
      </c>
      <c r="G80" s="7"/>
      <c r="H80" s="7">
        <v>-1</v>
      </c>
      <c r="I80" s="6" t="s">
        <v>136</v>
      </c>
      <c r="J80" s="6" t="s">
        <v>86</v>
      </c>
      <c r="K80" s="6">
        <v>69</v>
      </c>
      <c r="L80" s="6">
        <v>271</v>
      </c>
      <c r="M80" s="6">
        <v>333</v>
      </c>
      <c r="N80" s="22">
        <v>10.7</v>
      </c>
      <c r="O80" s="22" t="s">
        <v>250</v>
      </c>
      <c r="P80" s="6">
        <v>671</v>
      </c>
      <c r="S80" s="20"/>
      <c r="T80" s="6">
        <v>1.5</v>
      </c>
      <c r="U80" s="58"/>
      <c r="W80" s="6">
        <v>9000</v>
      </c>
      <c r="X80" s="6">
        <v>0.18</v>
      </c>
      <c r="Y80" s="6">
        <v>800</v>
      </c>
      <c r="Z80" s="6">
        <v>1</v>
      </c>
      <c r="AA80" s="6">
        <v>32</v>
      </c>
      <c r="AB80" s="6">
        <v>0.56000000000000005</v>
      </c>
      <c r="AC80" s="27">
        <v>1</v>
      </c>
      <c r="AD80" s="27"/>
      <c r="AE80" s="27">
        <v>0.98509999999999998</v>
      </c>
      <c r="AF80" s="27">
        <v>0.20039999999999999</v>
      </c>
      <c r="AG80" s="6">
        <v>0.38</v>
      </c>
      <c r="AH80" s="6">
        <v>0.99</v>
      </c>
      <c r="AI80" s="21">
        <v>1</v>
      </c>
      <c r="AJ80" s="21"/>
    </row>
    <row r="81" spans="1:36" s="6" customFormat="1" x14ac:dyDescent="0.25">
      <c r="A81" s="6">
        <v>80</v>
      </c>
      <c r="B81" s="6">
        <v>2</v>
      </c>
      <c r="C81" s="6">
        <v>67</v>
      </c>
      <c r="D81" s="6">
        <v>2</v>
      </c>
      <c r="E81" s="6">
        <f t="shared" si="4"/>
        <v>8</v>
      </c>
      <c r="F81" s="7">
        <v>6701000</v>
      </c>
      <c r="G81" s="7" t="s">
        <v>319</v>
      </c>
      <c r="H81" s="7">
        <v>1</v>
      </c>
      <c r="I81" t="s">
        <v>280</v>
      </c>
      <c r="J81" t="s">
        <v>86</v>
      </c>
      <c r="K81">
        <v>0</v>
      </c>
      <c r="L81">
        <v>0</v>
      </c>
      <c r="M81">
        <v>0</v>
      </c>
      <c r="N81" s="22">
        <v>10.7</v>
      </c>
      <c r="O81" s="22" t="s">
        <v>250</v>
      </c>
      <c r="P81" s="6">
        <v>671</v>
      </c>
      <c r="S81" s="20"/>
      <c r="T81" s="6">
        <v>1.5</v>
      </c>
      <c r="U81" s="58">
        <v>5.4729999999999999</v>
      </c>
      <c r="V81" s="1">
        <v>2.5</v>
      </c>
      <c r="W81" s="6">
        <v>9000</v>
      </c>
      <c r="X81" s="6">
        <v>0.18</v>
      </c>
      <c r="Y81" s="6">
        <v>800</v>
      </c>
      <c r="Z81" s="6">
        <v>1</v>
      </c>
      <c r="AA81" s="6">
        <v>32</v>
      </c>
      <c r="AB81" s="6">
        <v>0.56000000000000005</v>
      </c>
      <c r="AC81" s="27">
        <v>1</v>
      </c>
      <c r="AD81" s="27"/>
      <c r="AE81" s="27">
        <v>0.98509999999999998</v>
      </c>
      <c r="AF81" s="27">
        <v>0.20039999999999999</v>
      </c>
      <c r="AG81" s="6">
        <v>0.38</v>
      </c>
      <c r="AH81" s="6">
        <v>0.99</v>
      </c>
      <c r="AI81" s="21">
        <v>1</v>
      </c>
      <c r="AJ81" s="21"/>
    </row>
    <row r="82" spans="1:36" s="3" customFormat="1" x14ac:dyDescent="0.25">
      <c r="A82" s="3">
        <v>81</v>
      </c>
      <c r="B82" s="3">
        <v>2</v>
      </c>
      <c r="C82" s="3">
        <v>67</v>
      </c>
      <c r="D82" s="3">
        <v>2</v>
      </c>
      <c r="E82" s="3">
        <f t="shared" si="4"/>
        <v>9</v>
      </c>
      <c r="F82" s="4">
        <v>6700614</v>
      </c>
      <c r="G82" s="4"/>
      <c r="H82" s="4">
        <v>-1</v>
      </c>
      <c r="I82" s="3" t="s">
        <v>137</v>
      </c>
      <c r="J82" s="3" t="s">
        <v>86</v>
      </c>
      <c r="K82" s="3">
        <v>33.9</v>
      </c>
      <c r="L82" s="3">
        <v>161</v>
      </c>
      <c r="M82" s="3">
        <v>189</v>
      </c>
      <c r="N82" s="13">
        <v>10.7</v>
      </c>
      <c r="O82" s="13" t="s">
        <v>250</v>
      </c>
      <c r="P82" s="3">
        <v>671</v>
      </c>
      <c r="S82" s="5"/>
      <c r="T82" s="3">
        <v>1.5</v>
      </c>
      <c r="U82" s="24"/>
      <c r="V82" s="5"/>
      <c r="W82" s="3">
        <v>9000</v>
      </c>
      <c r="X82" s="3">
        <v>0.18</v>
      </c>
      <c r="Y82" s="3">
        <v>800</v>
      </c>
      <c r="Z82" s="3">
        <v>1</v>
      </c>
      <c r="AA82" s="3">
        <v>32</v>
      </c>
      <c r="AB82" s="3">
        <v>0.56000000000000005</v>
      </c>
      <c r="AC82" s="24">
        <v>1</v>
      </c>
      <c r="AD82" s="24"/>
      <c r="AE82" s="24">
        <v>0.98509999999999998</v>
      </c>
      <c r="AF82" s="24">
        <v>0.20039999999999999</v>
      </c>
      <c r="AG82" s="3">
        <v>0.38</v>
      </c>
      <c r="AH82" s="3">
        <v>0.99</v>
      </c>
      <c r="AI82" s="5">
        <v>1</v>
      </c>
      <c r="AJ82" s="5"/>
    </row>
    <row r="83" spans="1:36" x14ac:dyDescent="0.25">
      <c r="A83">
        <v>82</v>
      </c>
      <c r="B83">
        <v>2</v>
      </c>
      <c r="C83">
        <v>67</v>
      </c>
      <c r="D83">
        <v>3</v>
      </c>
      <c r="E83">
        <v>1</v>
      </c>
      <c r="F83" s="2">
        <v>6709500</v>
      </c>
      <c r="H83" s="7">
        <v>0</v>
      </c>
      <c r="I83" t="s">
        <v>138</v>
      </c>
      <c r="J83" t="s">
        <v>86</v>
      </c>
      <c r="K83">
        <v>16.8</v>
      </c>
      <c r="L83">
        <v>69</v>
      </c>
      <c r="M83">
        <v>307</v>
      </c>
      <c r="N83" s="18">
        <v>29.7</v>
      </c>
      <c r="O83" s="22" t="s">
        <v>250</v>
      </c>
      <c r="P83">
        <v>673</v>
      </c>
      <c r="S83" s="19"/>
      <c r="T83" s="14">
        <v>1</v>
      </c>
      <c r="U83" s="58"/>
      <c r="V83" s="19"/>
      <c r="W83">
        <v>17500</v>
      </c>
      <c r="X83">
        <v>0.18</v>
      </c>
      <c r="Y83">
        <v>1000</v>
      </c>
      <c r="Z83">
        <v>1</v>
      </c>
      <c r="AA83">
        <v>32</v>
      </c>
      <c r="AB83">
        <v>0.56000000000000005</v>
      </c>
      <c r="AC83" s="26">
        <v>1</v>
      </c>
      <c r="AE83" s="26">
        <v>0.83</v>
      </c>
      <c r="AF83" s="26">
        <v>0.2</v>
      </c>
      <c r="AG83">
        <v>0.38</v>
      </c>
      <c r="AH83">
        <v>0.99</v>
      </c>
      <c r="AI83" s="1">
        <v>1</v>
      </c>
    </row>
    <row r="84" spans="1:36" x14ac:dyDescent="0.25">
      <c r="A84">
        <v>83</v>
      </c>
      <c r="B84">
        <v>2</v>
      </c>
      <c r="C84">
        <v>67</v>
      </c>
      <c r="D84">
        <v>3</v>
      </c>
      <c r="E84">
        <f>E83+1</f>
        <v>2</v>
      </c>
      <c r="F84" s="2">
        <v>6700612</v>
      </c>
      <c r="H84" s="7">
        <v>-1</v>
      </c>
      <c r="I84" t="s">
        <v>139</v>
      </c>
      <c r="J84" t="s">
        <v>86</v>
      </c>
      <c r="K84">
        <v>2.2999999999999998</v>
      </c>
      <c r="L84">
        <v>9</v>
      </c>
      <c r="M84">
        <v>11.3</v>
      </c>
      <c r="N84" s="14">
        <v>29.7</v>
      </c>
      <c r="O84" s="14" t="s">
        <v>250</v>
      </c>
      <c r="P84">
        <v>673</v>
      </c>
      <c r="S84" s="19"/>
      <c r="T84" s="14">
        <v>1</v>
      </c>
      <c r="U84" s="58"/>
      <c r="V84" s="19"/>
      <c r="W84">
        <v>17500</v>
      </c>
      <c r="X84">
        <v>0.18</v>
      </c>
      <c r="Y84">
        <v>1000</v>
      </c>
      <c r="Z84">
        <v>1</v>
      </c>
      <c r="AA84">
        <v>32</v>
      </c>
      <c r="AB84">
        <v>0.56000000000000005</v>
      </c>
      <c r="AC84" s="26">
        <v>1</v>
      </c>
      <c r="AE84" s="26">
        <v>0.83</v>
      </c>
      <c r="AF84" s="26">
        <v>0.2</v>
      </c>
      <c r="AG84">
        <v>0.38</v>
      </c>
      <c r="AH84">
        <v>0.99</v>
      </c>
      <c r="AI84" s="1">
        <v>1</v>
      </c>
    </row>
    <row r="85" spans="1:36" x14ac:dyDescent="0.25">
      <c r="A85">
        <v>84</v>
      </c>
      <c r="B85">
        <v>2</v>
      </c>
      <c r="C85">
        <v>67</v>
      </c>
      <c r="D85">
        <v>3</v>
      </c>
      <c r="E85">
        <f>E84+1</f>
        <v>3</v>
      </c>
      <c r="F85" s="2">
        <v>6701011</v>
      </c>
      <c r="G85" s="2" t="s">
        <v>319</v>
      </c>
      <c r="H85" s="7">
        <v>1</v>
      </c>
      <c r="I85" t="s">
        <v>281</v>
      </c>
      <c r="J85" t="s">
        <v>86</v>
      </c>
      <c r="K85">
        <v>0</v>
      </c>
      <c r="L85">
        <v>0</v>
      </c>
      <c r="M85">
        <v>0</v>
      </c>
      <c r="N85" s="14">
        <v>29.7</v>
      </c>
      <c r="O85" s="14" t="s">
        <v>250</v>
      </c>
      <c r="P85">
        <v>673</v>
      </c>
      <c r="S85" s="19"/>
      <c r="T85" s="14">
        <v>1</v>
      </c>
      <c r="U85" s="58">
        <v>4.0869999999999997</v>
      </c>
      <c r="V85" s="1">
        <v>2.5</v>
      </c>
      <c r="W85">
        <v>17500</v>
      </c>
      <c r="X85">
        <v>0.18</v>
      </c>
      <c r="Y85">
        <v>1000</v>
      </c>
      <c r="Z85">
        <v>1</v>
      </c>
      <c r="AA85">
        <v>32</v>
      </c>
      <c r="AB85">
        <v>0.56000000000000005</v>
      </c>
      <c r="AC85" s="26">
        <v>1</v>
      </c>
      <c r="AE85" s="26">
        <v>0.83</v>
      </c>
      <c r="AF85" s="26">
        <v>0.2</v>
      </c>
      <c r="AG85">
        <v>0.38</v>
      </c>
      <c r="AH85">
        <v>0.99</v>
      </c>
      <c r="AI85" s="1">
        <v>1</v>
      </c>
    </row>
    <row r="86" spans="1:36" x14ac:dyDescent="0.25">
      <c r="A86">
        <v>85</v>
      </c>
      <c r="B86">
        <v>2</v>
      </c>
      <c r="C86">
        <v>67</v>
      </c>
      <c r="D86">
        <v>3</v>
      </c>
      <c r="E86">
        <f>E85+1</f>
        <v>4</v>
      </c>
      <c r="F86" s="2">
        <v>6709502</v>
      </c>
      <c r="G86" s="2" t="s">
        <v>319</v>
      </c>
      <c r="H86" s="7">
        <v>1</v>
      </c>
      <c r="I86" t="s">
        <v>157</v>
      </c>
      <c r="J86" t="s">
        <v>86</v>
      </c>
      <c r="K86">
        <v>29.1</v>
      </c>
      <c r="L86">
        <v>23.8</v>
      </c>
      <c r="M86">
        <v>15.5</v>
      </c>
      <c r="N86" s="14">
        <v>29.7</v>
      </c>
      <c r="O86" s="14" t="s">
        <v>250</v>
      </c>
      <c r="P86">
        <v>673</v>
      </c>
      <c r="S86" s="19"/>
      <c r="T86" s="14">
        <v>1</v>
      </c>
      <c r="U86" s="58"/>
      <c r="V86" s="19"/>
      <c r="W86">
        <v>17500</v>
      </c>
      <c r="X86">
        <v>0.18</v>
      </c>
      <c r="Y86">
        <v>1000</v>
      </c>
      <c r="Z86">
        <v>1</v>
      </c>
      <c r="AA86">
        <v>32</v>
      </c>
      <c r="AB86">
        <v>0.56000000000000005</v>
      </c>
      <c r="AC86" s="26">
        <v>1</v>
      </c>
      <c r="AE86" s="26">
        <v>0.83</v>
      </c>
      <c r="AF86" s="26">
        <v>0.2</v>
      </c>
      <c r="AG86">
        <v>0.38</v>
      </c>
      <c r="AH86">
        <v>0.99</v>
      </c>
      <c r="AI86" s="1">
        <v>1</v>
      </c>
    </row>
    <row r="87" spans="1:36" x14ac:dyDescent="0.25">
      <c r="A87">
        <v>86</v>
      </c>
      <c r="B87">
        <v>2</v>
      </c>
      <c r="C87">
        <v>67</v>
      </c>
      <c r="D87">
        <v>3</v>
      </c>
      <c r="E87">
        <f>E86+1</f>
        <v>5</v>
      </c>
      <c r="F87" s="2">
        <v>6700617</v>
      </c>
      <c r="G87" s="2" t="s">
        <v>319</v>
      </c>
      <c r="H87" s="7">
        <v>-1</v>
      </c>
      <c r="K87">
        <v>0</v>
      </c>
      <c r="L87">
        <v>0</v>
      </c>
      <c r="M87">
        <v>0</v>
      </c>
      <c r="N87" s="14">
        <v>29.7</v>
      </c>
      <c r="O87" s="14" t="s">
        <v>250</v>
      </c>
      <c r="P87">
        <v>673</v>
      </c>
      <c r="S87" s="19"/>
      <c r="T87" s="14">
        <v>1</v>
      </c>
      <c r="U87" s="58"/>
      <c r="V87" s="19"/>
      <c r="W87">
        <v>17500</v>
      </c>
      <c r="X87">
        <v>0.18</v>
      </c>
      <c r="Y87">
        <v>1000</v>
      </c>
      <c r="Z87">
        <v>1</v>
      </c>
      <c r="AA87">
        <v>32</v>
      </c>
      <c r="AB87">
        <v>0.56000000000000005</v>
      </c>
      <c r="AC87" s="26">
        <v>1</v>
      </c>
      <c r="AE87" s="26">
        <v>0.83</v>
      </c>
      <c r="AF87" s="26">
        <v>0.2</v>
      </c>
      <c r="AG87">
        <v>0.38</v>
      </c>
      <c r="AH87">
        <v>0.99</v>
      </c>
      <c r="AI87" s="1">
        <v>1</v>
      </c>
    </row>
    <row r="88" spans="1:36" x14ac:dyDescent="0.25">
      <c r="A88">
        <v>87</v>
      </c>
      <c r="B88">
        <v>2</v>
      </c>
      <c r="C88">
        <v>67</v>
      </c>
      <c r="D88">
        <v>3</v>
      </c>
      <c r="E88">
        <f>E87+1</f>
        <v>6</v>
      </c>
      <c r="F88" s="2">
        <v>6700608</v>
      </c>
      <c r="H88" s="7">
        <v>-1</v>
      </c>
      <c r="I88" t="s">
        <v>140</v>
      </c>
      <c r="J88" t="s">
        <v>86</v>
      </c>
      <c r="K88">
        <v>21.4</v>
      </c>
      <c r="L88">
        <v>27.6</v>
      </c>
      <c r="M88">
        <v>56.7</v>
      </c>
      <c r="N88" s="14">
        <v>29.7</v>
      </c>
      <c r="O88" s="14" t="s">
        <v>250</v>
      </c>
      <c r="P88">
        <v>673</v>
      </c>
      <c r="S88" s="19"/>
      <c r="T88" s="14">
        <v>1</v>
      </c>
      <c r="U88" s="58"/>
      <c r="V88" s="19"/>
      <c r="W88">
        <v>17500</v>
      </c>
      <c r="X88">
        <v>0.18</v>
      </c>
      <c r="Y88">
        <v>1000</v>
      </c>
      <c r="Z88">
        <v>1</v>
      </c>
      <c r="AA88">
        <v>32</v>
      </c>
      <c r="AB88">
        <v>0.56000000000000005</v>
      </c>
      <c r="AC88" s="26">
        <v>1</v>
      </c>
      <c r="AE88" s="26">
        <v>0.83</v>
      </c>
      <c r="AF88" s="26">
        <v>0.2</v>
      </c>
      <c r="AG88">
        <v>0.38</v>
      </c>
      <c r="AH88">
        <v>0.99</v>
      </c>
      <c r="AI88" s="1">
        <v>1</v>
      </c>
    </row>
    <row r="89" spans="1:36" s="15" customFormat="1" x14ac:dyDescent="0.25">
      <c r="A89" s="15">
        <v>88</v>
      </c>
      <c r="B89" s="15">
        <v>2</v>
      </c>
      <c r="C89" s="15">
        <v>67</v>
      </c>
      <c r="D89" s="15">
        <v>4</v>
      </c>
      <c r="E89" s="15">
        <v>1</v>
      </c>
      <c r="F89" s="16">
        <v>6700904</v>
      </c>
      <c r="G89" s="16"/>
      <c r="H89" s="16">
        <v>0</v>
      </c>
      <c r="I89" s="15" t="s">
        <v>141</v>
      </c>
      <c r="J89" s="15" t="s">
        <v>86</v>
      </c>
      <c r="K89" s="15">
        <v>68.400000000000006</v>
      </c>
      <c r="L89" s="15">
        <v>148</v>
      </c>
      <c r="M89" s="15">
        <v>329</v>
      </c>
      <c r="N89" s="18">
        <v>12.4</v>
      </c>
      <c r="O89" s="18" t="s">
        <v>250</v>
      </c>
      <c r="P89" s="15">
        <v>674</v>
      </c>
      <c r="T89" s="15">
        <v>0.8</v>
      </c>
      <c r="U89" s="25"/>
      <c r="W89" s="15">
        <v>17500</v>
      </c>
      <c r="X89" s="15">
        <v>0.18</v>
      </c>
      <c r="Y89" s="15">
        <v>1000</v>
      </c>
      <c r="Z89" s="15">
        <v>1</v>
      </c>
      <c r="AA89" s="15">
        <v>32</v>
      </c>
      <c r="AB89" s="15">
        <v>0.56000000000000005</v>
      </c>
      <c r="AC89" s="25">
        <v>1</v>
      </c>
      <c r="AD89" s="25"/>
      <c r="AE89" s="25">
        <v>0.70640000000000003</v>
      </c>
      <c r="AF89" s="25">
        <v>0.19439999999999999</v>
      </c>
      <c r="AG89" s="15">
        <v>0.38</v>
      </c>
      <c r="AH89" s="15">
        <v>0.99</v>
      </c>
      <c r="AI89" s="17">
        <v>1</v>
      </c>
      <c r="AJ89" s="17"/>
    </row>
    <row r="90" spans="1:36" s="6" customFormat="1" x14ac:dyDescent="0.25">
      <c r="A90" s="6">
        <v>89</v>
      </c>
      <c r="B90" s="6">
        <v>2</v>
      </c>
      <c r="C90" s="6">
        <v>67</v>
      </c>
      <c r="D90" s="6">
        <v>4</v>
      </c>
      <c r="E90" s="6">
        <f>E89+1</f>
        <v>2</v>
      </c>
      <c r="F90" s="7">
        <v>6700616</v>
      </c>
      <c r="G90" s="7"/>
      <c r="H90" s="7">
        <v>-1</v>
      </c>
      <c r="K90" s="6">
        <v>0</v>
      </c>
      <c r="L90" s="6">
        <v>0</v>
      </c>
      <c r="M90" s="6">
        <v>0</v>
      </c>
      <c r="N90" s="22">
        <v>12.4</v>
      </c>
      <c r="O90" s="22" t="s">
        <v>250</v>
      </c>
      <c r="P90" s="6">
        <v>674</v>
      </c>
      <c r="S90" s="19"/>
      <c r="T90" s="6">
        <v>0.8</v>
      </c>
      <c r="U90" s="58"/>
      <c r="V90" s="19"/>
      <c r="W90" s="6">
        <v>17500</v>
      </c>
      <c r="X90" s="6">
        <v>0.18</v>
      </c>
      <c r="Y90" s="6">
        <v>1000</v>
      </c>
      <c r="Z90" s="6">
        <v>1</v>
      </c>
      <c r="AA90" s="6">
        <v>32</v>
      </c>
      <c r="AB90" s="6">
        <v>0.56000000000000005</v>
      </c>
      <c r="AC90" s="27">
        <v>1</v>
      </c>
      <c r="AD90" s="27"/>
      <c r="AE90" s="27">
        <v>0.70640000000000003</v>
      </c>
      <c r="AF90" s="27">
        <v>0.19439999999999999</v>
      </c>
      <c r="AG90" s="6">
        <v>0.38</v>
      </c>
      <c r="AH90" s="6">
        <v>0.99</v>
      </c>
      <c r="AI90" s="21">
        <v>1</v>
      </c>
      <c r="AJ90" s="21"/>
    </row>
    <row r="91" spans="1:36" s="3" customFormat="1" x14ac:dyDescent="0.25">
      <c r="A91" s="3">
        <v>90</v>
      </c>
      <c r="B91" s="3">
        <v>2</v>
      </c>
      <c r="C91" s="3">
        <v>67</v>
      </c>
      <c r="D91" s="3">
        <v>4</v>
      </c>
      <c r="E91" s="3">
        <f>E90+1</f>
        <v>3</v>
      </c>
      <c r="F91" s="4">
        <v>6709511</v>
      </c>
      <c r="G91" s="4" t="s">
        <v>319</v>
      </c>
      <c r="H91" s="4">
        <v>-1</v>
      </c>
      <c r="I91" s="3" t="s">
        <v>142</v>
      </c>
      <c r="J91" s="3" t="s">
        <v>86</v>
      </c>
      <c r="K91" s="3">
        <v>0</v>
      </c>
      <c r="L91" s="3">
        <v>5.7</v>
      </c>
      <c r="M91" s="3">
        <v>35.4</v>
      </c>
      <c r="N91" s="13">
        <v>12.4</v>
      </c>
      <c r="O91" s="13" t="s">
        <v>250</v>
      </c>
      <c r="P91" s="3">
        <v>674</v>
      </c>
      <c r="Q91" s="3">
        <v>4.5999999999999996</v>
      </c>
      <c r="R91" s="3">
        <v>3.8</v>
      </c>
      <c r="T91" s="3">
        <v>0.8</v>
      </c>
      <c r="U91" s="24"/>
      <c r="W91" s="3">
        <v>17500</v>
      </c>
      <c r="X91" s="3">
        <v>0.18</v>
      </c>
      <c r="Y91" s="3">
        <v>1000</v>
      </c>
      <c r="Z91" s="3">
        <v>1</v>
      </c>
      <c r="AA91" s="3">
        <v>32</v>
      </c>
      <c r="AB91" s="3">
        <v>0.56000000000000005</v>
      </c>
      <c r="AC91" s="24">
        <v>1</v>
      </c>
      <c r="AD91" s="24"/>
      <c r="AE91" s="24">
        <v>0.70640000000000003</v>
      </c>
      <c r="AF91" s="24">
        <v>0.19439999999999999</v>
      </c>
      <c r="AG91" s="3">
        <v>0.38</v>
      </c>
      <c r="AH91" s="3">
        <v>0.99</v>
      </c>
      <c r="AI91" s="5">
        <v>1</v>
      </c>
      <c r="AJ91" s="5"/>
    </row>
    <row r="92" spans="1:36" s="15" customFormat="1" x14ac:dyDescent="0.25">
      <c r="A92" s="15">
        <v>91</v>
      </c>
      <c r="B92" s="15">
        <v>2</v>
      </c>
      <c r="C92" s="15">
        <v>67</v>
      </c>
      <c r="D92" s="15">
        <v>5</v>
      </c>
      <c r="E92" s="15">
        <v>1</v>
      </c>
      <c r="F92" s="16">
        <v>6709510</v>
      </c>
      <c r="G92" s="16"/>
      <c r="H92" s="16">
        <v>0</v>
      </c>
      <c r="I92" s="15" t="s">
        <v>143</v>
      </c>
      <c r="J92" s="15" t="s">
        <v>86</v>
      </c>
      <c r="K92" s="15">
        <v>157</v>
      </c>
      <c r="L92" s="15">
        <v>313</v>
      </c>
      <c r="M92" s="15">
        <v>451</v>
      </c>
      <c r="N92" s="16">
        <v>0</v>
      </c>
      <c r="O92" s="16" t="s">
        <v>249</v>
      </c>
      <c r="P92" s="15">
        <v>674</v>
      </c>
      <c r="Q92" s="18"/>
      <c r="R92" s="18"/>
      <c r="S92" s="17"/>
      <c r="T92" s="16">
        <v>0</v>
      </c>
      <c r="U92" s="25"/>
      <c r="V92" s="17"/>
      <c r="W92" s="15">
        <v>17500</v>
      </c>
      <c r="X92" s="15">
        <v>0.18</v>
      </c>
      <c r="Y92" s="15">
        <v>1000</v>
      </c>
      <c r="Z92" s="15">
        <v>1</v>
      </c>
      <c r="AA92" s="15">
        <v>32</v>
      </c>
      <c r="AB92" s="15">
        <v>0.56000000000000005</v>
      </c>
      <c r="AC92" s="25">
        <v>1</v>
      </c>
      <c r="AD92" s="25"/>
      <c r="AE92" s="25">
        <v>0.70640000000000003</v>
      </c>
      <c r="AF92" s="25">
        <v>0.19439999999999999</v>
      </c>
      <c r="AG92" s="15">
        <v>0.38</v>
      </c>
      <c r="AH92" s="15">
        <v>0.99</v>
      </c>
      <c r="AI92" s="17">
        <v>1</v>
      </c>
      <c r="AJ9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3"/>
  <sheetViews>
    <sheetView workbookViewId="0">
      <pane xSplit="9" ySplit="1" topLeftCell="J48" activePane="bottomRight" state="frozen"/>
      <selection pane="topRight" activeCell="K1" sqref="K1"/>
      <selection pane="bottomLeft" activeCell="A2" sqref="A2"/>
      <selection pane="bottomRight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13.140625" customWidth="1"/>
    <col min="29" max="29" width="5.85546875" customWidth="1"/>
    <col min="30" max="31" width="11.28515625" bestFit="1" customWidth="1"/>
    <col min="32" max="32" width="8.140625" style="26" customWidth="1"/>
    <col min="33" max="34" width="9" style="26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 t="s">
        <v>312</v>
      </c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24" t="s">
        <v>162</v>
      </c>
      <c r="AG1" s="24" t="s">
        <v>73</v>
      </c>
      <c r="AH1" s="24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S2" s="15">
        <v>0.33168949528143798</v>
      </c>
      <c r="T2" s="15">
        <v>0.29643128712429401</v>
      </c>
      <c r="U2" s="17">
        <v>0.73781148031051902</v>
      </c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25">
        <v>6</v>
      </c>
      <c r="AG2" s="25">
        <v>0.63519999999999999</v>
      </c>
      <c r="AH2" s="25">
        <v>0.2797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S3" s="3">
        <v>0.117869103538197</v>
      </c>
      <c r="T3" s="3">
        <v>0.116735683736322</v>
      </c>
      <c r="U3" s="5">
        <v>0.26218851968948098</v>
      </c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24">
        <v>6</v>
      </c>
      <c r="AG3" s="24">
        <v>0.63519999999999999</v>
      </c>
      <c r="AH3" s="24">
        <v>0.2797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>
        <v>0.65215360299964698</v>
      </c>
      <c r="T4">
        <v>0.46641866159897599</v>
      </c>
      <c r="U4" s="1">
        <v>2.7341598944340101E-2</v>
      </c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6">
        <v>6</v>
      </c>
      <c r="AG4" s="26">
        <v>0.63519999999999999</v>
      </c>
      <c r="AH4" s="26">
        <v>0.2797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3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>
        <v>1403507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S5">
        <v>0.55399421026737605</v>
      </c>
      <c r="T5">
        <v>0.43640567970390898</v>
      </c>
      <c r="U5" s="1">
        <v>2.3226257502751601E-2</v>
      </c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6">
        <v>6</v>
      </c>
      <c r="AG5" s="26">
        <v>0.63519999999999999</v>
      </c>
      <c r="AH5" s="26">
        <v>0.2797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S6">
        <v>0.83941893009773605</v>
      </c>
      <c r="T6">
        <v>0.81360840645648502</v>
      </c>
      <c r="U6" s="1">
        <v>3.5192714764518102E-2</v>
      </c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6">
        <v>6</v>
      </c>
      <c r="AG6" s="26">
        <v>0.63519999999999999</v>
      </c>
      <c r="AH6" s="26">
        <v>0.2797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S7">
        <v>1.8683868878026699</v>
      </c>
      <c r="T7">
        <v>1.18614130376216</v>
      </c>
      <c r="U7" s="1">
        <v>7.8332289700149202E-2</v>
      </c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6">
        <v>6</v>
      </c>
      <c r="AG7" s="26">
        <v>0.63519999999999999</v>
      </c>
      <c r="AH7" s="26">
        <v>0.2797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S8">
        <v>0.85322033208663595</v>
      </c>
      <c r="T8">
        <v>0.75775030859098003</v>
      </c>
      <c r="U8" s="1">
        <v>3.57713397944412E-2</v>
      </c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6">
        <v>6</v>
      </c>
      <c r="AG8" s="26">
        <v>0.63519999999999999</v>
      </c>
      <c r="AH8" s="26">
        <v>0.2797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S9">
        <v>4.8116603673980203</v>
      </c>
      <c r="T9">
        <v>3.68015957432584</v>
      </c>
      <c r="U9" s="1">
        <v>0.201729297234051</v>
      </c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6">
        <v>6</v>
      </c>
      <c r="AG9" s="26">
        <v>0.63519999999999999</v>
      </c>
      <c r="AH9" s="26">
        <v>0.2797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S10">
        <v>1.0523952264118701</v>
      </c>
      <c r="T10">
        <v>0.90998411461980999</v>
      </c>
      <c r="U10" s="1">
        <v>4.41217653006006E-2</v>
      </c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6">
        <v>6</v>
      </c>
      <c r="AG10" s="26">
        <v>0.63519999999999999</v>
      </c>
      <c r="AH10" s="26">
        <v>0.2797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S11">
        <v>1.0986055387674001</v>
      </c>
      <c r="T11">
        <v>0.84164055674311899</v>
      </c>
      <c r="U11" s="1">
        <v>4.6059136836548699E-2</v>
      </c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6">
        <v>6</v>
      </c>
      <c r="AG11" s="26">
        <v>0.63519999999999999</v>
      </c>
      <c r="AH11" s="26">
        <v>0.2797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S12">
        <v>4.8250814370676904</v>
      </c>
      <c r="T12">
        <v>2.9945260352596699</v>
      </c>
      <c r="U12" s="1">
        <v>0.20229197679700101</v>
      </c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6">
        <v>6</v>
      </c>
      <c r="AG12" s="26">
        <v>0.63519999999999999</v>
      </c>
      <c r="AH12" s="26">
        <v>0.2797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S13">
        <v>2.5172620384025799</v>
      </c>
      <c r="T13">
        <v>1.8714360113046</v>
      </c>
      <c r="U13" s="1">
        <v>0.105536439230334</v>
      </c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6">
        <v>6</v>
      </c>
      <c r="AG13" s="26">
        <v>0.63519999999999999</v>
      </c>
      <c r="AH13" s="26">
        <v>0.2797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S14" s="3">
        <v>4.7798867130751104</v>
      </c>
      <c r="T14" s="3">
        <v>3.47999352636934</v>
      </c>
      <c r="U14" s="5">
        <v>0.20039718389526501</v>
      </c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24">
        <v>6</v>
      </c>
      <c r="AG14" s="24">
        <v>0.63519999999999999</v>
      </c>
      <c r="AH14" s="24">
        <v>0.2797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S15">
        <v>0.35999352672018903</v>
      </c>
      <c r="T15">
        <v>0.35014672340255099</v>
      </c>
      <c r="U15" s="1">
        <v>1.6955484982791699E-2</v>
      </c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6">
        <v>4</v>
      </c>
      <c r="AG15" s="26">
        <v>0.67910000000000004</v>
      </c>
      <c r="AH15" s="26">
        <v>0.22839999999999999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S16">
        <v>3.0061446946599202</v>
      </c>
      <c r="T16">
        <v>2.3888600292911502</v>
      </c>
      <c r="U16" s="1">
        <v>0.14158766045263699</v>
      </c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6">
        <v>4</v>
      </c>
      <c r="AG16" s="26">
        <v>0.67910000000000004</v>
      </c>
      <c r="AH16" s="26">
        <v>0.22839999999999999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S17">
        <v>2.7869341506065801</v>
      </c>
      <c r="T17">
        <v>1.90627568715769</v>
      </c>
      <c r="U17" s="1">
        <v>0.13126297177940099</v>
      </c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6">
        <v>4</v>
      </c>
      <c r="AG17" s="26">
        <v>0.67910000000000004</v>
      </c>
      <c r="AH17" s="26">
        <v>0.22839999999999999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S18">
        <v>4.1591882676924898</v>
      </c>
      <c r="T18">
        <v>3.0709852947351401</v>
      </c>
      <c r="U18" s="1">
        <v>0.19589533971892001</v>
      </c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6">
        <v>4</v>
      </c>
      <c r="AG18" s="26">
        <v>0.67910000000000004</v>
      </c>
      <c r="AH18" s="26">
        <v>0.22839999999999999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S19">
        <v>1.1786263470853</v>
      </c>
      <c r="T19">
        <v>0.90474625806870002</v>
      </c>
      <c r="U19" s="1">
        <v>5.5512612991678902E-2</v>
      </c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6">
        <v>4</v>
      </c>
      <c r="AG19" s="26">
        <v>0.67910000000000004</v>
      </c>
      <c r="AH19" s="26">
        <v>0.22839999999999999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S20">
        <v>6.8372805127998202</v>
      </c>
      <c r="T20">
        <v>5.0499139067038596</v>
      </c>
      <c r="U20" s="1">
        <v>0.32203192127957297</v>
      </c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6">
        <v>4</v>
      </c>
      <c r="AG20" s="26">
        <v>0.67910000000000004</v>
      </c>
      <c r="AH20" s="26">
        <v>0.22839999999999999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S21" s="3">
        <v>2.9035181222595301</v>
      </c>
      <c r="T21" s="3">
        <v>1.2298019778553799</v>
      </c>
      <c r="U21" s="5">
        <v>0.13675400879499799</v>
      </c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24">
        <v>4</v>
      </c>
      <c r="AG21" s="24">
        <v>0.67910000000000004</v>
      </c>
      <c r="AH21" s="24">
        <v>0.22839999999999999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si="2"/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S22">
        <v>8.9535505388199095</v>
      </c>
      <c r="T22">
        <v>5.7052276645086204</v>
      </c>
      <c r="U22" s="1">
        <v>0.55857872966168898</v>
      </c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6">
        <v>4</v>
      </c>
      <c r="AG22" s="26">
        <v>0.56440000000000001</v>
      </c>
      <c r="AH22" s="26">
        <v>0.24690000000000001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2"/>
        <v>2</v>
      </c>
      <c r="B23">
        <v>17</v>
      </c>
      <c r="C23">
        <f>C22</f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S23">
        <v>6.9203503378837503</v>
      </c>
      <c r="T23">
        <v>5.3754913436518201</v>
      </c>
      <c r="U23" s="1">
        <v>0.43173492837160299</v>
      </c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6">
        <v>4</v>
      </c>
      <c r="AG23" s="26">
        <v>0.56440000000000001</v>
      </c>
      <c r="AH23" s="26">
        <v>0.24690000000000001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ref="A24:C39" si="6">A23</f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S24">
        <v>0.14526397216690201</v>
      </c>
      <c r="T24">
        <v>0.14879393619553399</v>
      </c>
      <c r="U24" s="1">
        <v>9.0624791457639201E-3</v>
      </c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6">
        <v>4</v>
      </c>
      <c r="AG24" s="26">
        <v>0.56440000000000001</v>
      </c>
      <c r="AH24" s="26">
        <v>0.24690000000000001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S25" s="3">
        <v>0.01</v>
      </c>
      <c r="T25" s="3">
        <v>8.6291308767355804E-3</v>
      </c>
      <c r="U25" s="5">
        <v>6.2386282094444999E-4</v>
      </c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24">
        <v>4</v>
      </c>
      <c r="AG25" s="24">
        <v>0.56440000000000001</v>
      </c>
      <c r="AH25" s="24">
        <v>0.24690000000000001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S26">
        <v>7.7422938227385902</v>
      </c>
      <c r="T26">
        <v>5.0571563670597701</v>
      </c>
      <c r="U26" s="1">
        <v>0.38407855353067599</v>
      </c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6">
        <v>4</v>
      </c>
      <c r="AG26" s="26">
        <v>0.70189999999999997</v>
      </c>
      <c r="AH26" s="26">
        <v>0.2102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S27">
        <v>1.4166874908617899</v>
      </c>
      <c r="T27">
        <v>1.2078869275375601</v>
      </c>
      <c r="U27" s="1">
        <v>7.0278821077179698E-2</v>
      </c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6">
        <v>4</v>
      </c>
      <c r="AG27" s="26">
        <v>0.70189999999999997</v>
      </c>
      <c r="AH27" s="26">
        <v>0.2102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S28">
        <v>1.08680609890959</v>
      </c>
      <c r="T28">
        <v>0.972213590217748</v>
      </c>
      <c r="U28" s="1">
        <v>5.3914114343165502E-2</v>
      </c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6">
        <v>4</v>
      </c>
      <c r="AG28" s="26">
        <v>0.70189999999999997</v>
      </c>
      <c r="AH28" s="26">
        <v>0.2102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S29">
        <v>1.3902205772096199</v>
      </c>
      <c r="T29">
        <v>1.2633664985881601</v>
      </c>
      <c r="U29" s="1">
        <v>6.8965854384790401E-2</v>
      </c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6">
        <v>4</v>
      </c>
      <c r="AG29" s="26">
        <v>0.70189999999999997</v>
      </c>
      <c r="AH29" s="26">
        <v>0.2102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S30">
        <v>1.39810637782364</v>
      </c>
      <c r="T30">
        <v>1.02341892233038</v>
      </c>
      <c r="U30" s="1">
        <v>6.9357052001750893E-2</v>
      </c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6">
        <v>4</v>
      </c>
      <c r="AG30" s="26">
        <v>0.70189999999999997</v>
      </c>
      <c r="AH30" s="26">
        <v>0.2102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S31" s="3">
        <v>7.12398545752347</v>
      </c>
      <c r="T31" s="3">
        <v>5.2067751609242299</v>
      </c>
      <c r="U31" s="5">
        <v>0.35340560466243798</v>
      </c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24">
        <v>4</v>
      </c>
      <c r="AG31" s="24">
        <v>0.70189999999999997</v>
      </c>
      <c r="AH31" s="24">
        <v>0.2102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S32">
        <v>5.9433980717298196</v>
      </c>
      <c r="T32">
        <v>3.7708505121811702</v>
      </c>
      <c r="U32" s="1">
        <v>0.45047348904793399</v>
      </c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6">
        <v>3.5</v>
      </c>
      <c r="AG32" s="26">
        <v>0.49640000000000001</v>
      </c>
      <c r="AH32" s="26">
        <v>0.2626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S33">
        <v>0.93578795514093804</v>
      </c>
      <c r="T33">
        <v>0.72607879104379902</v>
      </c>
      <c r="U33" s="1">
        <v>7.0927045450058304E-2</v>
      </c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6">
        <v>3.5</v>
      </c>
      <c r="AG33" s="26">
        <v>0.49640000000000001</v>
      </c>
      <c r="AH33" s="26">
        <v>0.2626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S34">
        <v>2.20194849005019</v>
      </c>
      <c r="T34">
        <v>1.99355206511229</v>
      </c>
      <c r="U34" s="1">
        <v>0.16689432662013201</v>
      </c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6">
        <v>3.5</v>
      </c>
      <c r="AG34" s="26">
        <v>0.49640000000000001</v>
      </c>
      <c r="AH34" s="26">
        <v>0.2626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S35">
        <v>0.92781636111128296</v>
      </c>
      <c r="T35">
        <v>0.81620494200066496</v>
      </c>
      <c r="U35" s="1">
        <v>7.0322847021402998E-2</v>
      </c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6">
        <v>3.5</v>
      </c>
      <c r="AG35" s="26">
        <v>0.49640000000000001</v>
      </c>
      <c r="AH35" s="26">
        <v>0.2626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S36" s="3">
        <v>3.1847180419547501</v>
      </c>
      <c r="T36" s="3">
        <v>2.4986352037042101</v>
      </c>
      <c r="U36" s="5">
        <v>0.241382291860473</v>
      </c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24">
        <v>3.5</v>
      </c>
      <c r="AG36" s="24">
        <v>0.49640000000000001</v>
      </c>
      <c r="AH36" s="24">
        <v>0.2626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S37">
        <v>9.6133856357610598E-2</v>
      </c>
      <c r="T37">
        <v>9.5150180907058998E-2</v>
      </c>
      <c r="U37" s="1">
        <v>3.3835513514043898E-3</v>
      </c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6">
        <v>3</v>
      </c>
      <c r="AG37" s="26">
        <v>1.1425000000000001</v>
      </c>
      <c r="AH37" s="26">
        <v>0.14080000000000001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si="6"/>
        <v>2</v>
      </c>
      <c r="B38">
        <v>17</v>
      </c>
      <c r="C38">
        <f t="shared" si="6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S38">
        <v>19.0306355134271</v>
      </c>
      <c r="T38">
        <v>10.457113767533199</v>
      </c>
      <c r="U38" s="1">
        <v>0.66980702688146299</v>
      </c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6">
        <v>3</v>
      </c>
      <c r="AG38" s="26">
        <v>1.1425000000000001</v>
      </c>
      <c r="AH38" s="26">
        <v>0.14080000000000001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6"/>
        <v>2</v>
      </c>
      <c r="B39">
        <v>17</v>
      </c>
      <c r="C39">
        <f t="shared" si="6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S39">
        <v>2.5539534457848601</v>
      </c>
      <c r="T39">
        <v>2.1128657757314202</v>
      </c>
      <c r="U39" s="1">
        <v>8.9889586877320196E-2</v>
      </c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6">
        <v>3</v>
      </c>
      <c r="AG39" s="26">
        <v>1.1425000000000001</v>
      </c>
      <c r="AH39" s="26">
        <v>0.14080000000000001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ref="A40:C41" si="8">A39</f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S40" s="3">
        <v>6.7313940325192601</v>
      </c>
      <c r="T40" s="3">
        <v>5.4720689927533703</v>
      </c>
      <c r="U40" s="5">
        <v>0.236919834889812</v>
      </c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24">
        <v>3</v>
      </c>
      <c r="AG40" s="24">
        <v>1.1425000000000001</v>
      </c>
      <c r="AH40" s="24">
        <v>0.14080000000000001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S41">
        <v>3.9673146550362</v>
      </c>
      <c r="T41">
        <v>2.4296730740037602</v>
      </c>
      <c r="U41" s="1">
        <v>0.16597547413364</v>
      </c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6">
        <v>3</v>
      </c>
      <c r="AG41" s="26">
        <v>1.1425000000000001</v>
      </c>
      <c r="AH41" s="26">
        <v>0.14080000000000001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S42">
        <v>11.029676655447</v>
      </c>
      <c r="T42">
        <v>5.3069249129967799</v>
      </c>
      <c r="U42" s="1">
        <v>0.461434489473798</v>
      </c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6">
        <v>3</v>
      </c>
      <c r="AG42" s="26">
        <v>1.1425000000000001</v>
      </c>
      <c r="AH42" s="26">
        <v>0.14080000000000001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S43">
        <v>3.8000380575558399</v>
      </c>
      <c r="T43">
        <v>3.0459874860559801</v>
      </c>
      <c r="U43" s="1">
        <v>0.15897733685632001</v>
      </c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6">
        <v>3</v>
      </c>
      <c r="AG43" s="26">
        <v>1.1425000000000001</v>
      </c>
      <c r="AH43" s="26">
        <v>0.14080000000000001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S44">
        <v>5.1059880852614299</v>
      </c>
      <c r="T44">
        <v>4.5563221992998404</v>
      </c>
      <c r="U44" s="1">
        <v>0.21361269953624301</v>
      </c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6">
        <v>3</v>
      </c>
      <c r="AG44" s="26">
        <v>1.1425000000000001</v>
      </c>
      <c r="AH44" s="26">
        <v>0.14080000000000001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27"/>
      <c r="AG45" s="27"/>
      <c r="AH45" s="27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S46" s="49">
        <v>7.8058523097390298</v>
      </c>
      <c r="T46" s="49">
        <v>5.0666472456823497</v>
      </c>
      <c r="U46" s="51">
        <v>1</v>
      </c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2">
        <v>1</v>
      </c>
      <c r="AG46" s="52">
        <v>1.1377999999999999</v>
      </c>
      <c r="AH46" s="52">
        <v>0.1648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0.2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>IF(J47="Inflow",1,IF(J47="Outflow",-1,IF(J47="Gage",0,IF(J47="Top",0,""))))</f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S47" s="15">
        <v>2.89017381224415</v>
      </c>
      <c r="T47" s="15">
        <v>1.9896636341382099</v>
      </c>
      <c r="U47" s="17">
        <v>1</v>
      </c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25">
        <v>1</v>
      </c>
      <c r="AG47" s="25">
        <v>1.1377999999999999</v>
      </c>
      <c r="AH47" s="25">
        <v>0.1648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0.2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27"/>
      <c r="AG48" s="27"/>
      <c r="AH48" s="27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S49" s="49">
        <v>3.6692416723169599</v>
      </c>
      <c r="T49" s="49">
        <v>2.8270952395241902</v>
      </c>
      <c r="U49" s="51">
        <v>1</v>
      </c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2">
        <v>1</v>
      </c>
      <c r="AG49" s="52">
        <v>1.1377999999999999</v>
      </c>
      <c r="AH49" s="52">
        <v>0.1648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0.2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>IF(J50="Inflow",1,IF(J50="Outflow",-1,IF(J50="Gage",0,IF(J50="Top",0,""))))</f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S50" s="15">
        <v>0.88951852368734896</v>
      </c>
      <c r="T50" s="15">
        <v>0.82947615209260395</v>
      </c>
      <c r="U50" s="17">
        <v>0.41201444145705901</v>
      </c>
      <c r="V50" s="17">
        <f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25">
        <v>1</v>
      </c>
      <c r="AG50" s="25">
        <v>1.1377999999999999</v>
      </c>
      <c r="AH50" s="25">
        <v>0.1648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0.2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>IF(J51="Inflow",1,IF(J51="Outflow",-1,IF(J51="Gage",0,IF(J51="Top",0,""))))</f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S51" s="6">
        <v>1.26943134355913</v>
      </c>
      <c r="T51" s="6">
        <v>0.95271713150666804</v>
      </c>
      <c r="U51" s="21">
        <v>0.58798555854294099</v>
      </c>
      <c r="V51" s="21">
        <f>Y$52/SUM(Y$49:Y$51)</f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27">
        <v>1</v>
      </c>
      <c r="AG51" s="27">
        <v>1.1377999999999999</v>
      </c>
      <c r="AH51" s="27">
        <v>0.1648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0.2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27"/>
      <c r="AG52" s="27"/>
      <c r="AH52" s="27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S53" s="49">
        <v>0.01</v>
      </c>
      <c r="T53" s="49">
        <v>1.14146397942998E-2</v>
      </c>
      <c r="U53" s="51">
        <v>1</v>
      </c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2">
        <v>1</v>
      </c>
      <c r="AG53" s="52">
        <v>1.1377999999999999</v>
      </c>
      <c r="AH53" s="52">
        <v>0.1648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0.2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>IF(J54="Inflow",1,IF(J54="Outflow",-1,IF(J54="Gage",0,IF(J54="Top",0,""))))</f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S54" s="15">
        <v>5.3264915206916501E-2</v>
      </c>
      <c r="T54" s="15">
        <v>1.8339471432803001E-2</v>
      </c>
      <c r="U54" s="17">
        <v>1.5168451945792E-2</v>
      </c>
      <c r="V54" s="17">
        <f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25">
        <v>1</v>
      </c>
      <c r="AG54" s="25">
        <v>1.1377999999999999</v>
      </c>
      <c r="AH54" s="25">
        <v>0.1648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0.2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>IF(J55="Inflow",1,IF(J55="Outflow",-1,IF(J55="Gage",0,IF(J55="Top",0,""))))</f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S55" s="6">
        <v>3.4582941678999899</v>
      </c>
      <c r="T55" s="6">
        <v>2.0438430320732501</v>
      </c>
      <c r="U55" s="21">
        <v>0.98483154805420803</v>
      </c>
      <c r="V55" s="21">
        <f>Y$56/SUM(W$53,Y$53:Y$55)</f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27">
        <v>1</v>
      </c>
      <c r="AG55" s="27">
        <v>1.1377999999999999</v>
      </c>
      <c r="AH55" s="27">
        <v>0.1648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0.2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27"/>
      <c r="AG56" s="27"/>
      <c r="AH56" s="27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S57" s="41">
        <v>0.46233830236759499</v>
      </c>
      <c r="T57" s="41">
        <v>0.42878254485623601</v>
      </c>
      <c r="U57" s="44">
        <v>0.11389403934428401</v>
      </c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3">
        <v>1</v>
      </c>
      <c r="AG57" s="43">
        <v>1.1377999999999999</v>
      </c>
      <c r="AH57" s="43">
        <v>0.1648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0.2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S58" s="6">
        <v>1.9716758006259401</v>
      </c>
      <c r="T58" s="6">
        <v>1.2821108668735399</v>
      </c>
      <c r="U58" s="21">
        <v>0.48570953360493602</v>
      </c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27">
        <v>1</v>
      </c>
      <c r="AG58" s="27">
        <v>1.1377999999999999</v>
      </c>
      <c r="AH58" s="27">
        <v>0.1648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0.2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>IF(J59="Inflow",1,IF(J59="Outflow",-1,IF(J59="Gage",0,IF(J59="Top",0,""))))</f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S59" s="6">
        <v>1.62535814360859</v>
      </c>
      <c r="T59" s="6">
        <v>1.28618292911387</v>
      </c>
      <c r="U59" s="21">
        <v>0.40039642705077999</v>
      </c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27">
        <v>1</v>
      </c>
      <c r="AG59" s="27">
        <v>1.1377999999999999</v>
      </c>
      <c r="AH59" s="27">
        <v>0.1648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0.2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27"/>
      <c r="AG60" s="27"/>
      <c r="AH60" s="27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S61" s="41">
        <v>0.13379183230795599</v>
      </c>
      <c r="T61" s="41">
        <v>0.18194167865347299</v>
      </c>
      <c r="U61" s="44">
        <v>7.8253142822425195E-2</v>
      </c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3">
        <v>1</v>
      </c>
      <c r="AG61" s="43">
        <v>1.1377999999999999</v>
      </c>
      <c r="AH61" s="43">
        <v>0.1648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>IF(J62="Inflow",1,IF(J62="Outflow",-1,IF(J62="Gage",0,IF(J62="Top",0,""))))</f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S62" s="6">
        <v>1.5759392721866099</v>
      </c>
      <c r="T62" s="6">
        <v>1.0357118297196399</v>
      </c>
      <c r="U62" s="21">
        <v>0.92174685717757499</v>
      </c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27">
        <v>1</v>
      </c>
      <c r="AG62" s="27">
        <v>1.1377999999999999</v>
      </c>
      <c r="AH62" s="27">
        <v>0.1648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6"/>
      <c r="AG63" s="46"/>
      <c r="AH63" s="46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>
        <v>0.48696369057177402</v>
      </c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27">
        <v>1</v>
      </c>
      <c r="AG64" s="27">
        <v>0.83</v>
      </c>
      <c r="AH64" s="27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>IF(J65="Inflow",1,IF(J65="Outflow",-1,IF(J65="Gage",0,IF(J65="Top",0,""))))</f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>
        <v>0.48696369057177402</v>
      </c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27">
        <v>1</v>
      </c>
      <c r="AG65" s="27">
        <v>0.83</v>
      </c>
      <c r="AH65" s="27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>IF(J66="Inflow",1,IF(J66="Outflow",-1,IF(J66="Gage",0,IF(J66="Top",0,""))))</f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S66" s="6">
        <v>2.6770598466837101</v>
      </c>
      <c r="T66" s="6">
        <v>2.4905349772812402</v>
      </c>
      <c r="U66" s="21">
        <v>2.6072618856452099E-2</v>
      </c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27">
        <v>1</v>
      </c>
      <c r="AG66" s="27">
        <v>0.83</v>
      </c>
      <c r="AH66" s="27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F67" s="35"/>
      <c r="AG67" s="35"/>
      <c r="AH67" s="35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S68" s="7">
        <v>14.869141051235401</v>
      </c>
      <c r="T68" s="7">
        <v>12.3309185982157</v>
      </c>
      <c r="U68" s="21">
        <v>0.23522411233017401</v>
      </c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27">
        <v>1</v>
      </c>
      <c r="AG68" s="27">
        <v>0.83</v>
      </c>
      <c r="AH68" s="27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>IF(J69="Inflow",1,IF(J69="Outflow",-1,IF(J69="Gage",0,IF(J69="Top",0,""))))</f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S69" s="7">
        <v>48.3435156102733</v>
      </c>
      <c r="T69" s="7">
        <v>39.448423376815903</v>
      </c>
      <c r="U69" s="21">
        <v>0.76477588766982596</v>
      </c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27">
        <v>1</v>
      </c>
      <c r="AG69" s="27">
        <v>0.83</v>
      </c>
      <c r="AH69" s="27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>IF(J70="Inflow",1,IF(J70="Outflow",-1,IF(J70="Gage",0,IF(J70="Top",0,""))))</f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S70" s="7">
        <v>73.726132308460393</v>
      </c>
      <c r="T70" s="7">
        <v>55.025585569092797</v>
      </c>
      <c r="U70" s="21">
        <v>1</v>
      </c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27">
        <v>1</v>
      </c>
      <c r="AG70" s="27">
        <v>0.83</v>
      </c>
      <c r="AH70" s="27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>IF(J71="Inflow",1,IF(J71="Outflow",-1,IF(J71="Gage",0,IF(J71="Top",0,""))))</f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S71" s="7">
        <v>21.9611350856316</v>
      </c>
      <c r="T71" s="7">
        <v>17.787178077041101</v>
      </c>
      <c r="U71" s="21">
        <v>1</v>
      </c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27">
        <v>1</v>
      </c>
      <c r="AG71" s="27">
        <v>0.83</v>
      </c>
      <c r="AH71" s="27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F72" s="35"/>
      <c r="AG72" s="35"/>
      <c r="AH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9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>
        <v>0.22912324182982499</v>
      </c>
      <c r="T73" s="14">
        <v>0.41352988118321099</v>
      </c>
      <c r="U73" s="1">
        <v>1</v>
      </c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 s="26">
        <v>1</v>
      </c>
      <c r="AG73" s="26">
        <v>0.98509999999999998</v>
      </c>
      <c r="AH73" s="26">
        <v>0.20039999999999999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9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>
        <v>5.8487846492425604</v>
      </c>
      <c r="T74" s="15">
        <v>3.8415577990652401</v>
      </c>
      <c r="U74" s="15">
        <v>0.251500896178734</v>
      </c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25">
        <v>1</v>
      </c>
      <c r="AG74" s="25">
        <v>0.98509999999999998</v>
      </c>
      <c r="AH74" s="25">
        <v>0.20039999999999999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10">E74+1</f>
        <v>3</v>
      </c>
      <c r="F75" s="7">
        <v>6700610</v>
      </c>
      <c r="G75" s="7"/>
      <c r="H75" s="7" t="s">
        <v>149</v>
      </c>
      <c r="I75" s="7">
        <f t="shared" si="9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S75" s="6">
        <v>1.5854735547087301E-2</v>
      </c>
      <c r="T75" s="6">
        <v>1.5607886695340399E-2</v>
      </c>
      <c r="U75" s="6">
        <v>6.8176218443701203E-4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27">
        <v>1</v>
      </c>
      <c r="AG75" s="27">
        <v>0.98509999999999998</v>
      </c>
      <c r="AH75" s="27">
        <v>0.20039999999999999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11">D75+1</f>
        <v>3</v>
      </c>
      <c r="E76" s="6">
        <f t="shared" si="10"/>
        <v>4</v>
      </c>
      <c r="F76" s="7">
        <v>6700613</v>
      </c>
      <c r="G76" s="7"/>
      <c r="H76" s="7" t="s">
        <v>148</v>
      </c>
      <c r="I76" s="7">
        <f t="shared" si="9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S76" s="6">
        <v>0.57945177395296099</v>
      </c>
      <c r="T76" s="6">
        <v>0.56017659667457198</v>
      </c>
      <c r="U76" s="6">
        <v>2.4916738977626699E-2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27">
        <v>1</v>
      </c>
      <c r="AG76" s="27">
        <v>0.98509999999999998</v>
      </c>
      <c r="AH76" s="27">
        <v>0.20039999999999999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11"/>
        <v>4</v>
      </c>
      <c r="E77" s="6">
        <f t="shared" si="10"/>
        <v>5</v>
      </c>
      <c r="F77" s="26">
        <v>6701004</v>
      </c>
      <c r="G77" s="61">
        <v>1015</v>
      </c>
      <c r="H77" t="s">
        <v>290</v>
      </c>
      <c r="I77" s="7">
        <f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S77" s="6">
        <v>3.1597937799048599</v>
      </c>
      <c r="T77" s="6">
        <v>2.1415752807640298</v>
      </c>
      <c r="U77" s="20">
        <v>0.13587283769953401</v>
      </c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27">
        <v>1</v>
      </c>
      <c r="AG77" s="27">
        <v>0.98509999999999998</v>
      </c>
      <c r="AH77" s="27">
        <v>0.20039999999999999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11"/>
        <v>5</v>
      </c>
      <c r="E78" s="6">
        <f t="shared" si="10"/>
        <v>6</v>
      </c>
      <c r="F78" s="26">
        <v>6701003</v>
      </c>
      <c r="G78" s="61">
        <v>5986</v>
      </c>
      <c r="H78" t="s">
        <v>289</v>
      </c>
      <c r="I78" s="7">
        <f t="shared" si="9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S78" s="6">
        <v>1.9417566712241701</v>
      </c>
      <c r="T78" s="6">
        <v>1.65147080945267</v>
      </c>
      <c r="U78" s="20">
        <v>8.3496584719896794E-2</v>
      </c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27">
        <v>1</v>
      </c>
      <c r="AG78" s="27">
        <v>0.98509999999999998</v>
      </c>
      <c r="AH78" s="27">
        <v>0.20039999999999999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11"/>
        <v>6</v>
      </c>
      <c r="E79" s="6">
        <f t="shared" si="10"/>
        <v>7</v>
      </c>
      <c r="F79" s="26">
        <v>6701001</v>
      </c>
      <c r="G79" s="61">
        <v>1018</v>
      </c>
      <c r="H79" t="s">
        <v>288</v>
      </c>
      <c r="I79" s="7">
        <f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S79" s="6">
        <v>1.6811305356998401</v>
      </c>
      <c r="T79" s="6">
        <v>1.4975221684026201</v>
      </c>
      <c r="U79" s="20">
        <v>7.2289520247030906E-2</v>
      </c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27">
        <v>1</v>
      </c>
      <c r="AG79" s="27">
        <v>0.98509999999999998</v>
      </c>
      <c r="AH79" s="27">
        <v>0.20039999999999999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11"/>
        <v>7</v>
      </c>
      <c r="E80" s="6">
        <f t="shared" si="10"/>
        <v>8</v>
      </c>
      <c r="F80" s="7">
        <v>6700607</v>
      </c>
      <c r="G80" s="7"/>
      <c r="H80" s="7" t="s">
        <v>150</v>
      </c>
      <c r="I80" s="7">
        <f t="shared" si="9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S80" s="6">
        <v>2.07940387763042</v>
      </c>
      <c r="T80" s="6">
        <v>1.42581270833206</v>
      </c>
      <c r="U80" s="20">
        <v>8.9415488875848895E-2</v>
      </c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27">
        <v>1</v>
      </c>
      <c r="AG80" s="27">
        <v>0.98509999999999998</v>
      </c>
      <c r="AH80" s="27">
        <v>0.20039999999999999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11"/>
        <v>8</v>
      </c>
      <c r="E81" s="6">
        <f t="shared" si="10"/>
        <v>9</v>
      </c>
      <c r="F81" s="7">
        <v>6701000</v>
      </c>
      <c r="G81" s="7">
        <v>6259</v>
      </c>
      <c r="H81" s="7" t="s">
        <v>292</v>
      </c>
      <c r="I81" s="7">
        <f t="shared" si="9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S81" s="6">
        <v>6.2619327487389898</v>
      </c>
      <c r="T81" s="6">
        <v>4.8500584835692697</v>
      </c>
      <c r="U81" s="20">
        <v>0.26926648740995601</v>
      </c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27">
        <v>1</v>
      </c>
      <c r="AG81" s="27">
        <v>0.98509999999999998</v>
      </c>
      <c r="AH81" s="27">
        <v>0.20039999999999999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11"/>
        <v>9</v>
      </c>
      <c r="E82" s="3">
        <f t="shared" si="10"/>
        <v>10</v>
      </c>
      <c r="F82" s="4">
        <v>6700614</v>
      </c>
      <c r="G82" s="4"/>
      <c r="H82" s="4" t="s">
        <v>151</v>
      </c>
      <c r="I82" s="4">
        <f t="shared" si="9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S82" s="3">
        <v>1.6874133280122601</v>
      </c>
      <c r="T82" s="3">
        <v>1.38894005081782</v>
      </c>
      <c r="U82" s="5">
        <v>7.2559683706936107E-2</v>
      </c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24">
        <v>1</v>
      </c>
      <c r="AG82" s="24">
        <v>0.98509999999999998</v>
      </c>
      <c r="AH82" s="24">
        <v>0.20039999999999999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10"/>
        <v>11</v>
      </c>
      <c r="F83" s="2">
        <v>6709500</v>
      </c>
      <c r="H83" s="2" t="s">
        <v>144</v>
      </c>
      <c r="I83" s="7">
        <f t="shared" si="9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S83">
        <v>3.0819798863777201</v>
      </c>
      <c r="T83">
        <v>2.2406762534995699</v>
      </c>
      <c r="U83" s="19">
        <v>0.12477068095025801</v>
      </c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 s="26">
        <v>1</v>
      </c>
      <c r="AG83" s="26">
        <v>0.83</v>
      </c>
      <c r="AH83" s="26">
        <v>0.2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11"/>
        <v>2</v>
      </c>
      <c r="E84">
        <f t="shared" si="10"/>
        <v>12</v>
      </c>
      <c r="F84" s="2">
        <v>6700612</v>
      </c>
      <c r="H84" s="2" t="s">
        <v>152</v>
      </c>
      <c r="I84" s="7">
        <f t="shared" si="9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S84">
        <v>7.9008800324963602E-2</v>
      </c>
      <c r="T84">
        <v>8.2529905795684394E-2</v>
      </c>
      <c r="U84" s="19">
        <v>3.19858733056005E-3</v>
      </c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 s="26">
        <v>1</v>
      </c>
      <c r="AG84" s="26">
        <v>0.83</v>
      </c>
      <c r="AH84" s="26">
        <v>0.2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11"/>
        <v>3</v>
      </c>
      <c r="E85">
        <f t="shared" si="10"/>
        <v>13</v>
      </c>
      <c r="F85" s="2">
        <v>6701011</v>
      </c>
      <c r="G85" s="2">
        <v>6257</v>
      </c>
      <c r="H85" s="2" t="s">
        <v>295</v>
      </c>
      <c r="I85" s="7">
        <f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S85">
        <v>8.4647895289384998</v>
      </c>
      <c r="T85">
        <v>4.9775066258404497</v>
      </c>
      <c r="U85" s="19">
        <v>0.34268800983889097</v>
      </c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 s="26">
        <v>1</v>
      </c>
      <c r="AG85" s="26">
        <v>0.83</v>
      </c>
      <c r="AH85" s="26">
        <v>0.2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11"/>
        <v>4</v>
      </c>
      <c r="E86">
        <f t="shared" si="10"/>
        <v>14</v>
      </c>
      <c r="F86" s="2">
        <v>6709502</v>
      </c>
      <c r="G86" s="2">
        <v>1020</v>
      </c>
      <c r="H86" s="2" t="s">
        <v>145</v>
      </c>
      <c r="I86" s="7">
        <f t="shared" si="9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S86">
        <v>4.8451045534178396</v>
      </c>
      <c r="T86">
        <v>3.17965786447721</v>
      </c>
      <c r="U86" s="19">
        <v>0.19614890969182999</v>
      </c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 s="26">
        <v>1</v>
      </c>
      <c r="AG86" s="26">
        <v>0.83</v>
      </c>
      <c r="AH86" s="26">
        <v>0.2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11"/>
        <v>5</v>
      </c>
      <c r="E87">
        <f t="shared" si="10"/>
        <v>15</v>
      </c>
      <c r="F87" s="2">
        <v>6700617</v>
      </c>
      <c r="G87" s="2">
        <v>6391</v>
      </c>
      <c r="H87" s="2" t="s">
        <v>153</v>
      </c>
      <c r="I87" s="7">
        <f t="shared" si="9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S87">
        <v>6.7910294792484303</v>
      </c>
      <c r="T87">
        <v>5.23910641586171</v>
      </c>
      <c r="U87" s="19">
        <v>0.27492761267659199</v>
      </c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 s="26">
        <v>1</v>
      </c>
      <c r="AG87" s="26">
        <v>0.83</v>
      </c>
      <c r="AH87" s="26">
        <v>0.2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11"/>
        <v>6</v>
      </c>
      <c r="E88">
        <f t="shared" si="10"/>
        <v>16</v>
      </c>
      <c r="F88" s="2">
        <v>6700608</v>
      </c>
      <c r="H88" s="2" t="s">
        <v>154</v>
      </c>
      <c r="I88" s="7">
        <f t="shared" si="9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S88">
        <v>1.43924240521571</v>
      </c>
      <c r="T88">
        <v>1.0560766837911999</v>
      </c>
      <c r="U88" s="19">
        <v>5.8266199511868899E-2</v>
      </c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 s="26">
        <v>1</v>
      </c>
      <c r="AG88" s="26">
        <v>0.83</v>
      </c>
      <c r="AH88" s="26">
        <v>0.2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10"/>
        <v>17</v>
      </c>
      <c r="F89" s="16">
        <v>6700904</v>
      </c>
      <c r="G89" s="16"/>
      <c r="H89" s="16" t="s">
        <v>146</v>
      </c>
      <c r="I89" s="16">
        <f t="shared" si="9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S89" s="15">
        <v>7.4894374464364804</v>
      </c>
      <c r="T89" s="15">
        <v>5.87013863143323</v>
      </c>
      <c r="U89" s="15">
        <v>0.35047649355361299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25">
        <v>1</v>
      </c>
      <c r="AG89" s="25">
        <v>0.70640000000000003</v>
      </c>
      <c r="AH89" s="25">
        <v>0.19439999999999999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11"/>
        <v>2</v>
      </c>
      <c r="E90" s="6">
        <f t="shared" si="10"/>
        <v>18</v>
      </c>
      <c r="F90" s="7">
        <v>6700616</v>
      </c>
      <c r="G90" s="7"/>
      <c r="H90" s="7" t="s">
        <v>155</v>
      </c>
      <c r="I90" s="7">
        <f t="shared" si="9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S90" s="6">
        <v>9.2798628752434897</v>
      </c>
      <c r="T90" s="6">
        <v>7.7387001799214596</v>
      </c>
      <c r="U90" s="19">
        <v>0.43426142810247798</v>
      </c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27">
        <v>1</v>
      </c>
      <c r="AG90" s="27">
        <v>0.70640000000000003</v>
      </c>
      <c r="AH90" s="27">
        <v>0.19439999999999999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11"/>
        <v>3</v>
      </c>
      <c r="E91" s="3">
        <f t="shared" si="10"/>
        <v>19</v>
      </c>
      <c r="F91" s="4">
        <v>6709511</v>
      </c>
      <c r="G91" s="4">
        <v>6390</v>
      </c>
      <c r="H91" s="4" t="s">
        <v>156</v>
      </c>
      <c r="I91" s="4">
        <f t="shared" si="9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U91" s="3">
        <v>0.21526207834390901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24">
        <v>1</v>
      </c>
      <c r="AG91" s="24">
        <v>0.70640000000000003</v>
      </c>
      <c r="AH91" s="24">
        <v>0.19439999999999999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10"/>
        <v>20</v>
      </c>
      <c r="F92" s="16">
        <v>6709510</v>
      </c>
      <c r="G92" s="16"/>
      <c r="H92" s="16" t="s">
        <v>147</v>
      </c>
      <c r="I92" s="16">
        <f t="shared" si="9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>
        <v>1</v>
      </c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25">
        <v>1</v>
      </c>
      <c r="AG92" s="25">
        <v>0.70640000000000003</v>
      </c>
      <c r="AH92" s="25">
        <v>0.19439999999999999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F93" s="35"/>
      <c r="AG93" s="35"/>
      <c r="AH93" s="35"/>
      <c r="AI93" s="34"/>
      <c r="AL93" s="34"/>
      <c r="AM93" s="34"/>
      <c r="AP93" s="37"/>
      <c r="AQ93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9" max="9" width="31" customWidth="1"/>
  </cols>
  <sheetData>
    <row r="2" spans="1:45" x14ac:dyDescent="0.25">
      <c r="A2" s="61" t="s">
        <v>547</v>
      </c>
      <c r="B2" s="73"/>
      <c r="C2" s="73"/>
      <c r="D2" s="73">
        <f>SR!E105+1</f>
        <v>4</v>
      </c>
      <c r="E2" s="73">
        <v>1</v>
      </c>
      <c r="F2" s="73">
        <f>SR!G105+1</f>
        <v>1109525</v>
      </c>
      <c r="G2" s="76">
        <v>6709512</v>
      </c>
      <c r="H2" s="121"/>
      <c r="I2" s="118" t="s">
        <v>515</v>
      </c>
      <c r="J2" s="74">
        <f>IF(K2="Inflow",1,IF(K2="Outflow",-1,IF(K2="Gage",0,IF(K2="Top",0,""))))</f>
        <v>0</v>
      </c>
      <c r="K2" s="73" t="s">
        <v>33</v>
      </c>
      <c r="L2" s="73" t="s">
        <v>516</v>
      </c>
      <c r="M2" s="73" t="s">
        <v>86</v>
      </c>
      <c r="N2" s="73">
        <v>150</v>
      </c>
      <c r="O2" s="73">
        <v>542</v>
      </c>
      <c r="P2" s="73">
        <v>831</v>
      </c>
      <c r="Q2" s="76"/>
      <c r="R2" s="73"/>
      <c r="S2" s="73" t="s">
        <v>106</v>
      </c>
      <c r="T2" s="73"/>
      <c r="U2" s="73"/>
      <c r="V2" s="114"/>
      <c r="W2" s="73">
        <v>1.5</v>
      </c>
      <c r="X2" s="115"/>
      <c r="Y2" s="77"/>
      <c r="Z2" s="73"/>
      <c r="AA2" s="73">
        <v>9000</v>
      </c>
      <c r="AB2" s="73">
        <v>0.18</v>
      </c>
      <c r="AC2" s="73">
        <v>800</v>
      </c>
      <c r="AD2" s="73">
        <v>1</v>
      </c>
      <c r="AE2" s="73">
        <v>32</v>
      </c>
      <c r="AF2" s="73">
        <v>0.56000000000000005</v>
      </c>
      <c r="AG2" s="76">
        <v>1</v>
      </c>
      <c r="AH2" s="76">
        <v>0.98509999999999998</v>
      </c>
      <c r="AI2" s="76">
        <v>0.20039999999999999</v>
      </c>
      <c r="AJ2" s="74">
        <v>500</v>
      </c>
      <c r="AK2" s="73">
        <v>671</v>
      </c>
      <c r="AL2" s="73">
        <v>50</v>
      </c>
      <c r="AM2" s="78">
        <v>10.7</v>
      </c>
      <c r="AN2" s="78" t="s">
        <v>250</v>
      </c>
      <c r="AO2" s="73">
        <v>0.38</v>
      </c>
      <c r="AP2" s="73">
        <v>0.99</v>
      </c>
      <c r="AQ2" s="77">
        <v>1</v>
      </c>
      <c r="AR2" s="78" t="s">
        <v>519</v>
      </c>
    </row>
    <row r="3" spans="1:45" s="61" customFormat="1" x14ac:dyDescent="0.25">
      <c r="A3" s="61" t="s">
        <v>562</v>
      </c>
      <c r="B3" s="61">
        <v>2</v>
      </c>
      <c r="C3" s="61">
        <v>19</v>
      </c>
      <c r="D3" s="61">
        <f>D2+1</f>
        <v>5</v>
      </c>
      <c r="E3" s="61">
        <v>1</v>
      </c>
      <c r="F3" s="61">
        <f t="shared" ref="F3" si="0">F2+1</f>
        <v>1109526</v>
      </c>
      <c r="G3" s="61">
        <v>1909513</v>
      </c>
      <c r="I3" s="75" t="s">
        <v>421</v>
      </c>
      <c r="K3" s="64" t="s">
        <v>33</v>
      </c>
      <c r="L3" s="61" t="s">
        <v>353</v>
      </c>
      <c r="M3" s="61" t="s">
        <v>86</v>
      </c>
      <c r="N3" s="61">
        <v>50</v>
      </c>
      <c r="O3" s="61">
        <v>100</v>
      </c>
      <c r="P3" s="61">
        <v>200</v>
      </c>
      <c r="R3" s="79"/>
      <c r="S3" s="152" t="s">
        <v>560</v>
      </c>
      <c r="W3" s="61">
        <v>7.0000000000000007E-2</v>
      </c>
      <c r="X3" s="65"/>
      <c r="Y3" s="79"/>
      <c r="AA3" s="61">
        <v>10000</v>
      </c>
      <c r="AB3" s="61">
        <v>0.15</v>
      </c>
      <c r="AC3" s="61">
        <v>750</v>
      </c>
      <c r="AD3" s="61">
        <v>1</v>
      </c>
      <c r="AE3" s="61">
        <v>32</v>
      </c>
      <c r="AF3" s="61">
        <v>0.56000000000000005</v>
      </c>
      <c r="AG3" s="61">
        <v>6</v>
      </c>
      <c r="AH3" s="79">
        <v>0.63519999999999999</v>
      </c>
      <c r="AI3" s="79">
        <v>0.2797</v>
      </c>
      <c r="AJ3" s="79">
        <v>500</v>
      </c>
      <c r="AK3" s="75">
        <v>17</v>
      </c>
      <c r="AL3" s="61">
        <v>20</v>
      </c>
      <c r="AM3" s="61">
        <v>110</v>
      </c>
      <c r="AN3" s="75" t="s">
        <v>250</v>
      </c>
      <c r="AO3" s="75">
        <v>0.31</v>
      </c>
      <c r="AP3" s="61">
        <v>1.32</v>
      </c>
      <c r="AQ3" s="61">
        <v>1.17</v>
      </c>
      <c r="AR3" s="61" t="s">
        <v>574</v>
      </c>
      <c r="AS3" s="80"/>
    </row>
    <row r="5" spans="1:45" s="61" customFormat="1" x14ac:dyDescent="0.25">
      <c r="A5" s="61" t="s">
        <v>37</v>
      </c>
      <c r="B5" s="61">
        <v>2</v>
      </c>
      <c r="C5" s="61">
        <v>79</v>
      </c>
      <c r="D5" s="61">
        <f>SR!D209</f>
        <v>2</v>
      </c>
      <c r="E5" s="61">
        <f>SR!E209+1</f>
        <v>2</v>
      </c>
      <c r="F5" s="61">
        <f>SR!F209+1</f>
        <v>3</v>
      </c>
      <c r="G5" s="122">
        <v>7900538</v>
      </c>
      <c r="H5" s="75"/>
      <c r="I5" s="61" t="s">
        <v>614</v>
      </c>
      <c r="J5" s="61">
        <f>IF(K5="Inflow",1,IF(K5="Outflow",-1,IF(K5="Gage",0,IF(K5="Top",0,""))))</f>
        <v>-1</v>
      </c>
      <c r="K5" s="64" t="s">
        <v>32</v>
      </c>
      <c r="L5" s="122" t="s">
        <v>584</v>
      </c>
      <c r="M5" s="61" t="s">
        <v>86</v>
      </c>
      <c r="Q5" s="79"/>
      <c r="S5" s="152" t="s">
        <v>581</v>
      </c>
      <c r="W5" s="61">
        <v>7.0000000000000007E-2</v>
      </c>
      <c r="X5" s="65"/>
      <c r="Y5" s="79"/>
      <c r="AA5" s="61">
        <v>10000</v>
      </c>
      <c r="AB5" s="61">
        <v>0.15</v>
      </c>
      <c r="AC5" s="61">
        <v>750</v>
      </c>
      <c r="AD5" s="61">
        <v>1</v>
      </c>
      <c r="AE5" s="61">
        <v>32</v>
      </c>
      <c r="AF5" s="61">
        <v>0.56000000000000005</v>
      </c>
      <c r="AG5" s="61">
        <v>6</v>
      </c>
      <c r="AH5" s="79">
        <v>0.63519999999999999</v>
      </c>
      <c r="AI5" s="79">
        <v>0.2797</v>
      </c>
      <c r="AJ5" s="79">
        <v>500</v>
      </c>
      <c r="AK5" s="75">
        <v>17</v>
      </c>
      <c r="AL5" s="61">
        <v>20</v>
      </c>
      <c r="AM5" s="61">
        <v>110</v>
      </c>
      <c r="AN5" s="75" t="s">
        <v>250</v>
      </c>
      <c r="AO5" s="75">
        <v>0.31</v>
      </c>
      <c r="AP5" s="61">
        <v>1.32</v>
      </c>
      <c r="AQ5" s="61">
        <v>1.17</v>
      </c>
      <c r="AR5" s="80"/>
    </row>
    <row r="7" spans="1:45" s="61" customFormat="1" x14ac:dyDescent="0.25">
      <c r="A7" s="61" t="s">
        <v>592</v>
      </c>
      <c r="B7" s="61">
        <v>2</v>
      </c>
      <c r="C7" s="61">
        <v>16</v>
      </c>
      <c r="D7" s="61">
        <f>SR!D217</f>
        <v>1</v>
      </c>
      <c r="E7" s="61">
        <f>SR!E217+1</f>
        <v>2</v>
      </c>
      <c r="F7" s="61">
        <f>SR!F217+1</f>
        <v>2</v>
      </c>
      <c r="G7" s="63">
        <v>1600585</v>
      </c>
      <c r="H7" s="75"/>
      <c r="I7" s="61" t="s">
        <v>621</v>
      </c>
      <c r="J7" s="61">
        <f>IF(K7="Inflow",1,IF(K7="Outflow",-1,IF(K7="Gage",0,IF(K7="Top",0,""))))</f>
        <v>-1</v>
      </c>
      <c r="K7" s="64" t="s">
        <v>32</v>
      </c>
      <c r="L7" s="122" t="s">
        <v>595</v>
      </c>
      <c r="M7" s="61" t="s">
        <v>86</v>
      </c>
      <c r="Q7" s="79"/>
      <c r="S7" s="152" t="s">
        <v>594</v>
      </c>
      <c r="W7" s="61">
        <v>7.0000000000000007E-2</v>
      </c>
      <c r="X7" s="65"/>
      <c r="Y7" s="79"/>
      <c r="AA7" s="61">
        <v>10000</v>
      </c>
      <c r="AB7" s="61">
        <v>0.15</v>
      </c>
      <c r="AC7" s="61">
        <v>750</v>
      </c>
      <c r="AD7" s="61">
        <v>1</v>
      </c>
      <c r="AE7" s="61">
        <v>32</v>
      </c>
      <c r="AF7" s="61">
        <v>0.56000000000000005</v>
      </c>
      <c r="AG7" s="61">
        <v>6</v>
      </c>
      <c r="AH7" s="79">
        <v>0.63519999999999999</v>
      </c>
      <c r="AI7" s="79">
        <v>0.2797</v>
      </c>
      <c r="AJ7" s="79">
        <v>500</v>
      </c>
      <c r="AK7" s="75">
        <v>17</v>
      </c>
      <c r="AL7" s="61">
        <v>20</v>
      </c>
      <c r="AM7" s="61">
        <v>110</v>
      </c>
      <c r="AN7" s="75" t="s">
        <v>250</v>
      </c>
      <c r="AO7" s="75">
        <v>0.31</v>
      </c>
      <c r="AP7" s="61">
        <v>1.32</v>
      </c>
      <c r="AQ7" s="61">
        <v>1.17</v>
      </c>
      <c r="AR7" s="80"/>
    </row>
    <row r="8" spans="1:45" s="61" customFormat="1" x14ac:dyDescent="0.25">
      <c r="A8" s="61" t="s">
        <v>592</v>
      </c>
      <c r="B8" s="61">
        <v>2</v>
      </c>
      <c r="C8" s="61">
        <v>16</v>
      </c>
      <c r="D8" s="61">
        <f>D7</f>
        <v>1</v>
      </c>
      <c r="E8" s="61">
        <f>E7+1</f>
        <v>3</v>
      </c>
      <c r="F8" s="61">
        <f>F7+1</f>
        <v>3</v>
      </c>
      <c r="G8" s="63">
        <v>1600637</v>
      </c>
      <c r="H8" s="75"/>
      <c r="I8" s="61" t="s">
        <v>622</v>
      </c>
      <c r="J8" s="61">
        <f>IF(K8="Inflow",1,IF(K8="Outflow",-1,IF(K8="Gage",0,IF(K8="Top",0,""))))</f>
        <v>-1</v>
      </c>
      <c r="K8" s="64" t="s">
        <v>32</v>
      </c>
      <c r="L8" s="122" t="s">
        <v>596</v>
      </c>
      <c r="M8" s="61" t="s">
        <v>86</v>
      </c>
      <c r="Q8" s="79"/>
      <c r="S8" s="152" t="s">
        <v>594</v>
      </c>
      <c r="W8" s="61">
        <v>7.0000000000000007E-2</v>
      </c>
      <c r="X8" s="65"/>
      <c r="Y8" s="79"/>
      <c r="AA8" s="61">
        <v>10000</v>
      </c>
      <c r="AB8" s="61">
        <v>0.15</v>
      </c>
      <c r="AC8" s="61">
        <v>750</v>
      </c>
      <c r="AD8" s="61">
        <v>1</v>
      </c>
      <c r="AE8" s="61">
        <v>32</v>
      </c>
      <c r="AF8" s="61">
        <v>0.56000000000000005</v>
      </c>
      <c r="AG8" s="61">
        <v>6</v>
      </c>
      <c r="AH8" s="79">
        <v>0.63519999999999999</v>
      </c>
      <c r="AI8" s="79">
        <v>0.2797</v>
      </c>
      <c r="AJ8" s="79">
        <v>500</v>
      </c>
      <c r="AK8" s="75">
        <v>17</v>
      </c>
      <c r="AL8" s="61">
        <v>20</v>
      </c>
      <c r="AM8" s="61">
        <v>110</v>
      </c>
      <c r="AN8" s="75" t="s">
        <v>250</v>
      </c>
      <c r="AO8" s="75">
        <v>0.31</v>
      </c>
      <c r="AP8" s="61">
        <v>1.32</v>
      </c>
      <c r="AQ8" s="61">
        <v>1.17</v>
      </c>
      <c r="AR8" s="80"/>
    </row>
    <row r="10" spans="1:45" s="61" customFormat="1" x14ac:dyDescent="0.25">
      <c r="A10" s="61" t="s">
        <v>592</v>
      </c>
      <c r="B10" s="61">
        <v>2</v>
      </c>
      <c r="C10" s="61">
        <v>16</v>
      </c>
      <c r="D10" s="61">
        <f>SR!D218</f>
        <v>2</v>
      </c>
      <c r="E10" s="61">
        <f>SR!E218+1</f>
        <v>2</v>
      </c>
      <c r="F10" s="61">
        <f>SR!F218+1</f>
        <v>3</v>
      </c>
      <c r="G10" s="63">
        <v>1600588</v>
      </c>
      <c r="H10" s="75"/>
      <c r="I10" s="61" t="s">
        <v>624</v>
      </c>
      <c r="J10" s="61">
        <f t="shared" ref="J10:J15" si="1">IF(K10="Inflow",1,IF(K10="Outflow",-1,IF(K10="Gage",0,IF(K10="Top",0,""))))</f>
        <v>-1</v>
      </c>
      <c r="K10" s="64" t="s">
        <v>32</v>
      </c>
      <c r="L10" s="122" t="s">
        <v>598</v>
      </c>
      <c r="M10" s="63" t="s">
        <v>86</v>
      </c>
      <c r="Q10" s="79"/>
      <c r="S10" s="152" t="s">
        <v>594</v>
      </c>
      <c r="W10" s="61">
        <v>7.0000000000000007E-2</v>
      </c>
      <c r="X10" s="65"/>
      <c r="Y10" s="79"/>
      <c r="AA10" s="61">
        <v>10000</v>
      </c>
      <c r="AB10" s="61">
        <v>0.15</v>
      </c>
      <c r="AC10" s="61">
        <v>750</v>
      </c>
      <c r="AD10" s="61">
        <v>1</v>
      </c>
      <c r="AE10" s="61">
        <v>32</v>
      </c>
      <c r="AF10" s="61">
        <v>0.56000000000000005</v>
      </c>
      <c r="AG10" s="61">
        <v>6</v>
      </c>
      <c r="AH10" s="79">
        <v>0.63519999999999999</v>
      </c>
      <c r="AI10" s="79">
        <v>0.2797</v>
      </c>
      <c r="AJ10" s="79">
        <v>500</v>
      </c>
      <c r="AK10" s="75">
        <v>17</v>
      </c>
      <c r="AL10" s="61">
        <v>20</v>
      </c>
      <c r="AM10" s="61">
        <v>110</v>
      </c>
      <c r="AN10" s="75" t="s">
        <v>250</v>
      </c>
      <c r="AO10" s="75">
        <v>0.31</v>
      </c>
      <c r="AP10" s="61">
        <v>1.32</v>
      </c>
      <c r="AQ10" s="61">
        <v>1.17</v>
      </c>
      <c r="AR10" s="80"/>
    </row>
    <row r="11" spans="1:45" s="61" customFormat="1" x14ac:dyDescent="0.25">
      <c r="A11" s="61" t="s">
        <v>592</v>
      </c>
      <c r="B11" s="61">
        <v>2</v>
      </c>
      <c r="C11" s="61">
        <v>16</v>
      </c>
      <c r="D11" s="61">
        <f>D10</f>
        <v>2</v>
      </c>
      <c r="E11" s="61">
        <f t="shared" ref="E11:F15" si="2">E10+1</f>
        <v>3</v>
      </c>
      <c r="F11" s="61">
        <f t="shared" si="2"/>
        <v>4</v>
      </c>
      <c r="G11" s="63">
        <v>1600577</v>
      </c>
      <c r="H11" s="75"/>
      <c r="I11" s="61" t="s">
        <v>625</v>
      </c>
      <c r="J11" s="61">
        <f t="shared" si="1"/>
        <v>-1</v>
      </c>
      <c r="K11" s="64" t="s">
        <v>32</v>
      </c>
      <c r="L11" s="122" t="s">
        <v>600</v>
      </c>
      <c r="M11" s="63" t="s">
        <v>86</v>
      </c>
      <c r="Q11" s="79"/>
      <c r="S11" s="152" t="s">
        <v>594</v>
      </c>
      <c r="W11" s="61">
        <v>7.0000000000000007E-2</v>
      </c>
      <c r="X11" s="65"/>
      <c r="Y11" s="79"/>
      <c r="AA11" s="61">
        <v>10000</v>
      </c>
      <c r="AB11" s="61">
        <v>0.15</v>
      </c>
      <c r="AC11" s="61">
        <v>750</v>
      </c>
      <c r="AD11" s="61">
        <v>1</v>
      </c>
      <c r="AE11" s="61">
        <v>32</v>
      </c>
      <c r="AF11" s="61">
        <v>0.56000000000000005</v>
      </c>
      <c r="AG11" s="61">
        <v>6</v>
      </c>
      <c r="AH11" s="79">
        <v>0.63519999999999999</v>
      </c>
      <c r="AI11" s="79">
        <v>0.2797</v>
      </c>
      <c r="AJ11" s="79">
        <v>500</v>
      </c>
      <c r="AK11" s="75">
        <v>17</v>
      </c>
      <c r="AL11" s="61">
        <v>20</v>
      </c>
      <c r="AM11" s="61">
        <v>110</v>
      </c>
      <c r="AN11" s="75" t="s">
        <v>250</v>
      </c>
      <c r="AO11" s="75">
        <v>0.31</v>
      </c>
      <c r="AP11" s="61">
        <v>1.32</v>
      </c>
      <c r="AQ11" s="61">
        <v>1.17</v>
      </c>
      <c r="AR11" s="80"/>
    </row>
    <row r="12" spans="1:45" s="61" customFormat="1" x14ac:dyDescent="0.25">
      <c r="A12" s="61" t="s">
        <v>592</v>
      </c>
      <c r="B12" s="61">
        <v>2</v>
      </c>
      <c r="C12" s="61">
        <v>16</v>
      </c>
      <c r="D12" s="61">
        <f>D11</f>
        <v>2</v>
      </c>
      <c r="E12" s="61">
        <f t="shared" si="2"/>
        <v>4</v>
      </c>
      <c r="F12" s="61">
        <f t="shared" si="2"/>
        <v>5</v>
      </c>
      <c r="G12" s="63">
        <v>1600587</v>
      </c>
      <c r="H12" s="75"/>
      <c r="I12" s="61" t="s">
        <v>626</v>
      </c>
      <c r="J12" s="61">
        <f t="shared" si="1"/>
        <v>1</v>
      </c>
      <c r="K12" s="64" t="s">
        <v>31</v>
      </c>
      <c r="L12" s="122" t="s">
        <v>599</v>
      </c>
      <c r="M12" s="63" t="s">
        <v>86</v>
      </c>
      <c r="Q12" s="79"/>
      <c r="S12" s="152" t="s">
        <v>594</v>
      </c>
      <c r="W12" s="61">
        <v>7.0000000000000007E-2</v>
      </c>
      <c r="X12" s="65"/>
      <c r="Y12" s="79"/>
      <c r="AA12" s="61">
        <v>10000</v>
      </c>
      <c r="AB12" s="61">
        <v>0.15</v>
      </c>
      <c r="AC12" s="61">
        <v>750</v>
      </c>
      <c r="AD12" s="61">
        <v>1</v>
      </c>
      <c r="AE12" s="61">
        <v>32</v>
      </c>
      <c r="AF12" s="61">
        <v>0.56000000000000005</v>
      </c>
      <c r="AG12" s="61">
        <v>6</v>
      </c>
      <c r="AH12" s="79">
        <v>0.63519999999999999</v>
      </c>
      <c r="AI12" s="79">
        <v>0.2797</v>
      </c>
      <c r="AJ12" s="79">
        <v>500</v>
      </c>
      <c r="AK12" s="75">
        <v>17</v>
      </c>
      <c r="AL12" s="61">
        <v>20</v>
      </c>
      <c r="AM12" s="61">
        <v>110</v>
      </c>
      <c r="AN12" s="75" t="s">
        <v>250</v>
      </c>
      <c r="AO12" s="75">
        <v>0.31</v>
      </c>
      <c r="AP12" s="61">
        <v>1.32</v>
      </c>
      <c r="AQ12" s="61">
        <v>1.17</v>
      </c>
      <c r="AR12" s="80"/>
    </row>
    <row r="13" spans="1:45" s="61" customFormat="1" x14ac:dyDescent="0.25">
      <c r="A13" s="61" t="s">
        <v>592</v>
      </c>
      <c r="B13" s="61">
        <v>2</v>
      </c>
      <c r="C13" s="61">
        <v>16</v>
      </c>
      <c r="D13" s="61">
        <f>D12</f>
        <v>2</v>
      </c>
      <c r="E13" s="61">
        <f t="shared" si="2"/>
        <v>5</v>
      </c>
      <c r="F13" s="61">
        <f t="shared" si="2"/>
        <v>6</v>
      </c>
      <c r="G13" s="63">
        <v>1600604</v>
      </c>
      <c r="H13" s="75"/>
      <c r="I13" s="61" t="s">
        <v>627</v>
      </c>
      <c r="J13" s="61">
        <f t="shared" si="1"/>
        <v>-1</v>
      </c>
      <c r="K13" s="64" t="s">
        <v>32</v>
      </c>
      <c r="L13" s="122" t="s">
        <v>601</v>
      </c>
      <c r="M13" s="63" t="s">
        <v>86</v>
      </c>
      <c r="Q13" s="79"/>
      <c r="S13" s="152" t="s">
        <v>594</v>
      </c>
      <c r="W13" s="61">
        <v>7.0000000000000007E-2</v>
      </c>
      <c r="X13" s="65"/>
      <c r="Y13" s="79"/>
      <c r="AA13" s="61">
        <v>10000</v>
      </c>
      <c r="AB13" s="61">
        <v>0.15</v>
      </c>
      <c r="AC13" s="61">
        <v>750</v>
      </c>
      <c r="AD13" s="61">
        <v>1</v>
      </c>
      <c r="AE13" s="61">
        <v>32</v>
      </c>
      <c r="AF13" s="61">
        <v>0.56000000000000005</v>
      </c>
      <c r="AG13" s="61">
        <v>6</v>
      </c>
      <c r="AH13" s="79">
        <v>0.63519999999999999</v>
      </c>
      <c r="AI13" s="79">
        <v>0.2797</v>
      </c>
      <c r="AJ13" s="79">
        <v>500</v>
      </c>
      <c r="AK13" s="75">
        <v>17</v>
      </c>
      <c r="AL13" s="61">
        <v>20</v>
      </c>
      <c r="AM13" s="61">
        <v>110</v>
      </c>
      <c r="AN13" s="75" t="s">
        <v>250</v>
      </c>
      <c r="AO13" s="75">
        <v>0.31</v>
      </c>
      <c r="AP13" s="61">
        <v>1.32</v>
      </c>
      <c r="AQ13" s="61">
        <v>1.17</v>
      </c>
      <c r="AR13" s="80"/>
    </row>
    <row r="14" spans="1:45" s="61" customFormat="1" x14ac:dyDescent="0.25">
      <c r="A14" s="61" t="s">
        <v>592</v>
      </c>
      <c r="B14" s="61">
        <v>2</v>
      </c>
      <c r="C14" s="61">
        <v>16</v>
      </c>
      <c r="D14" s="61">
        <f>D13</f>
        <v>2</v>
      </c>
      <c r="E14" s="61">
        <f t="shared" si="2"/>
        <v>6</v>
      </c>
      <c r="F14" s="61">
        <f t="shared" si="2"/>
        <v>7</v>
      </c>
      <c r="G14" s="63">
        <v>1609504</v>
      </c>
      <c r="H14" s="75"/>
      <c r="I14" s="61" t="s">
        <v>628</v>
      </c>
      <c r="J14" s="61">
        <f t="shared" si="1"/>
        <v>1</v>
      </c>
      <c r="K14" s="64" t="s">
        <v>31</v>
      </c>
      <c r="L14" s="122" t="s">
        <v>602</v>
      </c>
      <c r="M14" s="63" t="s">
        <v>86</v>
      </c>
      <c r="Q14" s="79"/>
      <c r="S14" s="152" t="s">
        <v>594</v>
      </c>
      <c r="W14" s="61">
        <v>7.0000000000000007E-2</v>
      </c>
      <c r="X14" s="65"/>
      <c r="Y14" s="79"/>
      <c r="AA14" s="61">
        <v>10000</v>
      </c>
      <c r="AB14" s="61">
        <v>0.15</v>
      </c>
      <c r="AC14" s="61">
        <v>750</v>
      </c>
      <c r="AD14" s="61">
        <v>1</v>
      </c>
      <c r="AE14" s="61">
        <v>32</v>
      </c>
      <c r="AF14" s="61">
        <v>0.56000000000000005</v>
      </c>
      <c r="AG14" s="61">
        <v>6</v>
      </c>
      <c r="AH14" s="79">
        <v>0.63519999999999999</v>
      </c>
      <c r="AI14" s="79">
        <v>0.2797</v>
      </c>
      <c r="AJ14" s="79">
        <v>500</v>
      </c>
      <c r="AK14" s="75">
        <v>17</v>
      </c>
      <c r="AL14" s="61">
        <v>20</v>
      </c>
      <c r="AM14" s="61">
        <v>110</v>
      </c>
      <c r="AN14" s="75" t="s">
        <v>250</v>
      </c>
      <c r="AO14" s="75">
        <v>0.31</v>
      </c>
      <c r="AP14" s="61">
        <v>1.32</v>
      </c>
      <c r="AQ14" s="61">
        <v>1.17</v>
      </c>
      <c r="AR14" s="80"/>
    </row>
    <row r="15" spans="1:45" s="61" customFormat="1" x14ac:dyDescent="0.25">
      <c r="A15" s="61" t="s">
        <v>592</v>
      </c>
      <c r="B15" s="61">
        <v>2</v>
      </c>
      <c r="C15" s="61">
        <v>16</v>
      </c>
      <c r="D15" s="61">
        <f>D14</f>
        <v>2</v>
      </c>
      <c r="E15" s="61">
        <f t="shared" si="2"/>
        <v>7</v>
      </c>
      <c r="F15" s="61">
        <f t="shared" si="2"/>
        <v>8</v>
      </c>
      <c r="G15" s="63">
        <v>1609505</v>
      </c>
      <c r="H15" s="75"/>
      <c r="I15" s="61" t="s">
        <v>629</v>
      </c>
      <c r="J15" s="61">
        <f t="shared" si="1"/>
        <v>1</v>
      </c>
      <c r="K15" s="64" t="s">
        <v>31</v>
      </c>
      <c r="L15" s="122" t="s">
        <v>603</v>
      </c>
      <c r="M15" s="63" t="s">
        <v>86</v>
      </c>
      <c r="Q15" s="79"/>
      <c r="S15" s="152" t="s">
        <v>594</v>
      </c>
      <c r="W15" s="61">
        <v>7.0000000000000007E-2</v>
      </c>
      <c r="X15" s="65"/>
      <c r="Y15" s="79"/>
      <c r="AA15" s="61">
        <v>10000</v>
      </c>
      <c r="AB15" s="61">
        <v>0.15</v>
      </c>
      <c r="AC15" s="61">
        <v>750</v>
      </c>
      <c r="AD15" s="61">
        <v>1</v>
      </c>
      <c r="AE15" s="61">
        <v>32</v>
      </c>
      <c r="AF15" s="61">
        <v>0.56000000000000005</v>
      </c>
      <c r="AG15" s="61">
        <v>6</v>
      </c>
      <c r="AH15" s="79">
        <v>0.63519999999999999</v>
      </c>
      <c r="AI15" s="79">
        <v>0.2797</v>
      </c>
      <c r="AJ15" s="79">
        <v>500</v>
      </c>
      <c r="AK15" s="75">
        <v>17</v>
      </c>
      <c r="AL15" s="61">
        <v>20</v>
      </c>
      <c r="AM15" s="61">
        <v>110</v>
      </c>
      <c r="AN15" s="75" t="s">
        <v>250</v>
      </c>
      <c r="AO15" s="75">
        <v>0.31</v>
      </c>
      <c r="AP15" s="61">
        <v>1.32</v>
      </c>
      <c r="AQ15" s="61">
        <v>1.17</v>
      </c>
      <c r="AR15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1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2" sqref="A2"/>
    </sheetView>
  </sheetViews>
  <sheetFormatPr defaultRowHeight="15" x14ac:dyDescent="0.25"/>
  <cols>
    <col min="1" max="1" width="28.5703125" style="61" bestFit="1" customWidth="1"/>
    <col min="2" max="2" width="2.5703125" style="61" customWidth="1"/>
    <col min="3" max="3" width="5" style="61" bestFit="1" customWidth="1"/>
    <col min="4" max="4" width="3.85546875" style="61" customWidth="1"/>
    <col min="5" max="5" width="4.28515625" style="61" customWidth="1"/>
    <col min="6" max="6" width="5.28515625" style="61" customWidth="1"/>
    <col min="7" max="7" width="9.140625" style="61"/>
    <col min="8" max="8" width="8" style="75" bestFit="1" customWidth="1"/>
    <col min="9" max="9" width="40.85546875" style="61" customWidth="1"/>
    <col min="10" max="10" width="7.5703125" style="61" bestFit="1" customWidth="1"/>
    <col min="11" max="11" width="9" style="61" customWidth="1"/>
    <col min="12" max="12" width="11.28515625" style="61" bestFit="1" customWidth="1"/>
    <col min="13" max="13" width="11.28515625" style="61" customWidth="1"/>
    <col min="14" max="16" width="5.85546875" style="61" customWidth="1"/>
    <col min="17" max="17" width="4.28515625" style="79" customWidth="1"/>
    <col min="18" max="18" width="5.28515625" style="61" customWidth="1"/>
    <col min="19" max="19" width="8.7109375" style="61" customWidth="1"/>
    <col min="20" max="22" width="7.5703125" style="61" customWidth="1"/>
    <col min="23" max="23" width="11.5703125" style="65" bestFit="1" customWidth="1"/>
    <col min="24" max="24" width="7.5703125" style="79" customWidth="1"/>
    <col min="25" max="25" width="8.28515625" style="61" bestFit="1" customWidth="1"/>
    <col min="26" max="26" width="8.28515625" style="61" customWidth="1"/>
    <col min="27" max="27" width="12.28515625" style="61" bestFit="1" customWidth="1"/>
    <col min="28" max="28" width="7.140625" style="61" customWidth="1"/>
    <col min="29" max="29" width="13.140625" style="61" customWidth="1"/>
    <col min="30" max="30" width="5.85546875" style="61" customWidth="1"/>
    <col min="31" max="32" width="11.28515625" style="61" bestFit="1" customWidth="1"/>
    <col min="33" max="33" width="8.140625" style="79" customWidth="1"/>
    <col min="34" max="35" width="9" style="79" bestFit="1" customWidth="1"/>
    <col min="36" max="36" width="9" style="75" customWidth="1"/>
    <col min="37" max="37" width="4.7109375" style="61" customWidth="1"/>
    <col min="38" max="38" width="7.140625" style="61" bestFit="1" customWidth="1"/>
    <col min="39" max="39" width="9.28515625" style="75" bestFit="1" customWidth="1"/>
    <col min="40" max="40" width="9.28515625" style="75" customWidth="1"/>
    <col min="41" max="42" width="6.28515625" style="61" customWidth="1"/>
    <col min="43" max="43" width="6.28515625" style="65" customWidth="1"/>
    <col min="44" max="44" width="6.28515625" style="80" customWidth="1"/>
    <col min="45" max="16384" width="9.140625" style="61"/>
  </cols>
  <sheetData>
    <row r="1" spans="1:53" s="68" customFormat="1" x14ac:dyDescent="0.25">
      <c r="A1" s="68" t="s">
        <v>554</v>
      </c>
      <c r="B1" s="68" t="s">
        <v>6</v>
      </c>
      <c r="C1" s="68" t="s">
        <v>93</v>
      </c>
      <c r="D1" s="68" t="s">
        <v>0</v>
      </c>
      <c r="E1" s="68" t="s">
        <v>76</v>
      </c>
      <c r="F1" s="68" t="s">
        <v>91</v>
      </c>
      <c r="G1" s="69" t="s">
        <v>132</v>
      </c>
      <c r="H1" s="69" t="s">
        <v>245</v>
      </c>
      <c r="I1" s="69" t="s">
        <v>133</v>
      </c>
      <c r="J1" s="69" t="s">
        <v>131</v>
      </c>
      <c r="K1" s="69" t="s">
        <v>312</v>
      </c>
      <c r="L1" s="69" t="s">
        <v>128</v>
      </c>
      <c r="M1" s="69" t="s">
        <v>129</v>
      </c>
      <c r="N1" s="69" t="s">
        <v>125</v>
      </c>
      <c r="O1" s="69" t="s">
        <v>126</v>
      </c>
      <c r="P1" s="69" t="s">
        <v>127</v>
      </c>
      <c r="Q1" s="70" t="s">
        <v>120</v>
      </c>
      <c r="R1" s="68" t="s">
        <v>124</v>
      </c>
      <c r="S1" s="68" t="s">
        <v>246</v>
      </c>
      <c r="T1" s="68" t="s">
        <v>1</v>
      </c>
      <c r="U1" s="68" t="s">
        <v>2</v>
      </c>
      <c r="V1" s="71" t="s">
        <v>77</v>
      </c>
      <c r="W1" s="71" t="s">
        <v>94</v>
      </c>
      <c r="X1" s="70" t="s">
        <v>298</v>
      </c>
      <c r="Y1" s="71" t="s">
        <v>296</v>
      </c>
      <c r="Z1" s="71" t="s">
        <v>297</v>
      </c>
      <c r="AA1" s="68" t="s">
        <v>3</v>
      </c>
      <c r="AB1" s="68" t="s">
        <v>4</v>
      </c>
      <c r="AC1" s="68" t="s">
        <v>5</v>
      </c>
      <c r="AD1" s="68" t="s">
        <v>161</v>
      </c>
      <c r="AE1" s="69" t="s">
        <v>71</v>
      </c>
      <c r="AF1" s="69" t="s">
        <v>72</v>
      </c>
      <c r="AG1" s="70" t="s">
        <v>162</v>
      </c>
      <c r="AH1" s="70" t="s">
        <v>73</v>
      </c>
      <c r="AI1" s="70" t="s">
        <v>74</v>
      </c>
      <c r="AJ1" s="69" t="s">
        <v>203</v>
      </c>
      <c r="AK1" s="71" t="s">
        <v>121</v>
      </c>
      <c r="AL1" s="68" t="s">
        <v>75</v>
      </c>
      <c r="AM1" s="69" t="s">
        <v>84</v>
      </c>
      <c r="AN1" s="69" t="s">
        <v>248</v>
      </c>
      <c r="AO1" s="71" t="s">
        <v>82</v>
      </c>
      <c r="AP1" s="71" t="s">
        <v>83</v>
      </c>
      <c r="AQ1" s="71" t="s">
        <v>85</v>
      </c>
      <c r="AR1" s="72" t="s">
        <v>196</v>
      </c>
    </row>
    <row r="2" spans="1:53" s="73" customFormat="1" x14ac:dyDescent="0.25">
      <c r="A2" s="73" t="s">
        <v>547</v>
      </c>
      <c r="B2" s="73">
        <v>2</v>
      </c>
      <c r="C2" s="73">
        <v>17</v>
      </c>
      <c r="D2" s="73">
        <v>1</v>
      </c>
      <c r="E2" s="73">
        <v>1</v>
      </c>
      <c r="F2" s="73">
        <v>1</v>
      </c>
      <c r="G2" s="74">
        <v>1403526</v>
      </c>
      <c r="H2" s="74"/>
      <c r="I2" s="74" t="s">
        <v>92</v>
      </c>
      <c r="J2" s="74">
        <f t="shared" ref="J2:J47" si="0">IF(K2="Inflow",1,IF(K2="Outflow",-1,IF(K2="Gage",0,IF(K2="Top",0,""))))</f>
        <v>0</v>
      </c>
      <c r="K2" s="75" t="s">
        <v>233</v>
      </c>
      <c r="L2" s="74"/>
      <c r="M2" s="74"/>
      <c r="N2" s="74">
        <v>0</v>
      </c>
      <c r="O2" s="74">
        <v>0</v>
      </c>
      <c r="P2" s="74">
        <v>0</v>
      </c>
      <c r="Q2" s="76">
        <v>1</v>
      </c>
      <c r="S2" s="73" t="s">
        <v>106</v>
      </c>
      <c r="V2" s="77"/>
      <c r="W2" s="77">
        <v>0</v>
      </c>
      <c r="X2" s="76"/>
      <c r="Y2" s="77"/>
      <c r="Z2" s="77"/>
      <c r="AA2" s="73">
        <v>10000</v>
      </c>
      <c r="AB2" s="73">
        <v>0.15</v>
      </c>
      <c r="AC2" s="73">
        <v>750</v>
      </c>
      <c r="AD2" s="73">
        <v>1</v>
      </c>
      <c r="AE2" s="74">
        <v>32</v>
      </c>
      <c r="AF2" s="77">
        <v>0.56000000000000005</v>
      </c>
      <c r="AG2" s="76">
        <v>6</v>
      </c>
      <c r="AH2" s="76">
        <v>0.63519999999999999</v>
      </c>
      <c r="AI2" s="76">
        <v>0.2797</v>
      </c>
      <c r="AJ2" s="74">
        <v>500</v>
      </c>
      <c r="AK2" s="74">
        <v>17</v>
      </c>
      <c r="AL2" s="73">
        <v>10</v>
      </c>
      <c r="AM2" s="74">
        <v>0</v>
      </c>
      <c r="AN2" s="74" t="s">
        <v>249</v>
      </c>
      <c r="AO2" s="77">
        <v>0.31</v>
      </c>
      <c r="AP2" s="77">
        <v>1.32</v>
      </c>
      <c r="AQ2" s="77">
        <v>0</v>
      </c>
      <c r="AR2" s="78" t="s">
        <v>234</v>
      </c>
      <c r="BA2" s="73" t="s">
        <v>235</v>
      </c>
    </row>
    <row r="3" spans="1:53" s="68" customFormat="1" x14ac:dyDescent="0.25">
      <c r="A3" s="68" t="s">
        <v>547</v>
      </c>
      <c r="B3" s="68">
        <v>2</v>
      </c>
      <c r="C3" s="68">
        <v>17</v>
      </c>
      <c r="D3" s="68">
        <v>1</v>
      </c>
      <c r="E3" s="68">
        <v>2</v>
      </c>
      <c r="F3" s="68">
        <f t="shared" ref="F3:F9" si="1">F2+1</f>
        <v>2</v>
      </c>
      <c r="G3" s="69">
        <v>1400534</v>
      </c>
      <c r="H3" s="69"/>
      <c r="I3" s="69" t="s">
        <v>90</v>
      </c>
      <c r="J3" s="69">
        <f t="shared" si="0"/>
        <v>-1</v>
      </c>
      <c r="K3" s="69" t="s">
        <v>32</v>
      </c>
      <c r="L3" s="69"/>
      <c r="M3" s="69"/>
      <c r="N3" s="69">
        <v>0</v>
      </c>
      <c r="O3" s="69">
        <v>0</v>
      </c>
      <c r="P3" s="69">
        <v>0</v>
      </c>
      <c r="Q3" s="70">
        <v>1</v>
      </c>
      <c r="S3" s="68" t="s">
        <v>106</v>
      </c>
      <c r="V3" s="71"/>
      <c r="W3" s="71">
        <v>0</v>
      </c>
      <c r="X3" s="70"/>
      <c r="Y3" s="71"/>
      <c r="Z3" s="71"/>
      <c r="AA3" s="68">
        <v>10000</v>
      </c>
      <c r="AB3" s="68">
        <v>0.15</v>
      </c>
      <c r="AC3" s="68">
        <v>750</v>
      </c>
      <c r="AD3" s="68">
        <v>1</v>
      </c>
      <c r="AE3" s="69">
        <v>32</v>
      </c>
      <c r="AF3" s="71">
        <v>0.56000000000000005</v>
      </c>
      <c r="AG3" s="70">
        <v>6</v>
      </c>
      <c r="AH3" s="70">
        <v>0.63519999999999999</v>
      </c>
      <c r="AI3" s="70">
        <v>0.2797</v>
      </c>
      <c r="AJ3" s="69">
        <v>500</v>
      </c>
      <c r="AK3" s="69">
        <v>17</v>
      </c>
      <c r="AL3" s="68">
        <v>10</v>
      </c>
      <c r="AM3" s="69">
        <v>0</v>
      </c>
      <c r="AN3" s="69" t="s">
        <v>249</v>
      </c>
      <c r="AO3" s="71">
        <v>0.31</v>
      </c>
      <c r="AP3" s="71">
        <v>1.32</v>
      </c>
      <c r="AQ3" s="71">
        <v>0</v>
      </c>
      <c r="AR3" s="72" t="s">
        <v>205</v>
      </c>
      <c r="BA3" s="68" t="s">
        <v>237</v>
      </c>
    </row>
    <row r="4" spans="1:53" x14ac:dyDescent="0.25">
      <c r="A4" s="61" t="s">
        <v>547</v>
      </c>
      <c r="B4" s="61">
        <v>2</v>
      </c>
      <c r="C4" s="61">
        <v>17</v>
      </c>
      <c r="D4" s="61">
        <f>D3+1</f>
        <v>2</v>
      </c>
      <c r="E4" s="61">
        <v>1</v>
      </c>
      <c r="F4" s="61">
        <f t="shared" si="1"/>
        <v>3</v>
      </c>
      <c r="G4" s="75">
        <v>1409500</v>
      </c>
      <c r="I4" s="65" t="s">
        <v>14</v>
      </c>
      <c r="J4" s="75">
        <f t="shared" si="0"/>
        <v>0</v>
      </c>
      <c r="K4" s="75" t="s">
        <v>33</v>
      </c>
      <c r="L4" s="65" t="s">
        <v>7</v>
      </c>
      <c r="M4" s="65" t="s">
        <v>86</v>
      </c>
      <c r="N4" s="75">
        <v>161</v>
      </c>
      <c r="O4" s="75">
        <v>471</v>
      </c>
      <c r="P4" s="75">
        <v>656</v>
      </c>
      <c r="S4" s="80" t="s">
        <v>106</v>
      </c>
      <c r="T4" s="80"/>
      <c r="V4" s="65"/>
      <c r="W4" s="65">
        <v>0.1</v>
      </c>
      <c r="Y4" s="65"/>
      <c r="Z4" s="65"/>
      <c r="AA4" s="61">
        <v>10000</v>
      </c>
      <c r="AB4" s="61">
        <v>0.15</v>
      </c>
      <c r="AC4" s="61">
        <v>750</v>
      </c>
      <c r="AD4" s="61">
        <v>1</v>
      </c>
      <c r="AE4" s="75">
        <v>32</v>
      </c>
      <c r="AF4" s="65">
        <v>0.56000000000000005</v>
      </c>
      <c r="AG4" s="79">
        <v>6</v>
      </c>
      <c r="AH4" s="79">
        <v>0.63519999999999999</v>
      </c>
      <c r="AI4" s="79">
        <v>0.2797</v>
      </c>
      <c r="AJ4" s="75">
        <v>500</v>
      </c>
      <c r="AK4" s="75">
        <v>17</v>
      </c>
      <c r="AL4" s="61">
        <v>10</v>
      </c>
      <c r="AM4" s="75">
        <v>110</v>
      </c>
      <c r="AN4" s="75" t="s">
        <v>250</v>
      </c>
      <c r="AO4" s="65">
        <v>0.31</v>
      </c>
      <c r="AP4" s="65">
        <v>1.32</v>
      </c>
      <c r="AQ4" s="65">
        <v>1.17</v>
      </c>
      <c r="AR4" s="80" t="s">
        <v>204</v>
      </c>
    </row>
    <row r="5" spans="1:53" x14ac:dyDescent="0.25">
      <c r="A5" s="61" t="s">
        <v>547</v>
      </c>
      <c r="B5" s="61">
        <f>B4</f>
        <v>2</v>
      </c>
      <c r="C5" s="61">
        <v>17</v>
      </c>
      <c r="D5" s="61">
        <f>D4</f>
        <v>2</v>
      </c>
      <c r="E5" s="61">
        <f>E4+1</f>
        <v>2</v>
      </c>
      <c r="F5" s="61">
        <f t="shared" si="1"/>
        <v>4</v>
      </c>
      <c r="G5" s="75">
        <v>1400738</v>
      </c>
      <c r="H5" s="75">
        <v>6384</v>
      </c>
      <c r="I5" s="116" t="s">
        <v>508</v>
      </c>
      <c r="J5" s="75">
        <f t="shared" si="0"/>
        <v>1</v>
      </c>
      <c r="K5" s="75" t="s">
        <v>31</v>
      </c>
      <c r="L5" s="75" t="s">
        <v>509</v>
      </c>
      <c r="M5" s="75" t="s">
        <v>86</v>
      </c>
      <c r="N5" s="75">
        <v>35</v>
      </c>
      <c r="O5" s="75">
        <v>27</v>
      </c>
      <c r="P5" s="75">
        <v>21</v>
      </c>
      <c r="S5" s="61" t="s">
        <v>106</v>
      </c>
      <c r="V5" s="65"/>
      <c r="W5" s="65">
        <v>0.1</v>
      </c>
      <c r="Y5" s="65"/>
      <c r="Z5" s="65"/>
      <c r="AA5" s="61">
        <v>10000</v>
      </c>
      <c r="AB5" s="61">
        <v>0.15</v>
      </c>
      <c r="AC5" s="61">
        <v>750</v>
      </c>
      <c r="AD5" s="61">
        <v>1</v>
      </c>
      <c r="AE5" s="75">
        <v>32</v>
      </c>
      <c r="AF5" s="65">
        <v>0.56000000000000005</v>
      </c>
      <c r="AG5" s="79">
        <v>6</v>
      </c>
      <c r="AH5" s="79">
        <v>0.63519999999999999</v>
      </c>
      <c r="AI5" s="79">
        <v>0.2797</v>
      </c>
      <c r="AJ5" s="75">
        <v>500</v>
      </c>
      <c r="AK5" s="75">
        <v>17</v>
      </c>
      <c r="AL5" s="61">
        <v>20</v>
      </c>
      <c r="AM5" s="75">
        <v>110</v>
      </c>
      <c r="AN5" s="75" t="s">
        <v>250</v>
      </c>
      <c r="AO5" s="65">
        <v>0.31</v>
      </c>
      <c r="AP5" s="65">
        <v>1.32</v>
      </c>
      <c r="AQ5" s="65">
        <v>1.17</v>
      </c>
      <c r="AR5" s="80" t="s">
        <v>572</v>
      </c>
    </row>
    <row r="6" spans="1:53" x14ac:dyDescent="0.25">
      <c r="A6" s="61" t="s">
        <v>547</v>
      </c>
      <c r="B6" s="61">
        <f>B5</f>
        <v>2</v>
      </c>
      <c r="C6" s="61">
        <v>17</v>
      </c>
      <c r="D6" s="61">
        <f>D5</f>
        <v>2</v>
      </c>
      <c r="E6" s="61">
        <f>E5+1</f>
        <v>3</v>
      </c>
      <c r="F6" s="61">
        <f t="shared" si="1"/>
        <v>5</v>
      </c>
      <c r="G6" s="75">
        <v>1400618</v>
      </c>
      <c r="I6" s="65" t="s">
        <v>207</v>
      </c>
      <c r="J6" s="75">
        <f t="shared" si="0"/>
        <v>-1</v>
      </c>
      <c r="K6" s="75" t="s">
        <v>32</v>
      </c>
      <c r="L6" s="75"/>
      <c r="M6" s="75"/>
      <c r="N6" s="75">
        <v>15</v>
      </c>
      <c r="O6" s="75">
        <v>13</v>
      </c>
      <c r="P6" s="75">
        <v>14</v>
      </c>
      <c r="S6" s="61" t="s">
        <v>106</v>
      </c>
      <c r="V6" s="65"/>
      <c r="W6" s="65">
        <v>0.1</v>
      </c>
      <c r="Y6" s="65"/>
      <c r="Z6" s="65"/>
      <c r="AA6" s="61">
        <v>10000</v>
      </c>
      <c r="AB6" s="61">
        <v>0.15</v>
      </c>
      <c r="AC6" s="61">
        <v>750</v>
      </c>
      <c r="AD6" s="61">
        <v>1</v>
      </c>
      <c r="AE6" s="75">
        <v>32</v>
      </c>
      <c r="AF6" s="65">
        <v>0.56000000000000005</v>
      </c>
      <c r="AG6" s="79">
        <v>6</v>
      </c>
      <c r="AH6" s="79">
        <v>0.63519999999999999</v>
      </c>
      <c r="AI6" s="79">
        <v>0.2797</v>
      </c>
      <c r="AJ6" s="75">
        <v>500</v>
      </c>
      <c r="AK6" s="75">
        <v>17</v>
      </c>
      <c r="AL6" s="61">
        <v>20</v>
      </c>
      <c r="AM6" s="75">
        <v>110</v>
      </c>
      <c r="AN6" s="75" t="s">
        <v>250</v>
      </c>
      <c r="AO6" s="65">
        <v>0.31</v>
      </c>
      <c r="AP6" s="65">
        <v>1.32</v>
      </c>
      <c r="AQ6" s="65">
        <v>1.17</v>
      </c>
      <c r="AR6" s="61" t="s">
        <v>239</v>
      </c>
      <c r="BA6" s="61" t="s">
        <v>240</v>
      </c>
    </row>
    <row r="7" spans="1:53" x14ac:dyDescent="0.25">
      <c r="A7" s="61" t="s">
        <v>547</v>
      </c>
      <c r="B7" s="61">
        <f>B6</f>
        <v>2</v>
      </c>
      <c r="C7" s="61">
        <v>17</v>
      </c>
      <c r="D7" s="61">
        <f>D6</f>
        <v>2</v>
      </c>
      <c r="E7" s="61">
        <f>E6+1</f>
        <v>4</v>
      </c>
      <c r="F7" s="61">
        <f t="shared" si="1"/>
        <v>6</v>
      </c>
      <c r="G7" s="75">
        <v>1403694</v>
      </c>
      <c r="I7" s="65" t="s">
        <v>95</v>
      </c>
      <c r="J7" s="75">
        <f t="shared" si="0"/>
        <v>-1</v>
      </c>
      <c r="K7" s="75" t="s">
        <v>32</v>
      </c>
      <c r="L7" s="75"/>
      <c r="M7" s="75"/>
      <c r="N7" s="75">
        <v>0</v>
      </c>
      <c r="O7" s="75">
        <v>0</v>
      </c>
      <c r="P7" s="75">
        <v>0</v>
      </c>
      <c r="S7" s="61" t="s">
        <v>106</v>
      </c>
      <c r="V7" s="65"/>
      <c r="W7" s="65">
        <v>0.1</v>
      </c>
      <c r="Y7" s="65"/>
      <c r="Z7" s="65"/>
      <c r="AA7" s="61">
        <v>10000</v>
      </c>
      <c r="AB7" s="61">
        <v>0.15</v>
      </c>
      <c r="AC7" s="61">
        <v>750</v>
      </c>
      <c r="AD7" s="61">
        <v>1</v>
      </c>
      <c r="AE7" s="75">
        <v>32</v>
      </c>
      <c r="AF7" s="65">
        <v>0.56000000000000005</v>
      </c>
      <c r="AG7" s="79">
        <v>6</v>
      </c>
      <c r="AH7" s="79">
        <v>0.63519999999999999</v>
      </c>
      <c r="AI7" s="79">
        <v>0.2797</v>
      </c>
      <c r="AJ7" s="75">
        <v>500</v>
      </c>
      <c r="AK7" s="75">
        <v>17</v>
      </c>
      <c r="AL7" s="61">
        <v>20</v>
      </c>
      <c r="AM7" s="75">
        <v>110</v>
      </c>
      <c r="AN7" s="75" t="s">
        <v>250</v>
      </c>
      <c r="AO7" s="65">
        <v>0.31</v>
      </c>
      <c r="AP7" s="65">
        <v>1.32</v>
      </c>
      <c r="AQ7" s="65">
        <v>1.17</v>
      </c>
      <c r="AR7" s="80" t="s">
        <v>223</v>
      </c>
      <c r="BA7" s="61" t="s">
        <v>238</v>
      </c>
    </row>
    <row r="8" spans="1:53" x14ac:dyDescent="0.25">
      <c r="A8" s="61" t="s">
        <v>547</v>
      </c>
      <c r="B8" s="61">
        <f>B7</f>
        <v>2</v>
      </c>
      <c r="C8" s="61">
        <v>17</v>
      </c>
      <c r="D8" s="61">
        <f>D7</f>
        <v>2</v>
      </c>
      <c r="E8" s="61">
        <f>E7+1</f>
        <v>5</v>
      </c>
      <c r="F8" s="61">
        <f t="shared" si="1"/>
        <v>7</v>
      </c>
      <c r="G8" s="75">
        <v>1400589</v>
      </c>
      <c r="I8" s="65" t="s">
        <v>23</v>
      </c>
      <c r="J8" s="75">
        <f t="shared" si="0"/>
        <v>-1</v>
      </c>
      <c r="K8" s="65" t="s">
        <v>32</v>
      </c>
      <c r="L8" s="65"/>
      <c r="M8" s="65"/>
      <c r="N8" s="75">
        <v>51</v>
      </c>
      <c r="O8" s="75">
        <v>14</v>
      </c>
      <c r="P8" s="75">
        <v>26</v>
      </c>
      <c r="S8" s="61" t="s">
        <v>106</v>
      </c>
      <c r="V8" s="65"/>
      <c r="W8" s="65">
        <v>0.1</v>
      </c>
      <c r="Y8" s="65"/>
      <c r="Z8" s="65"/>
      <c r="AA8" s="61">
        <v>10000</v>
      </c>
      <c r="AB8" s="61">
        <v>0.15</v>
      </c>
      <c r="AC8" s="61">
        <v>750</v>
      </c>
      <c r="AD8" s="61">
        <v>1</v>
      </c>
      <c r="AE8" s="75">
        <v>32</v>
      </c>
      <c r="AF8" s="65">
        <v>0.56000000000000005</v>
      </c>
      <c r="AG8" s="79">
        <v>6</v>
      </c>
      <c r="AH8" s="79">
        <v>0.63519999999999999</v>
      </c>
      <c r="AI8" s="79">
        <v>0.2797</v>
      </c>
      <c r="AJ8" s="75">
        <v>500</v>
      </c>
      <c r="AK8" s="75">
        <v>17</v>
      </c>
      <c r="AL8" s="61">
        <v>20</v>
      </c>
      <c r="AM8" s="75">
        <v>110</v>
      </c>
      <c r="AN8" s="75" t="s">
        <v>250</v>
      </c>
      <c r="AO8" s="65">
        <v>0.31</v>
      </c>
      <c r="AP8" s="65">
        <v>1.32</v>
      </c>
      <c r="AQ8" s="65">
        <v>1.17</v>
      </c>
      <c r="AR8" s="61" t="s">
        <v>208</v>
      </c>
    </row>
    <row r="9" spans="1:53" x14ac:dyDescent="0.25">
      <c r="A9" s="61" t="s">
        <v>547</v>
      </c>
      <c r="B9" s="61">
        <f>B8</f>
        <v>2</v>
      </c>
      <c r="C9" s="61">
        <v>17</v>
      </c>
      <c r="D9" s="61">
        <f>D8</f>
        <v>2</v>
      </c>
      <c r="E9" s="61">
        <f>E8+1</f>
        <v>6</v>
      </c>
      <c r="F9" s="61">
        <f t="shared" si="1"/>
        <v>8</v>
      </c>
      <c r="G9" s="75">
        <v>1400536</v>
      </c>
      <c r="I9" s="65" t="s">
        <v>96</v>
      </c>
      <c r="J9" s="75">
        <f t="shared" si="0"/>
        <v>-1</v>
      </c>
      <c r="K9" s="75" t="s">
        <v>32</v>
      </c>
      <c r="L9" s="75"/>
      <c r="M9" s="75"/>
      <c r="N9" s="75">
        <v>0</v>
      </c>
      <c r="O9" s="75">
        <v>0</v>
      </c>
      <c r="P9" s="75">
        <v>0</v>
      </c>
      <c r="R9" s="75"/>
      <c r="S9" s="61" t="s">
        <v>106</v>
      </c>
      <c r="V9" s="65"/>
      <c r="W9" s="65">
        <v>0.1</v>
      </c>
      <c r="Y9" s="65"/>
      <c r="Z9" s="65"/>
      <c r="AA9" s="61">
        <v>10000</v>
      </c>
      <c r="AB9" s="61">
        <v>0.15</v>
      </c>
      <c r="AC9" s="61">
        <v>750</v>
      </c>
      <c r="AD9" s="61">
        <v>1</v>
      </c>
      <c r="AE9" s="75">
        <v>32</v>
      </c>
      <c r="AF9" s="65">
        <v>0.56000000000000005</v>
      </c>
      <c r="AG9" s="79">
        <v>6</v>
      </c>
      <c r="AH9" s="79">
        <v>0.63519999999999999</v>
      </c>
      <c r="AI9" s="79">
        <v>0.2797</v>
      </c>
      <c r="AJ9" s="75">
        <v>500</v>
      </c>
      <c r="AK9" s="75">
        <v>17</v>
      </c>
      <c r="AL9" s="61">
        <v>20</v>
      </c>
      <c r="AM9" s="75">
        <v>110</v>
      </c>
      <c r="AN9" s="75" t="s">
        <v>250</v>
      </c>
      <c r="AO9" s="65">
        <v>0.31</v>
      </c>
      <c r="AP9" s="65">
        <v>1.32</v>
      </c>
      <c r="AQ9" s="65">
        <v>1.17</v>
      </c>
      <c r="AR9" s="61" t="s">
        <v>208</v>
      </c>
    </row>
    <row r="10" spans="1:53" s="73" customFormat="1" x14ac:dyDescent="0.25">
      <c r="A10" s="73" t="s">
        <v>547</v>
      </c>
      <c r="B10" s="73">
        <v>2</v>
      </c>
      <c r="C10" s="73">
        <v>17</v>
      </c>
      <c r="D10" s="73">
        <f>D9+1</f>
        <v>3</v>
      </c>
      <c r="E10" s="73">
        <v>1</v>
      </c>
      <c r="G10" s="74">
        <v>1409501</v>
      </c>
      <c r="H10" s="74"/>
      <c r="I10" s="77" t="s">
        <v>512</v>
      </c>
      <c r="J10" s="74">
        <f t="shared" si="0"/>
        <v>0</v>
      </c>
      <c r="K10" s="74" t="s">
        <v>33</v>
      </c>
      <c r="L10" s="120" t="s">
        <v>510</v>
      </c>
      <c r="M10" s="74" t="s">
        <v>86</v>
      </c>
      <c r="N10" s="74">
        <v>161</v>
      </c>
      <c r="O10" s="74">
        <v>471</v>
      </c>
      <c r="P10" s="74">
        <v>656</v>
      </c>
      <c r="Q10" s="76"/>
      <c r="R10" s="74"/>
      <c r="S10" s="73" t="s">
        <v>106</v>
      </c>
      <c r="V10" s="77"/>
      <c r="W10" s="77">
        <v>0.1</v>
      </c>
      <c r="X10" s="76"/>
      <c r="Y10" s="77"/>
      <c r="Z10" s="77"/>
      <c r="AA10" s="73">
        <v>10000</v>
      </c>
      <c r="AB10" s="73">
        <v>0.15</v>
      </c>
      <c r="AC10" s="73">
        <v>750</v>
      </c>
      <c r="AD10" s="73">
        <v>1</v>
      </c>
      <c r="AE10" s="74">
        <v>32</v>
      </c>
      <c r="AF10" s="77">
        <v>0.56000000000000005</v>
      </c>
      <c r="AG10" s="76">
        <v>6</v>
      </c>
      <c r="AH10" s="76">
        <v>0.63519999999999999</v>
      </c>
      <c r="AI10" s="76">
        <v>0.2797</v>
      </c>
      <c r="AJ10" s="74">
        <v>500</v>
      </c>
      <c r="AK10" s="74">
        <v>17</v>
      </c>
      <c r="AL10" s="73">
        <v>20</v>
      </c>
      <c r="AM10" s="74">
        <v>110</v>
      </c>
      <c r="AN10" s="74" t="s">
        <v>250</v>
      </c>
      <c r="AO10" s="77">
        <v>0.31</v>
      </c>
      <c r="AP10" s="77">
        <v>1.32</v>
      </c>
      <c r="AQ10" s="77">
        <v>1.17</v>
      </c>
      <c r="AR10" s="73" t="s">
        <v>514</v>
      </c>
    </row>
    <row r="11" spans="1:53" x14ac:dyDescent="0.25">
      <c r="A11" s="61" t="s">
        <v>547</v>
      </c>
      <c r="B11" s="61">
        <f>B10</f>
        <v>2</v>
      </c>
      <c r="C11" s="61">
        <v>17</v>
      </c>
      <c r="D11" s="61">
        <f t="shared" ref="D11:D16" si="2">D10</f>
        <v>3</v>
      </c>
      <c r="E11" s="61">
        <f t="shared" ref="E11:E16" si="3">E10+1</f>
        <v>2</v>
      </c>
      <c r="G11" s="75">
        <v>1409504</v>
      </c>
      <c r="H11" s="63"/>
      <c r="I11" s="65" t="s">
        <v>513</v>
      </c>
      <c r="J11" s="75">
        <f t="shared" si="0"/>
        <v>1</v>
      </c>
      <c r="K11" s="75" t="s">
        <v>31</v>
      </c>
      <c r="L11" s="75" t="s">
        <v>511</v>
      </c>
      <c r="M11" s="75" t="s">
        <v>86</v>
      </c>
      <c r="N11" s="75">
        <v>0</v>
      </c>
      <c r="O11" s="75">
        <v>0</v>
      </c>
      <c r="P11" s="75">
        <v>0</v>
      </c>
      <c r="R11" s="75"/>
      <c r="S11" s="61" t="s">
        <v>106</v>
      </c>
      <c r="V11" s="65"/>
      <c r="W11" s="65">
        <v>0.1</v>
      </c>
      <c r="Y11" s="65"/>
      <c r="Z11" s="65"/>
      <c r="AA11" s="61">
        <v>10000</v>
      </c>
      <c r="AB11" s="61">
        <v>0.15</v>
      </c>
      <c r="AC11" s="61">
        <v>750</v>
      </c>
      <c r="AD11" s="61">
        <v>1</v>
      </c>
      <c r="AE11" s="75">
        <v>32</v>
      </c>
      <c r="AF11" s="65">
        <v>0.56000000000000005</v>
      </c>
      <c r="AG11" s="79">
        <v>6</v>
      </c>
      <c r="AH11" s="79">
        <v>0.63519999999999999</v>
      </c>
      <c r="AI11" s="79">
        <v>0.2797</v>
      </c>
      <c r="AJ11" s="75">
        <v>500</v>
      </c>
      <c r="AK11" s="75">
        <v>17</v>
      </c>
      <c r="AL11" s="61">
        <v>20</v>
      </c>
      <c r="AM11" s="75">
        <v>110</v>
      </c>
      <c r="AN11" s="75" t="s">
        <v>250</v>
      </c>
      <c r="AO11" s="65">
        <v>0.31</v>
      </c>
      <c r="AP11" s="65">
        <v>1.32</v>
      </c>
      <c r="AQ11" s="65">
        <v>1.17</v>
      </c>
      <c r="AR11" s="61" t="s">
        <v>514</v>
      </c>
    </row>
    <row r="12" spans="1:53" x14ac:dyDescent="0.25">
      <c r="A12" s="61" t="s">
        <v>547</v>
      </c>
      <c r="B12" s="61">
        <f>B9</f>
        <v>2</v>
      </c>
      <c r="C12" s="61">
        <v>17</v>
      </c>
      <c r="D12" s="61">
        <f t="shared" si="2"/>
        <v>3</v>
      </c>
      <c r="E12" s="61">
        <f t="shared" si="3"/>
        <v>3</v>
      </c>
      <c r="F12" s="61">
        <f>F9+1</f>
        <v>9</v>
      </c>
      <c r="G12" s="75">
        <v>1400800</v>
      </c>
      <c r="H12" s="75">
        <v>952</v>
      </c>
      <c r="I12" s="65" t="s">
        <v>24</v>
      </c>
      <c r="J12" s="75">
        <f t="shared" si="0"/>
        <v>1</v>
      </c>
      <c r="K12" s="61" t="s">
        <v>31</v>
      </c>
      <c r="L12" s="81" t="s">
        <v>25</v>
      </c>
      <c r="M12" s="81" t="s">
        <v>86</v>
      </c>
      <c r="N12" s="75">
        <v>49</v>
      </c>
      <c r="O12" s="75">
        <v>133</v>
      </c>
      <c r="P12" s="75">
        <v>296</v>
      </c>
      <c r="R12" s="75">
        <v>10</v>
      </c>
      <c r="S12" s="61" t="s">
        <v>106</v>
      </c>
      <c r="V12" s="65"/>
      <c r="W12" s="65">
        <v>0.1</v>
      </c>
      <c r="Y12" s="65"/>
      <c r="Z12" s="65"/>
      <c r="AA12" s="61">
        <v>10000</v>
      </c>
      <c r="AB12" s="61">
        <v>0.15</v>
      </c>
      <c r="AC12" s="61">
        <v>750</v>
      </c>
      <c r="AD12" s="61">
        <v>1</v>
      </c>
      <c r="AE12" s="75">
        <v>32</v>
      </c>
      <c r="AF12" s="65">
        <v>0.56000000000000005</v>
      </c>
      <c r="AG12" s="79">
        <v>6</v>
      </c>
      <c r="AH12" s="79">
        <v>0.63519999999999999</v>
      </c>
      <c r="AI12" s="79">
        <v>0.2797</v>
      </c>
      <c r="AJ12" s="75">
        <v>500</v>
      </c>
      <c r="AK12" s="75">
        <v>17</v>
      </c>
      <c r="AL12" s="61">
        <v>20</v>
      </c>
      <c r="AM12" s="75">
        <v>110</v>
      </c>
      <c r="AN12" s="75" t="s">
        <v>250</v>
      </c>
      <c r="AO12" s="65">
        <v>0.31</v>
      </c>
      <c r="AP12" s="65">
        <v>1.32</v>
      </c>
      <c r="AQ12" s="65">
        <v>1.17</v>
      </c>
      <c r="AR12" s="80" t="s">
        <v>243</v>
      </c>
    </row>
    <row r="13" spans="1:53" x14ac:dyDescent="0.25">
      <c r="A13" s="61" t="s">
        <v>547</v>
      </c>
      <c r="B13" s="61">
        <f t="shared" ref="B13:B44" si="4">B12</f>
        <v>2</v>
      </c>
      <c r="C13" s="61">
        <v>17</v>
      </c>
      <c r="D13" s="61">
        <f t="shared" si="2"/>
        <v>3</v>
      </c>
      <c r="E13" s="61">
        <f t="shared" si="3"/>
        <v>4</v>
      </c>
      <c r="F13" s="61">
        <f t="shared" ref="F13:F47" si="5">F12+1</f>
        <v>10</v>
      </c>
      <c r="G13" s="75">
        <v>1400620</v>
      </c>
      <c r="H13" s="75">
        <v>6385</v>
      </c>
      <c r="I13" s="65" t="s">
        <v>65</v>
      </c>
      <c r="J13" s="75">
        <f t="shared" si="0"/>
        <v>1</v>
      </c>
      <c r="K13" s="75" t="s">
        <v>31</v>
      </c>
      <c r="L13" s="82"/>
      <c r="M13" s="82"/>
      <c r="N13" s="75">
        <v>18</v>
      </c>
      <c r="O13" s="75">
        <v>18</v>
      </c>
      <c r="P13" s="75">
        <v>21</v>
      </c>
      <c r="S13" s="61" t="s">
        <v>106</v>
      </c>
      <c r="V13" s="65"/>
      <c r="W13" s="65">
        <v>0.1</v>
      </c>
      <c r="Y13" s="65"/>
      <c r="Z13" s="65"/>
      <c r="AA13" s="61">
        <v>10000</v>
      </c>
      <c r="AB13" s="61">
        <v>0.15</v>
      </c>
      <c r="AC13" s="61">
        <v>750</v>
      </c>
      <c r="AD13" s="61">
        <v>1</v>
      </c>
      <c r="AE13" s="75">
        <v>32</v>
      </c>
      <c r="AF13" s="65">
        <v>0.56000000000000005</v>
      </c>
      <c r="AG13" s="79">
        <v>6</v>
      </c>
      <c r="AH13" s="79">
        <v>0.63519999999999999</v>
      </c>
      <c r="AI13" s="79">
        <v>0.2797</v>
      </c>
      <c r="AJ13" s="75">
        <v>500</v>
      </c>
      <c r="AK13" s="75">
        <v>17</v>
      </c>
      <c r="AL13" s="61">
        <v>20</v>
      </c>
      <c r="AM13" s="75">
        <v>110</v>
      </c>
      <c r="AN13" s="75" t="s">
        <v>250</v>
      </c>
      <c r="AO13" s="65">
        <v>0.31</v>
      </c>
      <c r="AP13" s="65">
        <v>1.32</v>
      </c>
      <c r="AQ13" s="65">
        <v>1.17</v>
      </c>
      <c r="AR13" s="61" t="s">
        <v>208</v>
      </c>
    </row>
    <row r="14" spans="1:53" x14ac:dyDescent="0.25">
      <c r="A14" s="61" t="s">
        <v>547</v>
      </c>
      <c r="B14" s="61">
        <f t="shared" si="4"/>
        <v>2</v>
      </c>
      <c r="C14" s="61">
        <v>17</v>
      </c>
      <c r="D14" s="61">
        <f t="shared" si="2"/>
        <v>3</v>
      </c>
      <c r="E14" s="61">
        <f t="shared" si="3"/>
        <v>5</v>
      </c>
      <c r="F14" s="61">
        <f t="shared" si="5"/>
        <v>11</v>
      </c>
      <c r="G14" s="75">
        <v>1409508</v>
      </c>
      <c r="H14" s="75">
        <v>948</v>
      </c>
      <c r="I14" s="65" t="s">
        <v>26</v>
      </c>
      <c r="J14" s="75">
        <f t="shared" si="0"/>
        <v>1</v>
      </c>
      <c r="K14" s="75" t="s">
        <v>31</v>
      </c>
      <c r="L14" s="65" t="s">
        <v>27</v>
      </c>
      <c r="M14" s="65" t="s">
        <v>86</v>
      </c>
      <c r="N14" s="75">
        <v>67</v>
      </c>
      <c r="O14" s="75">
        <v>64</v>
      </c>
      <c r="P14" s="75">
        <v>64</v>
      </c>
      <c r="S14" s="61" t="s">
        <v>106</v>
      </c>
      <c r="V14" s="65"/>
      <c r="W14" s="65">
        <v>0.1</v>
      </c>
      <c r="Y14" s="65"/>
      <c r="Z14" s="65"/>
      <c r="AA14" s="61">
        <v>10000</v>
      </c>
      <c r="AB14" s="61">
        <v>0.15</v>
      </c>
      <c r="AC14" s="61">
        <v>750</v>
      </c>
      <c r="AD14" s="61">
        <v>1</v>
      </c>
      <c r="AE14" s="75">
        <v>32</v>
      </c>
      <c r="AF14" s="65">
        <v>0.56000000000000005</v>
      </c>
      <c r="AG14" s="79">
        <v>6</v>
      </c>
      <c r="AH14" s="79">
        <v>0.63519999999999999</v>
      </c>
      <c r="AI14" s="79">
        <v>0.2797</v>
      </c>
      <c r="AJ14" s="75">
        <v>500</v>
      </c>
      <c r="AK14" s="75">
        <v>17</v>
      </c>
      <c r="AL14" s="61">
        <v>20</v>
      </c>
      <c r="AM14" s="75">
        <v>110</v>
      </c>
      <c r="AN14" s="75" t="s">
        <v>250</v>
      </c>
      <c r="AO14" s="65">
        <v>0.31</v>
      </c>
      <c r="AP14" s="65">
        <v>1.32</v>
      </c>
      <c r="AQ14" s="65">
        <v>1.17</v>
      </c>
      <c r="AR14" s="61" t="s">
        <v>212</v>
      </c>
    </row>
    <row r="15" spans="1:53" x14ac:dyDescent="0.25">
      <c r="A15" s="61" t="s">
        <v>547</v>
      </c>
      <c r="B15" s="61">
        <f t="shared" si="4"/>
        <v>2</v>
      </c>
      <c r="C15" s="61">
        <v>17</v>
      </c>
      <c r="D15" s="61">
        <f t="shared" si="2"/>
        <v>3</v>
      </c>
      <c r="E15" s="61">
        <f t="shared" si="3"/>
        <v>6</v>
      </c>
      <c r="F15" s="61">
        <f t="shared" si="5"/>
        <v>12</v>
      </c>
      <c r="G15" s="75">
        <v>1400539</v>
      </c>
      <c r="I15" s="65" t="s">
        <v>28</v>
      </c>
      <c r="J15" s="75">
        <f t="shared" si="0"/>
        <v>-1</v>
      </c>
      <c r="K15" s="75" t="s">
        <v>32</v>
      </c>
      <c r="L15" s="65"/>
      <c r="M15" s="65"/>
      <c r="N15" s="75">
        <v>0</v>
      </c>
      <c r="O15" s="75">
        <v>14</v>
      </c>
      <c r="P15" s="75">
        <v>0</v>
      </c>
      <c r="S15" s="61" t="s">
        <v>106</v>
      </c>
      <c r="V15" s="65"/>
      <c r="W15" s="65">
        <v>0.1</v>
      </c>
      <c r="Y15" s="65"/>
      <c r="Z15" s="65"/>
      <c r="AA15" s="61">
        <v>10000</v>
      </c>
      <c r="AB15" s="61">
        <v>0.15</v>
      </c>
      <c r="AC15" s="61">
        <v>750</v>
      </c>
      <c r="AD15" s="61">
        <v>1</v>
      </c>
      <c r="AE15" s="75">
        <v>32</v>
      </c>
      <c r="AF15" s="65">
        <v>0.56000000000000005</v>
      </c>
      <c r="AG15" s="79">
        <v>6</v>
      </c>
      <c r="AH15" s="79">
        <v>0.63519999999999999</v>
      </c>
      <c r="AI15" s="79">
        <v>0.2797</v>
      </c>
      <c r="AJ15" s="75">
        <v>500</v>
      </c>
      <c r="AK15" s="75">
        <v>17</v>
      </c>
      <c r="AL15" s="61">
        <v>20</v>
      </c>
      <c r="AM15" s="75">
        <v>110</v>
      </c>
      <c r="AN15" s="75" t="s">
        <v>250</v>
      </c>
      <c r="AO15" s="65">
        <v>0.31</v>
      </c>
      <c r="AP15" s="65">
        <v>1.32</v>
      </c>
      <c r="AQ15" s="65">
        <v>1.17</v>
      </c>
      <c r="AR15" s="61" t="s">
        <v>208</v>
      </c>
    </row>
    <row r="16" spans="1:53" s="68" customFormat="1" x14ac:dyDescent="0.25">
      <c r="A16" s="68" t="s">
        <v>547</v>
      </c>
      <c r="B16" s="68">
        <f t="shared" si="4"/>
        <v>2</v>
      </c>
      <c r="C16" s="68">
        <v>17</v>
      </c>
      <c r="D16" s="68">
        <f t="shared" si="2"/>
        <v>3</v>
      </c>
      <c r="E16" s="68">
        <f t="shared" si="3"/>
        <v>7</v>
      </c>
      <c r="F16" s="68">
        <f t="shared" si="5"/>
        <v>13</v>
      </c>
      <c r="G16" s="69">
        <v>1509501</v>
      </c>
      <c r="H16" s="69">
        <v>945</v>
      </c>
      <c r="I16" s="71" t="s">
        <v>29</v>
      </c>
      <c r="J16" s="69">
        <f t="shared" si="0"/>
        <v>1</v>
      </c>
      <c r="K16" s="69" t="s">
        <v>31</v>
      </c>
      <c r="L16" s="71" t="s">
        <v>30</v>
      </c>
      <c r="M16" s="71" t="s">
        <v>86</v>
      </c>
      <c r="N16" s="69">
        <v>5</v>
      </c>
      <c r="O16" s="69">
        <v>27</v>
      </c>
      <c r="P16" s="69">
        <v>202</v>
      </c>
      <c r="Q16" s="70"/>
      <c r="S16" s="68" t="s">
        <v>106</v>
      </c>
      <c r="V16" s="71"/>
      <c r="W16" s="71">
        <v>0.1</v>
      </c>
      <c r="X16" s="70"/>
      <c r="Y16" s="71"/>
      <c r="Z16" s="71"/>
      <c r="AA16" s="68">
        <v>10000</v>
      </c>
      <c r="AB16" s="68">
        <v>0.15</v>
      </c>
      <c r="AC16" s="68">
        <v>750</v>
      </c>
      <c r="AD16" s="68">
        <v>1</v>
      </c>
      <c r="AE16" s="69">
        <v>32</v>
      </c>
      <c r="AF16" s="71">
        <v>0.56000000000000005</v>
      </c>
      <c r="AG16" s="70">
        <v>6</v>
      </c>
      <c r="AH16" s="70">
        <v>0.63519999999999999</v>
      </c>
      <c r="AI16" s="70">
        <v>0.2797</v>
      </c>
      <c r="AJ16" s="69">
        <v>500</v>
      </c>
      <c r="AK16" s="69">
        <v>17</v>
      </c>
      <c r="AL16" s="68">
        <v>20</v>
      </c>
      <c r="AM16" s="69">
        <v>110</v>
      </c>
      <c r="AN16" s="69" t="s">
        <v>250</v>
      </c>
      <c r="AO16" s="71">
        <v>0.31</v>
      </c>
      <c r="AP16" s="71">
        <v>1.32</v>
      </c>
      <c r="AQ16" s="71">
        <v>1.17</v>
      </c>
      <c r="AR16" s="72" t="s">
        <v>222</v>
      </c>
      <c r="BA16" s="68" t="s">
        <v>214</v>
      </c>
    </row>
    <row r="17" spans="1:53" x14ac:dyDescent="0.25">
      <c r="A17" s="61" t="s">
        <v>547</v>
      </c>
      <c r="B17" s="61">
        <f t="shared" si="4"/>
        <v>2</v>
      </c>
      <c r="C17" s="61">
        <v>17</v>
      </c>
      <c r="D17" s="61">
        <f>D16+1</f>
        <v>4</v>
      </c>
      <c r="E17" s="61">
        <v>1</v>
      </c>
      <c r="F17" s="61">
        <f t="shared" si="5"/>
        <v>14</v>
      </c>
      <c r="G17" s="75">
        <v>1409503</v>
      </c>
      <c r="I17" s="65" t="s">
        <v>15</v>
      </c>
      <c r="J17" s="75">
        <f t="shared" si="0"/>
        <v>0</v>
      </c>
      <c r="K17" s="75" t="s">
        <v>33</v>
      </c>
      <c r="L17" s="75" t="s">
        <v>8</v>
      </c>
      <c r="M17" s="75" t="s">
        <v>86</v>
      </c>
      <c r="N17" s="75">
        <v>283</v>
      </c>
      <c r="O17" s="75">
        <v>705</v>
      </c>
      <c r="P17" s="75">
        <v>1330</v>
      </c>
      <c r="S17" s="61" t="s">
        <v>106</v>
      </c>
      <c r="V17" s="65"/>
      <c r="W17" s="65">
        <v>0.13</v>
      </c>
      <c r="Y17" s="65"/>
      <c r="Z17" s="65"/>
      <c r="AA17" s="61">
        <v>10000</v>
      </c>
      <c r="AB17" s="61">
        <v>0.15</v>
      </c>
      <c r="AC17" s="61">
        <v>1500</v>
      </c>
      <c r="AD17" s="61">
        <v>1</v>
      </c>
      <c r="AE17" s="75">
        <v>32</v>
      </c>
      <c r="AF17" s="65">
        <v>0.56000000000000005</v>
      </c>
      <c r="AG17" s="79">
        <v>4</v>
      </c>
      <c r="AH17" s="79">
        <v>0.67910000000000004</v>
      </c>
      <c r="AI17" s="79">
        <v>0.22839999999999999</v>
      </c>
      <c r="AJ17" s="75">
        <v>500</v>
      </c>
      <c r="AK17" s="75">
        <v>17</v>
      </c>
      <c r="AL17" s="61">
        <v>20</v>
      </c>
      <c r="AM17" s="75">
        <v>203</v>
      </c>
      <c r="AN17" s="75" t="s">
        <v>250</v>
      </c>
      <c r="AO17" s="65">
        <v>0.31</v>
      </c>
      <c r="AP17" s="65">
        <v>1.5</v>
      </c>
      <c r="AQ17" s="65">
        <v>1.05</v>
      </c>
    </row>
    <row r="18" spans="1:53" x14ac:dyDescent="0.25">
      <c r="A18" s="61" t="s">
        <v>547</v>
      </c>
      <c r="B18" s="61">
        <f t="shared" si="4"/>
        <v>2</v>
      </c>
      <c r="C18" s="61">
        <v>17</v>
      </c>
      <c r="D18" s="61">
        <f t="shared" ref="D18:D23" si="6">D17</f>
        <v>4</v>
      </c>
      <c r="E18" s="61">
        <v>2</v>
      </c>
      <c r="F18" s="61">
        <f t="shared" si="5"/>
        <v>15</v>
      </c>
      <c r="G18" s="75">
        <v>1420020</v>
      </c>
      <c r="H18" s="75">
        <v>947</v>
      </c>
      <c r="I18" s="65" t="s">
        <v>34</v>
      </c>
      <c r="J18" s="75">
        <f t="shared" si="0"/>
        <v>1</v>
      </c>
      <c r="K18" s="75" t="s">
        <v>31</v>
      </c>
      <c r="L18" s="75"/>
      <c r="M18" s="75"/>
      <c r="N18" s="75">
        <v>5</v>
      </c>
      <c r="O18" s="75">
        <v>5</v>
      </c>
      <c r="P18" s="75">
        <v>5</v>
      </c>
      <c r="S18" s="61" t="s">
        <v>106</v>
      </c>
      <c r="V18" s="65"/>
      <c r="W18" s="65">
        <v>0.13</v>
      </c>
      <c r="Y18" s="65"/>
      <c r="Z18" s="65"/>
      <c r="AA18" s="61">
        <v>10000</v>
      </c>
      <c r="AB18" s="61">
        <v>0.15</v>
      </c>
      <c r="AC18" s="61">
        <v>1500</v>
      </c>
      <c r="AD18" s="61">
        <v>1</v>
      </c>
      <c r="AE18" s="75">
        <v>32</v>
      </c>
      <c r="AF18" s="65">
        <v>0.56000000000000005</v>
      </c>
      <c r="AG18" s="79">
        <v>4</v>
      </c>
      <c r="AH18" s="79">
        <v>0.67910000000000004</v>
      </c>
      <c r="AI18" s="79">
        <v>0.22839999999999999</v>
      </c>
      <c r="AJ18" s="75">
        <v>500</v>
      </c>
      <c r="AK18" s="75">
        <v>17</v>
      </c>
      <c r="AL18" s="61">
        <v>20</v>
      </c>
      <c r="AM18" s="75">
        <v>203</v>
      </c>
      <c r="AN18" s="75" t="s">
        <v>250</v>
      </c>
      <c r="AO18" s="65">
        <v>0.31</v>
      </c>
      <c r="AP18" s="65">
        <v>1.5</v>
      </c>
      <c r="AQ18" s="65">
        <v>1.05</v>
      </c>
      <c r="AR18" s="80" t="s">
        <v>209</v>
      </c>
    </row>
    <row r="19" spans="1:53" x14ac:dyDescent="0.25">
      <c r="A19" s="61" t="s">
        <v>547</v>
      </c>
      <c r="B19" s="61">
        <f t="shared" si="4"/>
        <v>2</v>
      </c>
      <c r="C19" s="61">
        <v>17</v>
      </c>
      <c r="D19" s="61">
        <f t="shared" si="6"/>
        <v>4</v>
      </c>
      <c r="E19" s="61">
        <v>3</v>
      </c>
      <c r="F19" s="61">
        <f t="shared" si="5"/>
        <v>16</v>
      </c>
      <c r="G19" s="75">
        <v>1400538</v>
      </c>
      <c r="I19" s="65" t="s">
        <v>35</v>
      </c>
      <c r="J19" s="75">
        <f t="shared" si="0"/>
        <v>-1</v>
      </c>
      <c r="K19" s="75" t="s">
        <v>32</v>
      </c>
      <c r="L19" s="75"/>
      <c r="M19" s="75"/>
      <c r="N19" s="75">
        <v>0</v>
      </c>
      <c r="O19" s="75">
        <v>0</v>
      </c>
      <c r="P19" s="75">
        <v>0</v>
      </c>
      <c r="S19" s="61" t="s">
        <v>106</v>
      </c>
      <c r="V19" s="65"/>
      <c r="W19" s="65">
        <v>0.13</v>
      </c>
      <c r="Y19" s="65"/>
      <c r="Z19" s="65"/>
      <c r="AA19" s="61">
        <v>10000</v>
      </c>
      <c r="AB19" s="61">
        <v>0.15</v>
      </c>
      <c r="AC19" s="61">
        <v>1500</v>
      </c>
      <c r="AD19" s="61">
        <v>1</v>
      </c>
      <c r="AE19" s="75">
        <v>32</v>
      </c>
      <c r="AF19" s="65">
        <v>0.56000000000000005</v>
      </c>
      <c r="AG19" s="79">
        <v>4</v>
      </c>
      <c r="AH19" s="79">
        <v>0.67910000000000004</v>
      </c>
      <c r="AI19" s="79">
        <v>0.22839999999999999</v>
      </c>
      <c r="AJ19" s="75">
        <v>500</v>
      </c>
      <c r="AK19" s="75">
        <v>17</v>
      </c>
      <c r="AL19" s="61">
        <v>20</v>
      </c>
      <c r="AM19" s="75">
        <v>203</v>
      </c>
      <c r="AN19" s="75" t="s">
        <v>250</v>
      </c>
      <c r="AO19" s="65">
        <v>0.31</v>
      </c>
      <c r="AP19" s="65">
        <v>1.5</v>
      </c>
      <c r="AQ19" s="65">
        <v>1.05</v>
      </c>
      <c r="AR19" s="61" t="s">
        <v>208</v>
      </c>
    </row>
    <row r="20" spans="1:53" x14ac:dyDescent="0.25">
      <c r="A20" s="61" t="s">
        <v>547</v>
      </c>
      <c r="B20" s="61">
        <f t="shared" si="4"/>
        <v>2</v>
      </c>
      <c r="C20" s="61">
        <v>17</v>
      </c>
      <c r="D20" s="61">
        <f t="shared" si="6"/>
        <v>4</v>
      </c>
      <c r="E20" s="61">
        <v>4</v>
      </c>
      <c r="F20" s="61">
        <f t="shared" si="5"/>
        <v>17</v>
      </c>
      <c r="G20" s="75">
        <v>1700540</v>
      </c>
      <c r="I20" s="65" t="s">
        <v>36</v>
      </c>
      <c r="J20" s="75">
        <f t="shared" si="0"/>
        <v>-1</v>
      </c>
      <c r="K20" s="75" t="s">
        <v>32</v>
      </c>
      <c r="L20" s="75" t="s">
        <v>39</v>
      </c>
      <c r="M20" s="75" t="s">
        <v>86</v>
      </c>
      <c r="N20" s="75">
        <v>0</v>
      </c>
      <c r="O20" s="75">
        <v>126</v>
      </c>
      <c r="P20" s="75">
        <v>203</v>
      </c>
      <c r="S20" s="61" t="s">
        <v>106</v>
      </c>
      <c r="V20" s="65"/>
      <c r="W20" s="65">
        <v>0.13</v>
      </c>
      <c r="Y20" s="65"/>
      <c r="Z20" s="65"/>
      <c r="AA20" s="61">
        <v>10000</v>
      </c>
      <c r="AB20" s="61">
        <v>0.15</v>
      </c>
      <c r="AC20" s="61">
        <v>1500</v>
      </c>
      <c r="AD20" s="61">
        <v>1</v>
      </c>
      <c r="AE20" s="75">
        <v>32</v>
      </c>
      <c r="AF20" s="65">
        <v>0.56000000000000005</v>
      </c>
      <c r="AG20" s="79">
        <v>4</v>
      </c>
      <c r="AH20" s="79">
        <v>0.67910000000000004</v>
      </c>
      <c r="AI20" s="79">
        <v>0.22839999999999999</v>
      </c>
      <c r="AJ20" s="75">
        <v>500</v>
      </c>
      <c r="AK20" s="75">
        <v>17</v>
      </c>
      <c r="AL20" s="61">
        <v>20</v>
      </c>
      <c r="AM20" s="75">
        <v>203</v>
      </c>
      <c r="AN20" s="75" t="s">
        <v>250</v>
      </c>
      <c r="AO20" s="65">
        <v>0.31</v>
      </c>
      <c r="AP20" s="65">
        <v>1.5</v>
      </c>
      <c r="AQ20" s="65">
        <v>1.05</v>
      </c>
      <c r="AR20" s="61" t="s">
        <v>208</v>
      </c>
    </row>
    <row r="21" spans="1:53" x14ac:dyDescent="0.25">
      <c r="A21" s="61" t="s">
        <v>547</v>
      </c>
      <c r="B21" s="61">
        <f t="shared" si="4"/>
        <v>2</v>
      </c>
      <c r="C21" s="61">
        <v>17</v>
      </c>
      <c r="D21" s="61">
        <f t="shared" si="6"/>
        <v>4</v>
      </c>
      <c r="E21" s="61">
        <v>5</v>
      </c>
      <c r="F21" s="61">
        <f t="shared" si="5"/>
        <v>18</v>
      </c>
      <c r="G21" s="75">
        <v>1420022</v>
      </c>
      <c r="H21" s="75">
        <v>937</v>
      </c>
      <c r="I21" s="65" t="s">
        <v>591</v>
      </c>
      <c r="J21" s="75">
        <f t="shared" si="0"/>
        <v>1</v>
      </c>
      <c r="K21" s="75" t="s">
        <v>31</v>
      </c>
      <c r="L21" s="75"/>
      <c r="M21" s="75"/>
      <c r="N21" s="75">
        <v>1</v>
      </c>
      <c r="O21" s="75">
        <v>21</v>
      </c>
      <c r="P21" s="75">
        <v>231</v>
      </c>
      <c r="S21" s="61" t="s">
        <v>106</v>
      </c>
      <c r="V21" s="65"/>
      <c r="W21" s="65">
        <v>0.13</v>
      </c>
      <c r="Y21" s="65"/>
      <c r="Z21" s="65"/>
      <c r="AA21" s="61">
        <v>10000</v>
      </c>
      <c r="AB21" s="61">
        <v>0.15</v>
      </c>
      <c r="AC21" s="61">
        <v>1500</v>
      </c>
      <c r="AD21" s="61">
        <v>1</v>
      </c>
      <c r="AE21" s="75">
        <v>32</v>
      </c>
      <c r="AF21" s="65">
        <v>0.56000000000000005</v>
      </c>
      <c r="AG21" s="79">
        <v>4</v>
      </c>
      <c r="AH21" s="79">
        <v>0.67910000000000004</v>
      </c>
      <c r="AI21" s="79">
        <v>0.22839999999999999</v>
      </c>
      <c r="AJ21" s="75">
        <v>500</v>
      </c>
      <c r="AK21" s="75">
        <v>17</v>
      </c>
      <c r="AL21" s="61">
        <v>20</v>
      </c>
      <c r="AM21" s="75">
        <v>203</v>
      </c>
      <c r="AN21" s="75" t="s">
        <v>250</v>
      </c>
      <c r="AO21" s="65">
        <v>0.31</v>
      </c>
      <c r="AP21" s="65">
        <v>1.5</v>
      </c>
      <c r="AQ21" s="65">
        <v>1.05</v>
      </c>
      <c r="AR21" s="80" t="s">
        <v>211</v>
      </c>
      <c r="BA21" s="61" t="str">
        <f>ROUND(5280/3/60/60,2) &amp;"hr"</f>
        <v>0.49hr</v>
      </c>
    </row>
    <row r="22" spans="1:53" x14ac:dyDescent="0.25">
      <c r="A22" s="61" t="s">
        <v>547</v>
      </c>
      <c r="B22" s="61">
        <f t="shared" si="4"/>
        <v>2</v>
      </c>
      <c r="C22" s="61">
        <v>17</v>
      </c>
      <c r="D22" s="61">
        <f t="shared" si="6"/>
        <v>4</v>
      </c>
      <c r="E22" s="61">
        <v>6</v>
      </c>
      <c r="F22" s="61">
        <f t="shared" si="5"/>
        <v>19</v>
      </c>
      <c r="G22" s="75">
        <v>1700542</v>
      </c>
      <c r="I22" s="65" t="s">
        <v>89</v>
      </c>
      <c r="J22" s="75">
        <f t="shared" si="0"/>
        <v>-1</v>
      </c>
      <c r="K22" s="75" t="s">
        <v>32</v>
      </c>
      <c r="L22" s="75" t="s">
        <v>41</v>
      </c>
      <c r="M22" s="75" t="s">
        <v>86</v>
      </c>
      <c r="N22" s="75">
        <v>129</v>
      </c>
      <c r="O22" s="75">
        <v>142</v>
      </c>
      <c r="P22" s="75">
        <v>348</v>
      </c>
      <c r="S22" s="61" t="s">
        <v>106</v>
      </c>
      <c r="V22" s="65"/>
      <c r="W22" s="65">
        <v>0.13</v>
      </c>
      <c r="Y22" s="65"/>
      <c r="Z22" s="65"/>
      <c r="AA22" s="61">
        <v>10000</v>
      </c>
      <c r="AB22" s="61">
        <v>0.15</v>
      </c>
      <c r="AC22" s="61">
        <v>1500</v>
      </c>
      <c r="AD22" s="61">
        <v>1</v>
      </c>
      <c r="AE22" s="75">
        <v>32</v>
      </c>
      <c r="AF22" s="65">
        <v>0.56000000000000005</v>
      </c>
      <c r="AG22" s="79">
        <v>4</v>
      </c>
      <c r="AH22" s="79">
        <v>0.67910000000000004</v>
      </c>
      <c r="AI22" s="79">
        <v>0.22839999999999999</v>
      </c>
      <c r="AJ22" s="75">
        <v>500</v>
      </c>
      <c r="AK22" s="75">
        <v>17</v>
      </c>
      <c r="AL22" s="61">
        <v>20</v>
      </c>
      <c r="AM22" s="75">
        <v>203</v>
      </c>
      <c r="AN22" s="75" t="s">
        <v>250</v>
      </c>
      <c r="AO22" s="65">
        <v>0.31</v>
      </c>
      <c r="AP22" s="65">
        <v>1.5</v>
      </c>
      <c r="AQ22" s="65">
        <v>1.05</v>
      </c>
      <c r="AR22" s="61" t="s">
        <v>208</v>
      </c>
    </row>
    <row r="23" spans="1:53" s="68" customFormat="1" x14ac:dyDescent="0.25">
      <c r="A23" s="68" t="s">
        <v>547</v>
      </c>
      <c r="B23" s="68">
        <f t="shared" si="4"/>
        <v>2</v>
      </c>
      <c r="C23" s="68">
        <v>17</v>
      </c>
      <c r="D23" s="68">
        <f t="shared" si="6"/>
        <v>4</v>
      </c>
      <c r="E23" s="68">
        <v>7</v>
      </c>
      <c r="F23" s="68">
        <f t="shared" si="5"/>
        <v>20</v>
      </c>
      <c r="G23" s="69">
        <v>1700541</v>
      </c>
      <c r="H23" s="69"/>
      <c r="I23" s="71" t="s">
        <v>38</v>
      </c>
      <c r="J23" s="69">
        <f t="shared" si="0"/>
        <v>-1</v>
      </c>
      <c r="K23" s="69" t="s">
        <v>32</v>
      </c>
      <c r="L23" s="69" t="s">
        <v>42</v>
      </c>
      <c r="M23" s="69" t="s">
        <v>86</v>
      </c>
      <c r="N23" s="69">
        <v>17</v>
      </c>
      <c r="O23" s="69">
        <v>35</v>
      </c>
      <c r="P23" s="69">
        <v>103</v>
      </c>
      <c r="Q23" s="70"/>
      <c r="S23" s="68" t="s">
        <v>106</v>
      </c>
      <c r="V23" s="71"/>
      <c r="W23" s="71">
        <v>0.13</v>
      </c>
      <c r="X23" s="70"/>
      <c r="Y23" s="71"/>
      <c r="Z23" s="71"/>
      <c r="AA23" s="68">
        <v>10000</v>
      </c>
      <c r="AB23" s="68">
        <v>0.15</v>
      </c>
      <c r="AC23" s="68">
        <v>1500</v>
      </c>
      <c r="AD23" s="68">
        <v>1</v>
      </c>
      <c r="AE23" s="69">
        <v>32</v>
      </c>
      <c r="AF23" s="71">
        <v>0.56000000000000005</v>
      </c>
      <c r="AG23" s="70">
        <v>4</v>
      </c>
      <c r="AH23" s="70">
        <v>0.67910000000000004</v>
      </c>
      <c r="AI23" s="70">
        <v>0.22839999999999999</v>
      </c>
      <c r="AJ23" s="69">
        <v>500</v>
      </c>
      <c r="AK23" s="69">
        <v>17</v>
      </c>
      <c r="AL23" s="68">
        <v>20</v>
      </c>
      <c r="AM23" s="69">
        <v>203</v>
      </c>
      <c r="AN23" s="69" t="s">
        <v>250</v>
      </c>
      <c r="AO23" s="71">
        <v>0.31</v>
      </c>
      <c r="AP23" s="71">
        <v>1.5</v>
      </c>
      <c r="AQ23" s="71">
        <v>1.05</v>
      </c>
      <c r="AR23" s="72" t="s">
        <v>208</v>
      </c>
    </row>
    <row r="24" spans="1:53" x14ac:dyDescent="0.25">
      <c r="A24" s="61" t="s">
        <v>547</v>
      </c>
      <c r="B24" s="61">
        <f t="shared" si="4"/>
        <v>2</v>
      </c>
      <c r="C24" s="61">
        <v>17</v>
      </c>
      <c r="D24" s="61">
        <f>D23+1</f>
        <v>5</v>
      </c>
      <c r="E24" s="61">
        <v>1</v>
      </c>
      <c r="F24" s="61">
        <f t="shared" si="5"/>
        <v>21</v>
      </c>
      <c r="G24" s="75">
        <v>1409502</v>
      </c>
      <c r="I24" s="65" t="s">
        <v>16</v>
      </c>
      <c r="J24" s="75">
        <f t="shared" si="0"/>
        <v>0</v>
      </c>
      <c r="K24" s="75" t="s">
        <v>33</v>
      </c>
      <c r="L24" s="75" t="s">
        <v>9</v>
      </c>
      <c r="M24" s="75" t="s">
        <v>86</v>
      </c>
      <c r="N24" s="75">
        <v>155</v>
      </c>
      <c r="O24" s="75">
        <v>515</v>
      </c>
      <c r="P24" s="75">
        <v>1115</v>
      </c>
      <c r="S24" s="61" t="s">
        <v>106</v>
      </c>
      <c r="V24" s="65"/>
      <c r="W24" s="65">
        <v>0.13</v>
      </c>
      <c r="Y24" s="65"/>
      <c r="Z24" s="65"/>
      <c r="AA24" s="61">
        <v>10000</v>
      </c>
      <c r="AB24" s="61">
        <v>0.15</v>
      </c>
      <c r="AC24" s="61">
        <v>1500</v>
      </c>
      <c r="AD24" s="61">
        <v>1</v>
      </c>
      <c r="AE24" s="75">
        <v>32</v>
      </c>
      <c r="AF24" s="65">
        <v>0.56000000000000005</v>
      </c>
      <c r="AG24" s="79">
        <v>4</v>
      </c>
      <c r="AH24" s="79">
        <v>0.56440000000000001</v>
      </c>
      <c r="AI24" s="79">
        <v>0.24690000000000001</v>
      </c>
      <c r="AJ24" s="75">
        <v>500</v>
      </c>
      <c r="AK24" s="75">
        <v>17</v>
      </c>
      <c r="AL24" s="61">
        <v>20</v>
      </c>
      <c r="AM24" s="75">
        <v>85</v>
      </c>
      <c r="AN24" s="75" t="s">
        <v>250</v>
      </c>
      <c r="AO24" s="65">
        <v>0.37</v>
      </c>
      <c r="AP24" s="65">
        <v>1.38</v>
      </c>
      <c r="AQ24" s="65">
        <v>1.05</v>
      </c>
    </row>
    <row r="25" spans="1:53" x14ac:dyDescent="0.25">
      <c r="A25" s="61" t="s">
        <v>547</v>
      </c>
      <c r="B25" s="61">
        <f t="shared" si="4"/>
        <v>2</v>
      </c>
      <c r="C25" s="61">
        <v>17</v>
      </c>
      <c r="D25" s="61">
        <f>D24</f>
        <v>5</v>
      </c>
      <c r="E25" s="61">
        <f>E24+1</f>
        <v>2</v>
      </c>
      <c r="F25" s="61">
        <f t="shared" si="5"/>
        <v>22</v>
      </c>
      <c r="G25" s="75">
        <v>1700557</v>
      </c>
      <c r="I25" s="65" t="s">
        <v>43</v>
      </c>
      <c r="J25" s="75">
        <f t="shared" si="0"/>
        <v>-1</v>
      </c>
      <c r="K25" s="75" t="s">
        <v>32</v>
      </c>
      <c r="L25" s="75" t="s">
        <v>67</v>
      </c>
      <c r="M25" s="75" t="s">
        <v>86</v>
      </c>
      <c r="N25" s="75">
        <v>0</v>
      </c>
      <c r="O25" s="75">
        <v>33</v>
      </c>
      <c r="P25" s="75">
        <v>21</v>
      </c>
      <c r="S25" s="61" t="s">
        <v>106</v>
      </c>
      <c r="V25" s="65"/>
      <c r="W25" s="65">
        <v>0.13</v>
      </c>
      <c r="Y25" s="65"/>
      <c r="Z25" s="65"/>
      <c r="AA25" s="61">
        <v>10000</v>
      </c>
      <c r="AB25" s="61">
        <v>0.15</v>
      </c>
      <c r="AC25" s="61">
        <v>1500</v>
      </c>
      <c r="AD25" s="61">
        <v>1</v>
      </c>
      <c r="AE25" s="75">
        <v>32</v>
      </c>
      <c r="AF25" s="65">
        <v>0.56000000000000005</v>
      </c>
      <c r="AG25" s="79">
        <v>4</v>
      </c>
      <c r="AH25" s="79">
        <v>0.56440000000000001</v>
      </c>
      <c r="AI25" s="79">
        <v>0.24690000000000001</v>
      </c>
      <c r="AJ25" s="75">
        <v>500</v>
      </c>
      <c r="AK25" s="75">
        <v>17</v>
      </c>
      <c r="AL25" s="61">
        <v>20</v>
      </c>
      <c r="AM25" s="75">
        <v>85</v>
      </c>
      <c r="AN25" s="75" t="s">
        <v>250</v>
      </c>
      <c r="AO25" s="65">
        <v>0.37</v>
      </c>
      <c r="AP25" s="65">
        <v>1.38</v>
      </c>
      <c r="AQ25" s="65">
        <v>1.05</v>
      </c>
      <c r="AR25" s="61" t="s">
        <v>208</v>
      </c>
    </row>
    <row r="26" spans="1:53" x14ac:dyDescent="0.25">
      <c r="A26" s="61" t="s">
        <v>547</v>
      </c>
      <c r="B26" s="61">
        <f t="shared" si="4"/>
        <v>2</v>
      </c>
      <c r="C26" s="61">
        <v>17</v>
      </c>
      <c r="D26" s="61">
        <f>D25</f>
        <v>5</v>
      </c>
      <c r="E26" s="61">
        <f>E25+1</f>
        <v>3</v>
      </c>
      <c r="F26" s="61">
        <f t="shared" si="5"/>
        <v>23</v>
      </c>
      <c r="G26" s="75">
        <v>1709502</v>
      </c>
      <c r="H26" s="75">
        <v>1024</v>
      </c>
      <c r="I26" s="65" t="s">
        <v>44</v>
      </c>
      <c r="J26" s="75">
        <f t="shared" si="0"/>
        <v>1</v>
      </c>
      <c r="K26" s="75" t="s">
        <v>31</v>
      </c>
      <c r="L26" s="65" t="s">
        <v>45</v>
      </c>
      <c r="M26" s="65" t="s">
        <v>86</v>
      </c>
      <c r="N26" s="75">
        <v>4</v>
      </c>
      <c r="O26" s="75">
        <v>12</v>
      </c>
      <c r="P26" s="75">
        <v>36</v>
      </c>
      <c r="S26" s="61" t="s">
        <v>106</v>
      </c>
      <c r="V26" s="65"/>
      <c r="W26" s="65">
        <v>0.13</v>
      </c>
      <c r="Y26" s="65"/>
      <c r="Z26" s="65"/>
      <c r="AA26" s="61">
        <v>10000</v>
      </c>
      <c r="AB26" s="61">
        <v>0.15</v>
      </c>
      <c r="AC26" s="61">
        <v>1500</v>
      </c>
      <c r="AD26" s="61">
        <v>1</v>
      </c>
      <c r="AE26" s="75">
        <v>32</v>
      </c>
      <c r="AF26" s="65">
        <v>0.56000000000000005</v>
      </c>
      <c r="AG26" s="79">
        <v>4</v>
      </c>
      <c r="AH26" s="79">
        <v>0.56440000000000001</v>
      </c>
      <c r="AI26" s="79">
        <v>0.24690000000000001</v>
      </c>
      <c r="AJ26" s="75">
        <v>500</v>
      </c>
      <c r="AK26" s="75">
        <v>17</v>
      </c>
      <c r="AL26" s="61">
        <v>20</v>
      </c>
      <c r="AM26" s="75">
        <v>85</v>
      </c>
      <c r="AN26" s="75" t="s">
        <v>250</v>
      </c>
      <c r="AO26" s="65">
        <v>0.37</v>
      </c>
      <c r="AP26" s="65">
        <v>1.38</v>
      </c>
      <c r="AQ26" s="65">
        <v>1.05</v>
      </c>
      <c r="AR26" s="80" t="s">
        <v>210</v>
      </c>
      <c r="BA26" s="61" t="str">
        <f>ROUND(2.5*5280/3/60/60,1) &amp;"hr maybe stub"</f>
        <v>1.2hr maybe stub</v>
      </c>
    </row>
    <row r="27" spans="1:53" s="68" customFormat="1" x14ac:dyDescent="0.25">
      <c r="A27" s="68" t="s">
        <v>547</v>
      </c>
      <c r="B27" s="68">
        <f t="shared" si="4"/>
        <v>2</v>
      </c>
      <c r="C27" s="68">
        <v>17</v>
      </c>
      <c r="D27" s="68">
        <f>D26</f>
        <v>5</v>
      </c>
      <c r="E27" s="68">
        <f>E26+1</f>
        <v>4</v>
      </c>
      <c r="F27" s="68">
        <f t="shared" si="5"/>
        <v>24</v>
      </c>
      <c r="G27" s="69">
        <v>1700552</v>
      </c>
      <c r="H27" s="69"/>
      <c r="I27" s="71" t="s">
        <v>20</v>
      </c>
      <c r="J27" s="69">
        <f t="shared" si="0"/>
        <v>-1</v>
      </c>
      <c r="K27" s="69" t="s">
        <v>32</v>
      </c>
      <c r="L27" s="69" t="s">
        <v>68</v>
      </c>
      <c r="M27" s="69" t="s">
        <v>87</v>
      </c>
      <c r="N27" s="69">
        <v>132</v>
      </c>
      <c r="O27" s="69">
        <v>151</v>
      </c>
      <c r="P27" s="69">
        <v>272</v>
      </c>
      <c r="Q27" s="70"/>
      <c r="S27" s="68" t="s">
        <v>106</v>
      </c>
      <c r="V27" s="71"/>
      <c r="W27" s="71">
        <v>0.13</v>
      </c>
      <c r="X27" s="70"/>
      <c r="Y27" s="71"/>
      <c r="Z27" s="71"/>
      <c r="AA27" s="68">
        <v>10000</v>
      </c>
      <c r="AB27" s="68">
        <v>0.15</v>
      </c>
      <c r="AC27" s="68">
        <v>1500</v>
      </c>
      <c r="AD27" s="68">
        <v>1</v>
      </c>
      <c r="AE27" s="69">
        <v>32</v>
      </c>
      <c r="AF27" s="71">
        <v>0.56000000000000005</v>
      </c>
      <c r="AG27" s="70">
        <v>4</v>
      </c>
      <c r="AH27" s="70">
        <v>0.56440000000000001</v>
      </c>
      <c r="AI27" s="70">
        <v>0.24690000000000001</v>
      </c>
      <c r="AJ27" s="69">
        <v>500</v>
      </c>
      <c r="AK27" s="69">
        <v>17</v>
      </c>
      <c r="AL27" s="68">
        <v>20</v>
      </c>
      <c r="AM27" s="69">
        <v>85</v>
      </c>
      <c r="AN27" s="69" t="s">
        <v>250</v>
      </c>
      <c r="AO27" s="71">
        <v>0.37</v>
      </c>
      <c r="AP27" s="71">
        <v>1.38</v>
      </c>
      <c r="AQ27" s="71">
        <v>1.05</v>
      </c>
      <c r="AR27" s="72" t="s">
        <v>208</v>
      </c>
    </row>
    <row r="28" spans="1:53" x14ac:dyDescent="0.25">
      <c r="A28" s="61" t="s">
        <v>547</v>
      </c>
      <c r="B28" s="61">
        <f t="shared" si="4"/>
        <v>2</v>
      </c>
      <c r="C28" s="61">
        <v>17</v>
      </c>
      <c r="D28" s="61">
        <f>D27+1</f>
        <v>6</v>
      </c>
      <c r="E28" s="61">
        <v>1</v>
      </c>
      <c r="F28" s="61">
        <f t="shared" si="5"/>
        <v>25</v>
      </c>
      <c r="G28" s="75">
        <v>1709503</v>
      </c>
      <c r="I28" s="65" t="s">
        <v>17</v>
      </c>
      <c r="J28" s="75">
        <f t="shared" si="0"/>
        <v>0</v>
      </c>
      <c r="K28" s="75" t="s">
        <v>33</v>
      </c>
      <c r="L28" s="75" t="s">
        <v>10</v>
      </c>
      <c r="M28" s="75" t="s">
        <v>86</v>
      </c>
      <c r="N28" s="75">
        <v>101</v>
      </c>
      <c r="O28" s="75">
        <v>424</v>
      </c>
      <c r="P28" s="75">
        <v>943</v>
      </c>
      <c r="S28" s="61" t="s">
        <v>106</v>
      </c>
      <c r="V28" s="65"/>
      <c r="W28" s="65">
        <v>0.13</v>
      </c>
      <c r="Y28" s="65"/>
      <c r="Z28" s="65"/>
      <c r="AA28" s="61">
        <v>10000</v>
      </c>
      <c r="AB28" s="61">
        <v>0.15</v>
      </c>
      <c r="AC28" s="61">
        <v>2500</v>
      </c>
      <c r="AD28" s="61">
        <v>1</v>
      </c>
      <c r="AE28" s="75">
        <v>32</v>
      </c>
      <c r="AF28" s="65">
        <v>0.56000000000000005</v>
      </c>
      <c r="AG28" s="79">
        <v>4</v>
      </c>
      <c r="AH28" s="79">
        <v>0.70189999999999997</v>
      </c>
      <c r="AI28" s="79">
        <v>0.2102</v>
      </c>
      <c r="AJ28" s="75">
        <v>500</v>
      </c>
      <c r="AK28" s="75">
        <v>17</v>
      </c>
      <c r="AL28" s="61">
        <v>20</v>
      </c>
      <c r="AM28" s="75">
        <v>17</v>
      </c>
      <c r="AN28" s="75" t="s">
        <v>250</v>
      </c>
      <c r="AO28" s="65">
        <v>0.44</v>
      </c>
      <c r="AP28" s="65">
        <v>1.18</v>
      </c>
      <c r="AQ28" s="65">
        <v>1.05</v>
      </c>
    </row>
    <row r="29" spans="1:53" x14ac:dyDescent="0.25">
      <c r="A29" s="61" t="s">
        <v>547</v>
      </c>
      <c r="B29" s="61">
        <f t="shared" si="4"/>
        <v>2</v>
      </c>
      <c r="C29" s="61">
        <v>17</v>
      </c>
      <c r="D29" s="61">
        <f>D28</f>
        <v>6</v>
      </c>
      <c r="E29" s="61">
        <f>E28+1</f>
        <v>2</v>
      </c>
      <c r="F29" s="61">
        <f t="shared" si="5"/>
        <v>26</v>
      </c>
      <c r="G29" s="75">
        <v>1700554</v>
      </c>
      <c r="I29" s="65" t="s">
        <v>46</v>
      </c>
      <c r="J29" s="75">
        <f t="shared" si="0"/>
        <v>-1</v>
      </c>
      <c r="K29" s="75" t="s">
        <v>32</v>
      </c>
      <c r="L29" s="75" t="s">
        <v>50</v>
      </c>
      <c r="M29" s="75" t="s">
        <v>86</v>
      </c>
      <c r="N29" s="75">
        <v>0</v>
      </c>
      <c r="O29" s="75">
        <v>145</v>
      </c>
      <c r="P29" s="75">
        <v>155</v>
      </c>
      <c r="S29" s="61" t="s">
        <v>106</v>
      </c>
      <c r="V29" s="65"/>
      <c r="W29" s="65">
        <v>0.13</v>
      </c>
      <c r="Y29" s="65"/>
      <c r="Z29" s="65"/>
      <c r="AA29" s="61">
        <v>10000</v>
      </c>
      <c r="AB29" s="61">
        <v>0.15</v>
      </c>
      <c r="AC29" s="61">
        <v>2500</v>
      </c>
      <c r="AD29" s="61">
        <v>1</v>
      </c>
      <c r="AE29" s="75">
        <v>32</v>
      </c>
      <c r="AF29" s="65">
        <v>0.56000000000000005</v>
      </c>
      <c r="AG29" s="79">
        <v>4</v>
      </c>
      <c r="AH29" s="79">
        <v>0.70189999999999997</v>
      </c>
      <c r="AI29" s="79">
        <v>0.2102</v>
      </c>
      <c r="AJ29" s="75">
        <v>500</v>
      </c>
      <c r="AK29" s="75">
        <v>17</v>
      </c>
      <c r="AL29" s="61">
        <v>20</v>
      </c>
      <c r="AM29" s="75">
        <v>17</v>
      </c>
      <c r="AN29" s="75" t="s">
        <v>250</v>
      </c>
      <c r="AO29" s="65">
        <v>0.44</v>
      </c>
      <c r="AP29" s="65">
        <v>1.18</v>
      </c>
      <c r="AQ29" s="65">
        <v>1.05</v>
      </c>
      <c r="AR29" s="80" t="s">
        <v>208</v>
      </c>
    </row>
    <row r="30" spans="1:53" x14ac:dyDescent="0.25">
      <c r="A30" s="61" t="s">
        <v>547</v>
      </c>
      <c r="B30" s="61">
        <f t="shared" si="4"/>
        <v>2</v>
      </c>
      <c r="C30" s="61">
        <v>17</v>
      </c>
      <c r="D30" s="61">
        <f>D29</f>
        <v>6</v>
      </c>
      <c r="E30" s="61">
        <f>E29+1</f>
        <v>3</v>
      </c>
      <c r="F30" s="61">
        <f t="shared" si="5"/>
        <v>27</v>
      </c>
      <c r="G30" s="75">
        <v>1700558</v>
      </c>
      <c r="I30" s="65" t="s">
        <v>47</v>
      </c>
      <c r="J30" s="75">
        <f t="shared" si="0"/>
        <v>-1</v>
      </c>
      <c r="K30" s="65" t="s">
        <v>32</v>
      </c>
      <c r="L30" s="75" t="s">
        <v>51</v>
      </c>
      <c r="M30" s="75" t="s">
        <v>88</v>
      </c>
      <c r="N30" s="75">
        <v>83</v>
      </c>
      <c r="O30" s="75">
        <v>45</v>
      </c>
      <c r="P30" s="75">
        <v>103</v>
      </c>
      <c r="S30" s="61" t="s">
        <v>106</v>
      </c>
      <c r="V30" s="65"/>
      <c r="W30" s="65">
        <v>0.13</v>
      </c>
      <c r="Y30" s="65"/>
      <c r="Z30" s="65"/>
      <c r="AA30" s="61">
        <v>10000</v>
      </c>
      <c r="AB30" s="61">
        <v>0.15</v>
      </c>
      <c r="AC30" s="61">
        <v>2500</v>
      </c>
      <c r="AD30" s="61">
        <v>1</v>
      </c>
      <c r="AE30" s="75">
        <v>32</v>
      </c>
      <c r="AF30" s="65">
        <v>0.56000000000000005</v>
      </c>
      <c r="AG30" s="79">
        <v>4</v>
      </c>
      <c r="AH30" s="79">
        <v>0.70189999999999997</v>
      </c>
      <c r="AI30" s="79">
        <v>0.2102</v>
      </c>
      <c r="AJ30" s="75">
        <v>500</v>
      </c>
      <c r="AK30" s="75">
        <v>17</v>
      </c>
      <c r="AL30" s="61">
        <v>20</v>
      </c>
      <c r="AM30" s="75">
        <v>17</v>
      </c>
      <c r="AN30" s="75" t="s">
        <v>250</v>
      </c>
      <c r="AO30" s="65">
        <v>0.44</v>
      </c>
      <c r="AP30" s="65">
        <v>1.18</v>
      </c>
      <c r="AQ30" s="65">
        <v>1.05</v>
      </c>
      <c r="AR30" s="80" t="s">
        <v>208</v>
      </c>
    </row>
    <row r="31" spans="1:53" x14ac:dyDescent="0.25">
      <c r="A31" s="61" t="s">
        <v>547</v>
      </c>
      <c r="B31" s="61">
        <f t="shared" si="4"/>
        <v>2</v>
      </c>
      <c r="C31" s="61">
        <v>17</v>
      </c>
      <c r="D31" s="61">
        <f>D30</f>
        <v>6</v>
      </c>
      <c r="E31" s="61">
        <f>E30+1</f>
        <v>4</v>
      </c>
      <c r="F31" s="61">
        <f t="shared" si="5"/>
        <v>28</v>
      </c>
      <c r="G31" s="75">
        <v>1700648</v>
      </c>
      <c r="I31" s="65" t="s">
        <v>48</v>
      </c>
      <c r="J31" s="75">
        <f t="shared" si="0"/>
        <v>-1</v>
      </c>
      <c r="K31" s="65" t="s">
        <v>32</v>
      </c>
      <c r="L31" s="75" t="s">
        <v>52</v>
      </c>
      <c r="M31" s="75" t="s">
        <v>86</v>
      </c>
      <c r="N31" s="75">
        <v>0</v>
      </c>
      <c r="O31" s="75">
        <v>233</v>
      </c>
      <c r="P31" s="75">
        <v>0</v>
      </c>
      <c r="S31" s="61" t="s">
        <v>106</v>
      </c>
      <c r="V31" s="65"/>
      <c r="W31" s="65">
        <v>0.13</v>
      </c>
      <c r="Y31" s="65"/>
      <c r="Z31" s="65"/>
      <c r="AA31" s="61">
        <v>10000</v>
      </c>
      <c r="AB31" s="61">
        <v>0.15</v>
      </c>
      <c r="AC31" s="61">
        <v>2500</v>
      </c>
      <c r="AD31" s="61">
        <v>1</v>
      </c>
      <c r="AE31" s="75">
        <v>32</v>
      </c>
      <c r="AF31" s="65">
        <v>0.56000000000000005</v>
      </c>
      <c r="AG31" s="79">
        <v>4</v>
      </c>
      <c r="AH31" s="79">
        <v>0.70189999999999997</v>
      </c>
      <c r="AI31" s="79">
        <v>0.2102</v>
      </c>
      <c r="AJ31" s="75">
        <v>500</v>
      </c>
      <c r="AK31" s="75">
        <v>17</v>
      </c>
      <c r="AL31" s="61">
        <v>20</v>
      </c>
      <c r="AM31" s="75">
        <v>17</v>
      </c>
      <c r="AN31" s="75" t="s">
        <v>250</v>
      </c>
      <c r="AO31" s="65">
        <v>0.44</v>
      </c>
      <c r="AP31" s="65">
        <v>1.18</v>
      </c>
      <c r="AQ31" s="65">
        <v>1.05</v>
      </c>
      <c r="AR31" s="80" t="s">
        <v>208</v>
      </c>
    </row>
    <row r="32" spans="1:53" x14ac:dyDescent="0.25">
      <c r="A32" s="61" t="s">
        <v>547</v>
      </c>
      <c r="B32" s="61">
        <f t="shared" si="4"/>
        <v>2</v>
      </c>
      <c r="C32" s="61">
        <v>17</v>
      </c>
      <c r="D32" s="61">
        <f>D31</f>
        <v>6</v>
      </c>
      <c r="E32" s="61">
        <f>E31+1</f>
        <v>5</v>
      </c>
      <c r="F32" s="61">
        <f t="shared" si="5"/>
        <v>29</v>
      </c>
      <c r="G32" s="75">
        <v>1700668</v>
      </c>
      <c r="H32" s="75">
        <v>6386</v>
      </c>
      <c r="I32" s="65" t="s">
        <v>21</v>
      </c>
      <c r="J32" s="75">
        <f t="shared" si="0"/>
        <v>1</v>
      </c>
      <c r="K32" s="65" t="s">
        <v>31</v>
      </c>
      <c r="L32" s="75" t="s">
        <v>53</v>
      </c>
      <c r="M32" s="75" t="s">
        <v>87</v>
      </c>
      <c r="N32" s="75">
        <v>24</v>
      </c>
      <c r="O32" s="75">
        <v>26</v>
      </c>
      <c r="P32" s="75">
        <v>31</v>
      </c>
      <c r="S32" s="61" t="s">
        <v>106</v>
      </c>
      <c r="V32" s="65"/>
      <c r="W32" s="65">
        <v>0.13</v>
      </c>
      <c r="Y32" s="65"/>
      <c r="Z32" s="65"/>
      <c r="AA32" s="61">
        <v>10000</v>
      </c>
      <c r="AB32" s="61">
        <v>0.15</v>
      </c>
      <c r="AC32" s="61">
        <v>2500</v>
      </c>
      <c r="AD32" s="61">
        <v>1</v>
      </c>
      <c r="AE32" s="75">
        <v>32</v>
      </c>
      <c r="AF32" s="65">
        <v>0.56000000000000005</v>
      </c>
      <c r="AG32" s="79">
        <v>4</v>
      </c>
      <c r="AH32" s="79">
        <v>0.70189999999999997</v>
      </c>
      <c r="AI32" s="79">
        <v>0.2102</v>
      </c>
      <c r="AJ32" s="75">
        <v>500</v>
      </c>
      <c r="AK32" s="75">
        <v>17</v>
      </c>
      <c r="AL32" s="61">
        <v>20</v>
      </c>
      <c r="AM32" s="75">
        <v>17</v>
      </c>
      <c r="AN32" s="75" t="s">
        <v>250</v>
      </c>
      <c r="AO32" s="65">
        <v>0.44</v>
      </c>
      <c r="AP32" s="65">
        <v>1.18</v>
      </c>
      <c r="AQ32" s="65">
        <v>1.05</v>
      </c>
      <c r="AR32" s="80" t="s">
        <v>213</v>
      </c>
      <c r="BA32" s="61" t="s">
        <v>217</v>
      </c>
    </row>
    <row r="33" spans="1:53" s="68" customFormat="1" x14ac:dyDescent="0.25">
      <c r="A33" s="68" t="s">
        <v>547</v>
      </c>
      <c r="B33" s="68">
        <f t="shared" si="4"/>
        <v>2</v>
      </c>
      <c r="C33" s="68">
        <v>17</v>
      </c>
      <c r="D33" s="68">
        <f>D32</f>
        <v>6</v>
      </c>
      <c r="E33" s="68">
        <f>E32+1</f>
        <v>6</v>
      </c>
      <c r="F33" s="68">
        <f t="shared" si="5"/>
        <v>30</v>
      </c>
      <c r="G33" s="69">
        <v>1703525</v>
      </c>
      <c r="H33" s="69">
        <v>6387</v>
      </c>
      <c r="I33" s="71" t="s">
        <v>66</v>
      </c>
      <c r="J33" s="69">
        <f t="shared" si="0"/>
        <v>1</v>
      </c>
      <c r="K33" s="71" t="s">
        <v>31</v>
      </c>
      <c r="L33" s="69" t="s">
        <v>49</v>
      </c>
      <c r="M33" s="69" t="s">
        <v>86</v>
      </c>
      <c r="N33" s="69">
        <v>72</v>
      </c>
      <c r="O33" s="69">
        <v>36</v>
      </c>
      <c r="P33" s="69">
        <v>47</v>
      </c>
      <c r="Q33" s="70">
        <v>1</v>
      </c>
      <c r="S33" s="68" t="s">
        <v>106</v>
      </c>
      <c r="V33" s="71"/>
      <c r="W33" s="71">
        <v>0.13</v>
      </c>
      <c r="X33" s="70"/>
      <c r="Y33" s="71"/>
      <c r="Z33" s="71"/>
      <c r="AA33" s="68">
        <v>10000</v>
      </c>
      <c r="AB33" s="68">
        <v>0.15</v>
      </c>
      <c r="AC33" s="68">
        <v>2500</v>
      </c>
      <c r="AD33" s="68">
        <v>1</v>
      </c>
      <c r="AE33" s="69">
        <v>32</v>
      </c>
      <c r="AF33" s="71">
        <v>0.56000000000000005</v>
      </c>
      <c r="AG33" s="70">
        <v>4</v>
      </c>
      <c r="AH33" s="70">
        <v>0.70189999999999997</v>
      </c>
      <c r="AI33" s="70">
        <v>0.2102</v>
      </c>
      <c r="AJ33" s="69">
        <v>500</v>
      </c>
      <c r="AK33" s="69">
        <v>17</v>
      </c>
      <c r="AL33" s="68">
        <v>20</v>
      </c>
      <c r="AM33" s="69">
        <v>17</v>
      </c>
      <c r="AN33" s="69" t="s">
        <v>250</v>
      </c>
      <c r="AO33" s="71">
        <v>0.44</v>
      </c>
      <c r="AP33" s="71">
        <v>1.18</v>
      </c>
      <c r="AQ33" s="71">
        <v>1.05</v>
      </c>
      <c r="AR33" s="72" t="s">
        <v>215</v>
      </c>
    </row>
    <row r="34" spans="1:53" x14ac:dyDescent="0.25">
      <c r="A34" s="61" t="s">
        <v>547</v>
      </c>
      <c r="B34" s="61">
        <f t="shared" si="4"/>
        <v>2</v>
      </c>
      <c r="C34" s="61">
        <v>17</v>
      </c>
      <c r="D34" s="61">
        <f>D33+1</f>
        <v>7</v>
      </c>
      <c r="E34" s="61">
        <v>1</v>
      </c>
      <c r="F34" s="61">
        <f t="shared" si="5"/>
        <v>31</v>
      </c>
      <c r="G34" s="75">
        <v>1709507</v>
      </c>
      <c r="I34" s="61" t="s">
        <v>54</v>
      </c>
      <c r="J34" s="75">
        <f t="shared" si="0"/>
        <v>0</v>
      </c>
      <c r="K34" s="75" t="s">
        <v>33</v>
      </c>
      <c r="L34" s="75" t="s">
        <v>11</v>
      </c>
      <c r="M34" s="75" t="s">
        <v>86</v>
      </c>
      <c r="N34" s="75">
        <v>107</v>
      </c>
      <c r="O34" s="75">
        <v>346</v>
      </c>
      <c r="P34" s="75">
        <v>780</v>
      </c>
      <c r="S34" s="61" t="s">
        <v>106</v>
      </c>
      <c r="V34" s="65"/>
      <c r="W34" s="65">
        <v>0.13</v>
      </c>
      <c r="Y34" s="65"/>
      <c r="Z34" s="65"/>
      <c r="AA34" s="61">
        <v>10000</v>
      </c>
      <c r="AB34" s="61">
        <v>0.15</v>
      </c>
      <c r="AC34" s="61">
        <v>2500</v>
      </c>
      <c r="AD34" s="61">
        <v>1</v>
      </c>
      <c r="AE34" s="75">
        <v>32</v>
      </c>
      <c r="AF34" s="65">
        <v>0.56000000000000005</v>
      </c>
      <c r="AG34" s="79">
        <v>3.5</v>
      </c>
      <c r="AH34" s="79">
        <v>0.49640000000000001</v>
      </c>
      <c r="AI34" s="79">
        <v>0.2626</v>
      </c>
      <c r="AJ34" s="75">
        <v>500</v>
      </c>
      <c r="AK34" s="75">
        <v>17</v>
      </c>
      <c r="AL34" s="61">
        <v>20</v>
      </c>
      <c r="AM34" s="75">
        <v>56</v>
      </c>
      <c r="AN34" s="75" t="s">
        <v>250</v>
      </c>
      <c r="AO34" s="65">
        <v>0.49</v>
      </c>
      <c r="AP34" s="65">
        <v>0.96</v>
      </c>
      <c r="AQ34" s="65">
        <v>1.04</v>
      </c>
    </row>
    <row r="35" spans="1:53" x14ac:dyDescent="0.25">
      <c r="A35" s="61" t="s">
        <v>547</v>
      </c>
      <c r="B35" s="61">
        <f t="shared" si="4"/>
        <v>2</v>
      </c>
      <c r="C35" s="61">
        <v>17</v>
      </c>
      <c r="D35" s="61">
        <f>D34</f>
        <v>7</v>
      </c>
      <c r="E35" s="61">
        <f>E34+1</f>
        <v>2</v>
      </c>
      <c r="F35" s="61">
        <f t="shared" si="5"/>
        <v>32</v>
      </c>
      <c r="G35" s="119">
        <v>1729075</v>
      </c>
      <c r="H35" s="75">
        <v>1007</v>
      </c>
      <c r="I35" s="61" t="s">
        <v>55</v>
      </c>
      <c r="J35" s="75">
        <f t="shared" si="0"/>
        <v>1</v>
      </c>
      <c r="K35" s="75" t="s">
        <v>31</v>
      </c>
      <c r="L35" s="75"/>
      <c r="M35" s="75"/>
      <c r="N35" s="75">
        <v>21</v>
      </c>
      <c r="O35" s="75">
        <v>48</v>
      </c>
      <c r="P35" s="75">
        <v>79</v>
      </c>
      <c r="S35" s="61" t="s">
        <v>106</v>
      </c>
      <c r="V35" s="65"/>
      <c r="W35" s="65">
        <v>0.13</v>
      </c>
      <c r="Y35" s="65"/>
      <c r="Z35" s="65"/>
      <c r="AA35" s="61">
        <v>10000</v>
      </c>
      <c r="AB35" s="61">
        <v>0.15</v>
      </c>
      <c r="AC35" s="61">
        <v>2500</v>
      </c>
      <c r="AD35" s="61">
        <v>1</v>
      </c>
      <c r="AE35" s="75">
        <v>32</v>
      </c>
      <c r="AF35" s="65">
        <v>0.56000000000000005</v>
      </c>
      <c r="AG35" s="79">
        <v>3.5</v>
      </c>
      <c r="AH35" s="79">
        <v>0.49640000000000001</v>
      </c>
      <c r="AI35" s="79">
        <v>0.2626</v>
      </c>
      <c r="AJ35" s="75">
        <v>500</v>
      </c>
      <c r="AK35" s="75">
        <v>17</v>
      </c>
      <c r="AL35" s="61">
        <v>20</v>
      </c>
      <c r="AM35" s="75">
        <v>56</v>
      </c>
      <c r="AN35" s="75" t="s">
        <v>250</v>
      </c>
      <c r="AO35" s="65">
        <v>0.49</v>
      </c>
      <c r="AP35" s="65">
        <v>0.96</v>
      </c>
      <c r="AQ35" s="65">
        <v>1.04</v>
      </c>
      <c r="AR35" s="80" t="s">
        <v>199</v>
      </c>
    </row>
    <row r="36" spans="1:53" x14ac:dyDescent="0.25">
      <c r="A36" s="61" t="s">
        <v>547</v>
      </c>
      <c r="B36" s="61">
        <f t="shared" si="4"/>
        <v>2</v>
      </c>
      <c r="C36" s="61">
        <v>17</v>
      </c>
      <c r="D36" s="61">
        <f>D35</f>
        <v>7</v>
      </c>
      <c r="E36" s="61">
        <f>E35+1</f>
        <v>3</v>
      </c>
      <c r="F36" s="61">
        <f t="shared" si="5"/>
        <v>33</v>
      </c>
      <c r="G36" s="75">
        <v>1703511</v>
      </c>
      <c r="H36" s="75">
        <v>6388</v>
      </c>
      <c r="I36" s="65" t="s">
        <v>97</v>
      </c>
      <c r="J36" s="75">
        <f t="shared" si="0"/>
        <v>1</v>
      </c>
      <c r="K36" s="75" t="s">
        <v>31</v>
      </c>
      <c r="L36" s="75" t="s">
        <v>98</v>
      </c>
      <c r="M36" s="75" t="s">
        <v>86</v>
      </c>
      <c r="N36" s="75">
        <v>0</v>
      </c>
      <c r="O36" s="75">
        <v>0</v>
      </c>
      <c r="P36" s="75">
        <v>0</v>
      </c>
      <c r="Q36" s="79">
        <v>1</v>
      </c>
      <c r="S36" s="61" t="s">
        <v>106</v>
      </c>
      <c r="V36" s="65"/>
      <c r="W36" s="65">
        <v>0.13</v>
      </c>
      <c r="Y36" s="65"/>
      <c r="Z36" s="65"/>
      <c r="AA36" s="61">
        <v>10000</v>
      </c>
      <c r="AB36" s="61">
        <v>0.15</v>
      </c>
      <c r="AC36" s="61">
        <v>2500</v>
      </c>
      <c r="AD36" s="61">
        <v>1</v>
      </c>
      <c r="AE36" s="75">
        <v>32</v>
      </c>
      <c r="AF36" s="65">
        <v>0.56000000000000005</v>
      </c>
      <c r="AG36" s="79">
        <v>3.5</v>
      </c>
      <c r="AH36" s="79">
        <v>0.49640000000000001</v>
      </c>
      <c r="AI36" s="79">
        <v>0.2626</v>
      </c>
      <c r="AJ36" s="75">
        <v>500</v>
      </c>
      <c r="AK36" s="75">
        <v>17</v>
      </c>
      <c r="AL36" s="61">
        <v>20</v>
      </c>
      <c r="AM36" s="75">
        <v>56</v>
      </c>
      <c r="AN36" s="75" t="s">
        <v>250</v>
      </c>
      <c r="AO36" s="65">
        <v>0.49</v>
      </c>
      <c r="AP36" s="65">
        <v>0.96</v>
      </c>
      <c r="AQ36" s="65">
        <v>1.04</v>
      </c>
      <c r="AR36" s="80" t="s">
        <v>216</v>
      </c>
    </row>
    <row r="37" spans="1:53" x14ac:dyDescent="0.25">
      <c r="A37" s="61" t="s">
        <v>547</v>
      </c>
      <c r="B37" s="61">
        <f t="shared" si="4"/>
        <v>2</v>
      </c>
      <c r="C37" s="61">
        <v>17</v>
      </c>
      <c r="D37" s="61">
        <f>D36</f>
        <v>7</v>
      </c>
      <c r="E37" s="61">
        <f>E36+1</f>
        <v>4</v>
      </c>
      <c r="F37" s="61">
        <f t="shared" si="5"/>
        <v>34</v>
      </c>
      <c r="G37" s="75">
        <v>1700553</v>
      </c>
      <c r="I37" s="65" t="s">
        <v>56</v>
      </c>
      <c r="J37" s="75">
        <f t="shared" si="0"/>
        <v>-1</v>
      </c>
      <c r="K37" s="75" t="s">
        <v>32</v>
      </c>
      <c r="L37" s="75" t="s">
        <v>58</v>
      </c>
      <c r="M37" s="75" t="s">
        <v>86</v>
      </c>
      <c r="N37" s="75">
        <v>152</v>
      </c>
      <c r="O37" s="75">
        <v>313</v>
      </c>
      <c r="P37" s="75">
        <v>552</v>
      </c>
      <c r="S37" s="61" t="s">
        <v>106</v>
      </c>
      <c r="V37" s="65"/>
      <c r="W37" s="65">
        <v>0.13</v>
      </c>
      <c r="Y37" s="65"/>
      <c r="Z37" s="65"/>
      <c r="AA37" s="61">
        <v>10000</v>
      </c>
      <c r="AB37" s="61">
        <v>0.15</v>
      </c>
      <c r="AC37" s="61">
        <v>2500</v>
      </c>
      <c r="AD37" s="61">
        <v>1</v>
      </c>
      <c r="AE37" s="75">
        <v>32</v>
      </c>
      <c r="AF37" s="65">
        <v>0.56000000000000005</v>
      </c>
      <c r="AG37" s="79">
        <v>3.5</v>
      </c>
      <c r="AH37" s="79">
        <v>0.49640000000000001</v>
      </c>
      <c r="AI37" s="79">
        <v>0.2626</v>
      </c>
      <c r="AJ37" s="75">
        <v>500</v>
      </c>
      <c r="AK37" s="75">
        <v>17</v>
      </c>
      <c r="AL37" s="61">
        <v>20</v>
      </c>
      <c r="AM37" s="75">
        <v>56</v>
      </c>
      <c r="AN37" s="75" t="s">
        <v>250</v>
      </c>
      <c r="AO37" s="65">
        <v>0.49</v>
      </c>
      <c r="AP37" s="65">
        <v>0.96</v>
      </c>
      <c r="AQ37" s="65">
        <v>1.04</v>
      </c>
      <c r="AR37" s="80" t="s">
        <v>208</v>
      </c>
    </row>
    <row r="38" spans="1:53" s="68" customFormat="1" x14ac:dyDescent="0.25">
      <c r="A38" s="68" t="s">
        <v>547</v>
      </c>
      <c r="B38" s="68">
        <f t="shared" si="4"/>
        <v>2</v>
      </c>
      <c r="C38" s="68">
        <v>17</v>
      </c>
      <c r="D38" s="68">
        <f>D37</f>
        <v>7</v>
      </c>
      <c r="E38" s="68">
        <f>E37+1</f>
        <v>5</v>
      </c>
      <c r="F38" s="68">
        <f t="shared" si="5"/>
        <v>35</v>
      </c>
      <c r="G38" s="160">
        <v>1729077</v>
      </c>
      <c r="H38" s="69">
        <v>1005</v>
      </c>
      <c r="I38" s="71" t="s">
        <v>100</v>
      </c>
      <c r="J38" s="69">
        <f t="shared" si="0"/>
        <v>1</v>
      </c>
      <c r="K38" s="71" t="s">
        <v>31</v>
      </c>
      <c r="L38" s="69"/>
      <c r="M38" s="69"/>
      <c r="N38" s="69">
        <v>4</v>
      </c>
      <c r="O38" s="69">
        <v>10</v>
      </c>
      <c r="P38" s="69">
        <v>32</v>
      </c>
      <c r="Q38" s="70"/>
      <c r="S38" s="68" t="s">
        <v>106</v>
      </c>
      <c r="V38" s="71"/>
      <c r="W38" s="71">
        <v>0.13</v>
      </c>
      <c r="X38" s="70"/>
      <c r="Y38" s="71"/>
      <c r="Z38" s="71"/>
      <c r="AA38" s="68">
        <v>10000</v>
      </c>
      <c r="AB38" s="68">
        <v>0.15</v>
      </c>
      <c r="AC38" s="68">
        <v>2500</v>
      </c>
      <c r="AD38" s="68">
        <v>1</v>
      </c>
      <c r="AE38" s="69">
        <v>32</v>
      </c>
      <c r="AF38" s="71">
        <v>0.56000000000000005</v>
      </c>
      <c r="AG38" s="70">
        <v>3.5</v>
      </c>
      <c r="AH38" s="70">
        <v>0.49640000000000001</v>
      </c>
      <c r="AI38" s="70">
        <v>0.2626</v>
      </c>
      <c r="AJ38" s="69">
        <v>500</v>
      </c>
      <c r="AK38" s="69">
        <v>17</v>
      </c>
      <c r="AL38" s="68">
        <v>20</v>
      </c>
      <c r="AM38" s="69">
        <v>56</v>
      </c>
      <c r="AN38" s="69" t="s">
        <v>250</v>
      </c>
      <c r="AO38" s="71">
        <v>0.49</v>
      </c>
      <c r="AP38" s="71">
        <v>0.96</v>
      </c>
      <c r="AQ38" s="71">
        <v>1.04</v>
      </c>
      <c r="AR38" s="72" t="s">
        <v>200</v>
      </c>
    </row>
    <row r="39" spans="1:53" x14ac:dyDescent="0.25">
      <c r="A39" s="61" t="s">
        <v>547</v>
      </c>
      <c r="B39" s="61">
        <f t="shared" si="4"/>
        <v>2</v>
      </c>
      <c r="C39" s="61">
        <v>17</v>
      </c>
      <c r="D39" s="61">
        <f>D38+1</f>
        <v>8</v>
      </c>
      <c r="E39" s="61">
        <v>1</v>
      </c>
      <c r="F39" s="61">
        <f t="shared" si="5"/>
        <v>36</v>
      </c>
      <c r="G39" s="75">
        <v>1709504</v>
      </c>
      <c r="I39" s="65" t="s">
        <v>18</v>
      </c>
      <c r="J39" s="75">
        <f t="shared" si="0"/>
        <v>0</v>
      </c>
      <c r="K39" s="75" t="s">
        <v>33</v>
      </c>
      <c r="L39" s="75" t="s">
        <v>12</v>
      </c>
      <c r="M39" s="75" t="s">
        <v>86</v>
      </c>
      <c r="N39" s="75">
        <v>12</v>
      </c>
      <c r="O39" s="75">
        <v>165</v>
      </c>
      <c r="P39" s="75">
        <v>395</v>
      </c>
      <c r="S39" s="61" t="s">
        <v>106</v>
      </c>
      <c r="V39" s="65"/>
      <c r="W39" s="65">
        <v>0.15</v>
      </c>
      <c r="Y39" s="65"/>
      <c r="Z39" s="65"/>
      <c r="AA39" s="61">
        <v>10000</v>
      </c>
      <c r="AB39" s="61">
        <v>0.15</v>
      </c>
      <c r="AC39" s="61">
        <v>3000</v>
      </c>
      <c r="AD39" s="61">
        <v>1</v>
      </c>
      <c r="AE39" s="75">
        <v>32</v>
      </c>
      <c r="AF39" s="65">
        <v>0.56000000000000005</v>
      </c>
      <c r="AG39" s="79">
        <v>3</v>
      </c>
      <c r="AH39" s="79">
        <v>1.1425000000000001</v>
      </c>
      <c r="AI39" s="79">
        <v>0.14080000000000001</v>
      </c>
      <c r="AJ39" s="75">
        <v>500</v>
      </c>
      <c r="AK39" s="75">
        <v>17</v>
      </c>
      <c r="AL39" s="61">
        <v>30</v>
      </c>
      <c r="AM39" s="75">
        <v>116</v>
      </c>
      <c r="AN39" s="75" t="s">
        <v>250</v>
      </c>
      <c r="AO39" s="65">
        <v>0.41</v>
      </c>
      <c r="AP39" s="65">
        <v>1.06</v>
      </c>
      <c r="AQ39" s="65">
        <v>1.02</v>
      </c>
    </row>
    <row r="40" spans="1:53" x14ac:dyDescent="0.25">
      <c r="A40" s="61" t="s">
        <v>547</v>
      </c>
      <c r="B40" s="61">
        <f t="shared" si="4"/>
        <v>2</v>
      </c>
      <c r="C40" s="61">
        <v>17</v>
      </c>
      <c r="D40" s="61">
        <f>D39</f>
        <v>8</v>
      </c>
      <c r="E40" s="61">
        <v>2</v>
      </c>
      <c r="F40" s="61">
        <f t="shared" si="5"/>
        <v>37</v>
      </c>
      <c r="G40" s="75">
        <v>1720017</v>
      </c>
      <c r="H40" s="75">
        <v>913</v>
      </c>
      <c r="I40" s="65" t="s">
        <v>59</v>
      </c>
      <c r="J40" s="75">
        <f t="shared" si="0"/>
        <v>1</v>
      </c>
      <c r="K40" s="75" t="s">
        <v>31</v>
      </c>
      <c r="L40" s="75"/>
      <c r="M40" s="75"/>
      <c r="N40" s="75">
        <v>5</v>
      </c>
      <c r="O40" s="75">
        <v>5</v>
      </c>
      <c r="P40" s="75">
        <v>5</v>
      </c>
      <c r="S40" s="61" t="s">
        <v>106</v>
      </c>
      <c r="V40" s="65"/>
      <c r="W40" s="65">
        <v>0.15</v>
      </c>
      <c r="Y40" s="65"/>
      <c r="Z40" s="65"/>
      <c r="AA40" s="61">
        <v>10000</v>
      </c>
      <c r="AB40" s="61">
        <v>0.15</v>
      </c>
      <c r="AC40" s="61">
        <v>3000</v>
      </c>
      <c r="AD40" s="61">
        <v>1</v>
      </c>
      <c r="AE40" s="75">
        <v>32</v>
      </c>
      <c r="AF40" s="65">
        <v>0.56000000000000005</v>
      </c>
      <c r="AG40" s="79">
        <v>3</v>
      </c>
      <c r="AH40" s="79">
        <v>1.1425000000000001</v>
      </c>
      <c r="AI40" s="79">
        <v>0.14080000000000001</v>
      </c>
      <c r="AJ40" s="75">
        <v>500</v>
      </c>
      <c r="AK40" s="75">
        <v>17</v>
      </c>
      <c r="AL40" s="61">
        <v>40</v>
      </c>
      <c r="AM40" s="75">
        <v>116</v>
      </c>
      <c r="AN40" s="75" t="s">
        <v>250</v>
      </c>
      <c r="AO40" s="65">
        <v>0.41</v>
      </c>
      <c r="AP40" s="65">
        <v>1.06</v>
      </c>
      <c r="AQ40" s="65">
        <v>1.02</v>
      </c>
      <c r="AR40" s="80" t="s">
        <v>218</v>
      </c>
    </row>
    <row r="41" spans="1:53" x14ac:dyDescent="0.25">
      <c r="A41" s="61" t="s">
        <v>547</v>
      </c>
      <c r="B41" s="61">
        <f t="shared" si="4"/>
        <v>2</v>
      </c>
      <c r="C41" s="61">
        <v>17</v>
      </c>
      <c r="D41" s="61">
        <f>D40</f>
        <v>8</v>
      </c>
      <c r="E41" s="61">
        <v>3</v>
      </c>
      <c r="F41" s="61">
        <f t="shared" si="5"/>
        <v>38</v>
      </c>
      <c r="G41" s="75">
        <v>1701002</v>
      </c>
      <c r="H41" s="75">
        <v>6395</v>
      </c>
      <c r="I41" s="116" t="s">
        <v>536</v>
      </c>
      <c r="J41" s="75">
        <f t="shared" si="0"/>
        <v>1</v>
      </c>
      <c r="K41" s="75" t="s">
        <v>31</v>
      </c>
      <c r="L41" s="75" t="s">
        <v>535</v>
      </c>
      <c r="M41" s="75" t="s">
        <v>86</v>
      </c>
      <c r="N41" s="61">
        <v>0</v>
      </c>
      <c r="O41" s="61">
        <v>0</v>
      </c>
      <c r="P41" s="61">
        <v>0</v>
      </c>
      <c r="Q41" s="79">
        <v>1</v>
      </c>
      <c r="S41" s="61" t="s">
        <v>106</v>
      </c>
      <c r="V41" s="65"/>
      <c r="W41" s="65">
        <v>0.15</v>
      </c>
      <c r="X41" s="79">
        <v>0.95</v>
      </c>
      <c r="Y41" s="65">
        <v>0.2</v>
      </c>
      <c r="Z41" s="65"/>
      <c r="AA41" s="61">
        <v>10000</v>
      </c>
      <c r="AB41" s="61">
        <v>0.15</v>
      </c>
      <c r="AC41" s="61">
        <v>3000</v>
      </c>
      <c r="AD41" s="61">
        <v>1</v>
      </c>
      <c r="AE41" s="75">
        <v>32</v>
      </c>
      <c r="AF41" s="65">
        <v>0.56000000000000005</v>
      </c>
      <c r="AG41" s="79">
        <v>3</v>
      </c>
      <c r="AH41" s="79">
        <v>1.1425000000000001</v>
      </c>
      <c r="AI41" s="79">
        <v>0.14080000000000001</v>
      </c>
      <c r="AJ41" s="75">
        <v>500</v>
      </c>
      <c r="AK41" s="75">
        <v>17</v>
      </c>
      <c r="AL41" s="61">
        <v>40</v>
      </c>
      <c r="AM41" s="75">
        <v>116</v>
      </c>
      <c r="AN41" s="75" t="s">
        <v>250</v>
      </c>
      <c r="AO41" s="65">
        <v>0.41</v>
      </c>
      <c r="AP41" s="65">
        <v>1.06</v>
      </c>
      <c r="AQ41" s="65">
        <v>1.02</v>
      </c>
      <c r="AR41" s="80" t="s">
        <v>532</v>
      </c>
    </row>
    <row r="42" spans="1:53" x14ac:dyDescent="0.25">
      <c r="A42" s="61" t="s">
        <v>547</v>
      </c>
      <c r="B42" s="61">
        <f t="shared" si="4"/>
        <v>2</v>
      </c>
      <c r="C42" s="61">
        <v>17</v>
      </c>
      <c r="D42" s="61">
        <f>D41</f>
        <v>8</v>
      </c>
      <c r="E42" s="61">
        <v>4</v>
      </c>
      <c r="F42" s="61">
        <f t="shared" si="5"/>
        <v>39</v>
      </c>
      <c r="G42" s="75">
        <v>1700556</v>
      </c>
      <c r="I42" s="65" t="s">
        <v>60</v>
      </c>
      <c r="J42" s="75">
        <f t="shared" si="0"/>
        <v>-1</v>
      </c>
      <c r="K42" s="65" t="s">
        <v>32</v>
      </c>
      <c r="L42" s="75" t="s">
        <v>62</v>
      </c>
      <c r="M42" s="75" t="s">
        <v>86</v>
      </c>
      <c r="N42" s="75">
        <v>27</v>
      </c>
      <c r="O42" s="75">
        <v>53</v>
      </c>
      <c r="P42" s="75">
        <v>29</v>
      </c>
      <c r="S42" s="61" t="s">
        <v>106</v>
      </c>
      <c r="V42" s="65"/>
      <c r="W42" s="65">
        <v>0.15</v>
      </c>
      <c r="Y42" s="65"/>
      <c r="Z42" s="65"/>
      <c r="AA42" s="61">
        <v>10000</v>
      </c>
      <c r="AB42" s="61">
        <v>0.15</v>
      </c>
      <c r="AC42" s="61">
        <v>3000</v>
      </c>
      <c r="AD42" s="61">
        <v>1</v>
      </c>
      <c r="AE42" s="75">
        <v>32</v>
      </c>
      <c r="AF42" s="65">
        <v>0.56000000000000005</v>
      </c>
      <c r="AG42" s="79">
        <v>3</v>
      </c>
      <c r="AH42" s="79">
        <v>1.1425000000000001</v>
      </c>
      <c r="AI42" s="79">
        <v>0.14080000000000001</v>
      </c>
      <c r="AJ42" s="75">
        <v>500</v>
      </c>
      <c r="AK42" s="75">
        <v>17</v>
      </c>
      <c r="AL42" s="61">
        <v>30</v>
      </c>
      <c r="AM42" s="75">
        <v>116</v>
      </c>
      <c r="AN42" s="75" t="s">
        <v>250</v>
      </c>
      <c r="AO42" s="65">
        <v>0.41</v>
      </c>
      <c r="AP42" s="65">
        <v>1.06</v>
      </c>
      <c r="AQ42" s="65">
        <v>1.02</v>
      </c>
      <c r="AR42" s="80" t="s">
        <v>208</v>
      </c>
    </row>
    <row r="43" spans="1:53" s="68" customFormat="1" x14ac:dyDescent="0.25">
      <c r="A43" s="68" t="s">
        <v>547</v>
      </c>
      <c r="B43" s="68">
        <f t="shared" si="4"/>
        <v>2</v>
      </c>
      <c r="C43" s="68">
        <v>17</v>
      </c>
      <c r="D43" s="68">
        <f>D42</f>
        <v>8</v>
      </c>
      <c r="E43" s="68">
        <v>5</v>
      </c>
      <c r="F43" s="68">
        <f t="shared" si="5"/>
        <v>40</v>
      </c>
      <c r="G43" s="160">
        <v>1729091</v>
      </c>
      <c r="H43" s="69">
        <v>1010</v>
      </c>
      <c r="I43" s="71" t="s">
        <v>61</v>
      </c>
      <c r="J43" s="69">
        <f t="shared" si="0"/>
        <v>1</v>
      </c>
      <c r="K43" s="69" t="s">
        <v>31</v>
      </c>
      <c r="L43" s="69"/>
      <c r="M43" s="69"/>
      <c r="N43" s="69">
        <v>7</v>
      </c>
      <c r="O43" s="69">
        <v>7</v>
      </c>
      <c r="P43" s="69">
        <v>7</v>
      </c>
      <c r="Q43" s="70"/>
      <c r="S43" s="68" t="s">
        <v>106</v>
      </c>
      <c r="V43" s="71"/>
      <c r="W43" s="71">
        <v>0.15</v>
      </c>
      <c r="X43" s="70"/>
      <c r="Y43" s="71"/>
      <c r="Z43" s="71"/>
      <c r="AA43" s="68">
        <v>10000</v>
      </c>
      <c r="AB43" s="68">
        <v>0.15</v>
      </c>
      <c r="AC43" s="68">
        <v>3000</v>
      </c>
      <c r="AD43" s="68">
        <v>1</v>
      </c>
      <c r="AE43" s="69">
        <v>32</v>
      </c>
      <c r="AF43" s="71">
        <v>0.56000000000000005</v>
      </c>
      <c r="AG43" s="70">
        <v>3</v>
      </c>
      <c r="AH43" s="70">
        <v>1.1425000000000001</v>
      </c>
      <c r="AI43" s="70">
        <v>0.14080000000000001</v>
      </c>
      <c r="AJ43" s="69">
        <v>500</v>
      </c>
      <c r="AK43" s="69">
        <v>17</v>
      </c>
      <c r="AL43" s="68">
        <v>25</v>
      </c>
      <c r="AM43" s="69">
        <v>116</v>
      </c>
      <c r="AN43" s="69" t="s">
        <v>250</v>
      </c>
      <c r="AO43" s="71">
        <v>0.41</v>
      </c>
      <c r="AP43" s="71">
        <v>1.06</v>
      </c>
      <c r="AQ43" s="71">
        <v>1.02</v>
      </c>
      <c r="AR43" s="72" t="s">
        <v>219</v>
      </c>
    </row>
    <row r="44" spans="1:53" x14ac:dyDescent="0.25">
      <c r="A44" s="61" t="s">
        <v>547</v>
      </c>
      <c r="B44" s="61">
        <f t="shared" si="4"/>
        <v>2</v>
      </c>
      <c r="C44" s="61">
        <v>17</v>
      </c>
      <c r="D44" s="61">
        <f>D43+1</f>
        <v>9</v>
      </c>
      <c r="E44" s="61">
        <v>1</v>
      </c>
      <c r="F44" s="61">
        <f t="shared" si="5"/>
        <v>41</v>
      </c>
      <c r="G44" s="75">
        <v>1709505</v>
      </c>
      <c r="I44" s="65" t="s">
        <v>19</v>
      </c>
      <c r="J44" s="75">
        <f t="shared" si="0"/>
        <v>0</v>
      </c>
      <c r="K44" s="75" t="s">
        <v>33</v>
      </c>
      <c r="L44" s="75" t="s">
        <v>13</v>
      </c>
      <c r="M44" s="75" t="s">
        <v>86</v>
      </c>
      <c r="N44" s="75">
        <v>25</v>
      </c>
      <c r="O44" s="75">
        <v>166</v>
      </c>
      <c r="P44" s="75">
        <v>494</v>
      </c>
      <c r="S44" s="61" t="s">
        <v>106</v>
      </c>
      <c r="V44" s="65"/>
      <c r="W44" s="65">
        <v>0.15</v>
      </c>
      <c r="Y44" s="65"/>
      <c r="Z44" s="65"/>
      <c r="AA44" s="61">
        <v>10000</v>
      </c>
      <c r="AB44" s="61">
        <v>0.15</v>
      </c>
      <c r="AC44" s="61">
        <v>3000</v>
      </c>
      <c r="AD44" s="61">
        <v>1</v>
      </c>
      <c r="AE44" s="75">
        <v>32</v>
      </c>
      <c r="AF44" s="65">
        <v>0.56000000000000005</v>
      </c>
      <c r="AG44" s="79">
        <v>3</v>
      </c>
      <c r="AH44" s="79">
        <v>1.1425000000000001</v>
      </c>
      <c r="AI44" s="79">
        <v>0.14080000000000001</v>
      </c>
      <c r="AJ44" s="75">
        <v>500</v>
      </c>
      <c r="AK44" s="75">
        <v>17</v>
      </c>
      <c r="AL44" s="61">
        <v>25</v>
      </c>
      <c r="AM44" s="75">
        <f>AM43</f>
        <v>116</v>
      </c>
      <c r="AN44" s="75" t="s">
        <v>250</v>
      </c>
      <c r="AO44" s="65">
        <v>0.41</v>
      </c>
      <c r="AP44" s="65">
        <v>1.06</v>
      </c>
      <c r="AQ44" s="65">
        <v>1.01</v>
      </c>
    </row>
    <row r="45" spans="1:53" x14ac:dyDescent="0.25">
      <c r="A45" s="61" t="s">
        <v>547</v>
      </c>
      <c r="B45" s="61">
        <f>B43</f>
        <v>2</v>
      </c>
      <c r="C45" s="61">
        <v>17</v>
      </c>
      <c r="D45" s="61">
        <f>D44</f>
        <v>9</v>
      </c>
      <c r="E45" s="61">
        <v>2</v>
      </c>
      <c r="F45" s="61">
        <f t="shared" si="5"/>
        <v>42</v>
      </c>
      <c r="G45" s="61">
        <v>1720000</v>
      </c>
      <c r="H45" s="75">
        <v>1011</v>
      </c>
      <c r="I45" s="65" t="s">
        <v>64</v>
      </c>
      <c r="J45" s="75">
        <f t="shared" si="0"/>
        <v>1</v>
      </c>
      <c r="K45" s="75" t="s">
        <v>31</v>
      </c>
      <c r="L45" s="75"/>
      <c r="M45" s="75"/>
      <c r="N45" s="75">
        <v>6</v>
      </c>
      <c r="O45" s="75">
        <v>51</v>
      </c>
      <c r="P45" s="75">
        <v>148</v>
      </c>
      <c r="S45" s="61" t="s">
        <v>106</v>
      </c>
      <c r="V45" s="65"/>
      <c r="W45" s="65">
        <v>0.15</v>
      </c>
      <c r="Y45" s="65"/>
      <c r="Z45" s="65"/>
      <c r="AA45" s="61">
        <v>10000</v>
      </c>
      <c r="AB45" s="61">
        <v>0.15</v>
      </c>
      <c r="AC45" s="61">
        <v>3000</v>
      </c>
      <c r="AD45" s="61">
        <v>1</v>
      </c>
      <c r="AE45" s="75">
        <v>32</v>
      </c>
      <c r="AF45" s="65">
        <v>0.56000000000000005</v>
      </c>
      <c r="AG45" s="79">
        <v>3</v>
      </c>
      <c r="AH45" s="79">
        <v>1.1425000000000001</v>
      </c>
      <c r="AI45" s="79">
        <v>0.14080000000000001</v>
      </c>
      <c r="AJ45" s="75">
        <v>500</v>
      </c>
      <c r="AK45" s="75">
        <v>17</v>
      </c>
      <c r="AL45" s="61">
        <v>25</v>
      </c>
      <c r="AM45" s="75">
        <f>AM44</f>
        <v>116</v>
      </c>
      <c r="AN45" s="75" t="s">
        <v>250</v>
      </c>
      <c r="AO45" s="65">
        <v>0.41</v>
      </c>
      <c r="AP45" s="65">
        <v>1.06</v>
      </c>
      <c r="AQ45" s="65">
        <v>1.01</v>
      </c>
      <c r="AR45" s="80" t="s">
        <v>579</v>
      </c>
      <c r="AS45" s="75">
        <v>1709518</v>
      </c>
      <c r="AT45" s="75" t="s">
        <v>70</v>
      </c>
      <c r="AU45" s="75" t="s">
        <v>86</v>
      </c>
      <c r="BA45" s="61" t="s">
        <v>221</v>
      </c>
    </row>
    <row r="46" spans="1:53" x14ac:dyDescent="0.25">
      <c r="A46" s="61" t="s">
        <v>547</v>
      </c>
      <c r="B46" s="61">
        <f>B44</f>
        <v>2</v>
      </c>
      <c r="C46" s="61">
        <v>17</v>
      </c>
      <c r="D46" s="61">
        <f>D45</f>
        <v>9</v>
      </c>
      <c r="E46" s="61">
        <v>3</v>
      </c>
      <c r="F46" s="61">
        <f t="shared" si="5"/>
        <v>43</v>
      </c>
      <c r="G46" s="119">
        <v>1729101</v>
      </c>
      <c r="H46" s="75">
        <v>1013</v>
      </c>
      <c r="I46" s="65" t="s">
        <v>247</v>
      </c>
      <c r="J46" s="75">
        <f t="shared" si="0"/>
        <v>1</v>
      </c>
      <c r="K46" s="75" t="s">
        <v>31</v>
      </c>
      <c r="L46" s="75"/>
      <c r="M46" s="75"/>
      <c r="N46" s="75">
        <v>1</v>
      </c>
      <c r="O46" s="75">
        <v>2</v>
      </c>
      <c r="P46" s="75">
        <v>3</v>
      </c>
      <c r="S46" s="61" t="s">
        <v>106</v>
      </c>
      <c r="V46" s="65"/>
      <c r="W46" s="65">
        <v>0</v>
      </c>
      <c r="Y46" s="65"/>
      <c r="Z46" s="65"/>
      <c r="AA46" s="61">
        <v>10000</v>
      </c>
      <c r="AB46" s="61">
        <v>0.15</v>
      </c>
      <c r="AC46" s="61">
        <v>3000</v>
      </c>
      <c r="AD46" s="61">
        <v>1</v>
      </c>
      <c r="AE46" s="75">
        <v>32</v>
      </c>
      <c r="AF46" s="65">
        <v>0.56000000000000005</v>
      </c>
      <c r="AG46" s="79">
        <v>3</v>
      </c>
      <c r="AH46" s="79">
        <v>1.1425000000000001</v>
      </c>
      <c r="AI46" s="79">
        <v>0.14080000000000001</v>
      </c>
      <c r="AJ46" s="75">
        <v>500</v>
      </c>
      <c r="AK46" s="75">
        <v>17</v>
      </c>
      <c r="AL46" s="61">
        <v>25</v>
      </c>
      <c r="AM46" s="75">
        <v>0</v>
      </c>
      <c r="AN46" s="75" t="s">
        <v>251</v>
      </c>
      <c r="AO46" s="65">
        <v>0.41</v>
      </c>
      <c r="AP46" s="65">
        <v>1.06</v>
      </c>
      <c r="AQ46" s="65">
        <v>0</v>
      </c>
    </row>
    <row r="47" spans="1:53" x14ac:dyDescent="0.25">
      <c r="A47" s="61" t="s">
        <v>547</v>
      </c>
      <c r="B47" s="61">
        <f>B45</f>
        <v>2</v>
      </c>
      <c r="C47" s="61">
        <v>17</v>
      </c>
      <c r="D47" s="61">
        <f>D46</f>
        <v>9</v>
      </c>
      <c r="E47" s="61">
        <v>4</v>
      </c>
      <c r="F47" s="61">
        <f t="shared" si="5"/>
        <v>44</v>
      </c>
      <c r="G47" s="75">
        <v>6701005</v>
      </c>
      <c r="H47" s="75">
        <v>1017</v>
      </c>
      <c r="I47" s="65" t="s">
        <v>274</v>
      </c>
      <c r="J47" s="75">
        <f t="shared" si="0"/>
        <v>1</v>
      </c>
      <c r="K47" s="75" t="s">
        <v>31</v>
      </c>
      <c r="L47" s="81" t="s">
        <v>276</v>
      </c>
      <c r="M47" s="81" t="s">
        <v>86</v>
      </c>
      <c r="N47" s="75">
        <v>1</v>
      </c>
      <c r="O47" s="75">
        <v>2</v>
      </c>
      <c r="P47" s="75">
        <v>3</v>
      </c>
      <c r="Q47" s="75">
        <v>1</v>
      </c>
      <c r="S47" s="61" t="s">
        <v>106</v>
      </c>
      <c r="V47" s="65"/>
      <c r="W47" s="65">
        <v>0</v>
      </c>
      <c r="X47" s="79">
        <v>0.52400000000000002</v>
      </c>
      <c r="Y47" s="65">
        <f>Z47</f>
        <v>0.2</v>
      </c>
      <c r="Z47" s="65">
        <v>0.2</v>
      </c>
      <c r="AA47" s="61">
        <v>10000</v>
      </c>
      <c r="AB47" s="61">
        <v>0.15</v>
      </c>
      <c r="AC47" s="61">
        <v>3000</v>
      </c>
      <c r="AD47" s="61">
        <v>1</v>
      </c>
      <c r="AE47" s="75">
        <v>32</v>
      </c>
      <c r="AF47" s="65">
        <v>0.56000000000000005</v>
      </c>
      <c r="AG47" s="79">
        <v>3</v>
      </c>
      <c r="AH47" s="79">
        <v>1.1425000000000001</v>
      </c>
      <c r="AI47" s="79">
        <v>0.14080000000000001</v>
      </c>
      <c r="AJ47" s="75">
        <v>500</v>
      </c>
      <c r="AK47" s="75">
        <v>17</v>
      </c>
      <c r="AL47" s="61">
        <v>25</v>
      </c>
      <c r="AM47" s="75">
        <v>0</v>
      </c>
      <c r="AN47" s="75" t="s">
        <v>251</v>
      </c>
      <c r="AO47" s="65">
        <v>0.41</v>
      </c>
      <c r="AP47" s="65">
        <v>1.06</v>
      </c>
      <c r="AQ47" s="65">
        <v>0</v>
      </c>
    </row>
    <row r="48" spans="1:53" s="83" customFormat="1" ht="15.75" thickBot="1" x14ac:dyDescent="0.3">
      <c r="A48" s="83" t="s">
        <v>547</v>
      </c>
      <c r="G48" s="81">
        <v>6703512</v>
      </c>
      <c r="H48" s="81"/>
      <c r="I48" s="82" t="s">
        <v>160</v>
      </c>
      <c r="J48" s="81"/>
      <c r="K48" s="81"/>
      <c r="L48" s="81"/>
      <c r="M48" s="81"/>
      <c r="N48" s="81"/>
      <c r="O48" s="81"/>
      <c r="P48" s="81"/>
      <c r="Q48" s="84"/>
      <c r="S48" s="85" t="s">
        <v>106</v>
      </c>
      <c r="V48" s="82"/>
      <c r="W48" s="82"/>
      <c r="X48" s="84"/>
      <c r="Y48" s="82"/>
      <c r="Z48" s="82"/>
      <c r="AE48" s="81"/>
      <c r="AF48" s="82"/>
      <c r="AG48" s="84"/>
      <c r="AH48" s="84"/>
      <c r="AI48" s="84"/>
      <c r="AJ48" s="81"/>
      <c r="AK48" s="81"/>
      <c r="AM48" s="81"/>
      <c r="AN48" s="81"/>
      <c r="AO48" s="82"/>
      <c r="AP48" s="82"/>
      <c r="AQ48" s="82"/>
      <c r="AR48" s="86"/>
    </row>
    <row r="49" spans="1:44" s="87" customFormat="1" x14ac:dyDescent="0.25">
      <c r="A49" s="87" t="s">
        <v>55</v>
      </c>
      <c r="B49" s="87">
        <v>2</v>
      </c>
      <c r="C49" s="87">
        <v>171</v>
      </c>
      <c r="D49" s="87">
        <v>1</v>
      </c>
      <c r="E49" s="87">
        <v>1</v>
      </c>
      <c r="F49" s="87">
        <v>1</v>
      </c>
      <c r="G49" s="88">
        <v>1700800</v>
      </c>
      <c r="H49" s="88"/>
      <c r="I49" s="89" t="s">
        <v>192</v>
      </c>
      <c r="J49" s="88">
        <f>IF(K49="Inflow",1,IF(K49="Outflow",-1,IF(K49="Gage",0,IF(K49="Top",0,""))))</f>
        <v>0</v>
      </c>
      <c r="K49" s="88" t="s">
        <v>233</v>
      </c>
      <c r="L49" s="88" t="s">
        <v>195</v>
      </c>
      <c r="M49" s="88" t="s">
        <v>86</v>
      </c>
      <c r="N49" s="88">
        <v>1</v>
      </c>
      <c r="O49" s="88">
        <v>2</v>
      </c>
      <c r="P49" s="88">
        <v>3</v>
      </c>
      <c r="Q49" s="90">
        <v>1</v>
      </c>
      <c r="S49" s="91" t="s">
        <v>191</v>
      </c>
      <c r="V49" s="89"/>
      <c r="W49" s="89">
        <f>Z$51/SUM(Z$49:Z$50)</f>
        <v>0.11686583276296579</v>
      </c>
      <c r="X49" s="90"/>
      <c r="Y49" s="89"/>
      <c r="Z49" s="89">
        <v>7.8058523097390298</v>
      </c>
      <c r="AA49" s="87">
        <v>10000</v>
      </c>
      <c r="AB49" s="87">
        <v>0.15</v>
      </c>
      <c r="AC49" s="87">
        <v>2500</v>
      </c>
      <c r="AD49" s="87">
        <v>1</v>
      </c>
      <c r="AE49" s="88">
        <v>32</v>
      </c>
      <c r="AF49" s="89">
        <v>0.56000000000000005</v>
      </c>
      <c r="AG49" s="90">
        <v>1</v>
      </c>
      <c r="AH49" s="90">
        <v>1.1377999999999999</v>
      </c>
      <c r="AI49" s="90">
        <v>0.1648</v>
      </c>
      <c r="AJ49" s="88">
        <v>500</v>
      </c>
      <c r="AK49" s="88">
        <v>17</v>
      </c>
      <c r="AL49" s="87">
        <v>50</v>
      </c>
      <c r="AM49" s="88">
        <v>10</v>
      </c>
      <c r="AN49" s="88" t="s">
        <v>251</v>
      </c>
      <c r="AO49" s="89">
        <v>0.2</v>
      </c>
      <c r="AP49" s="89">
        <v>1.32</v>
      </c>
      <c r="AQ49" s="89">
        <v>0</v>
      </c>
      <c r="AR49" s="92" t="s">
        <v>197</v>
      </c>
    </row>
    <row r="50" spans="1:44" s="73" customFormat="1" x14ac:dyDescent="0.25">
      <c r="A50" s="73" t="s">
        <v>55</v>
      </c>
      <c r="B50" s="73">
        <f>B49</f>
        <v>2</v>
      </c>
      <c r="C50" s="73">
        <v>171</v>
      </c>
      <c r="D50" s="73">
        <v>2</v>
      </c>
      <c r="E50" s="73">
        <v>1</v>
      </c>
      <c r="F50" s="73">
        <v>2</v>
      </c>
      <c r="G50" s="74">
        <v>1709520</v>
      </c>
      <c r="H50" s="74"/>
      <c r="I50" s="77" t="s">
        <v>193</v>
      </c>
      <c r="J50" s="74">
        <f>IF(K50="Inflow",1,IF(K50="Outflow",-1,IF(K50="Gage",0,IF(K50="Top",0,""))))</f>
        <v>0</v>
      </c>
      <c r="K50" s="74" t="s">
        <v>33</v>
      </c>
      <c r="L50" s="74" t="s">
        <v>57</v>
      </c>
      <c r="M50" s="74" t="s">
        <v>86</v>
      </c>
      <c r="N50" s="74">
        <v>21</v>
      </c>
      <c r="O50" s="74">
        <v>48</v>
      </c>
      <c r="P50" s="74">
        <v>79</v>
      </c>
      <c r="Q50" s="76"/>
      <c r="S50" s="93" t="s">
        <v>191</v>
      </c>
      <c r="V50" s="77"/>
      <c r="W50" s="77">
        <f>Z$51/SUM(Z$49:Z$50)</f>
        <v>0.11686583276296579</v>
      </c>
      <c r="X50" s="76"/>
      <c r="Y50" s="77"/>
      <c r="Z50" s="77">
        <v>2.89017381224415</v>
      </c>
      <c r="AA50" s="73">
        <v>10000</v>
      </c>
      <c r="AB50" s="73">
        <v>0.15</v>
      </c>
      <c r="AC50" s="73">
        <v>2500</v>
      </c>
      <c r="AD50" s="73">
        <v>1</v>
      </c>
      <c r="AE50" s="74">
        <v>32</v>
      </c>
      <c r="AF50" s="77">
        <v>0.56000000000000005</v>
      </c>
      <c r="AG50" s="76">
        <v>1</v>
      </c>
      <c r="AH50" s="76">
        <v>1.1377999999999999</v>
      </c>
      <c r="AI50" s="76">
        <v>0.1648</v>
      </c>
      <c r="AJ50" s="74">
        <v>500</v>
      </c>
      <c r="AK50" s="74">
        <v>17</v>
      </c>
      <c r="AL50" s="73">
        <v>50</v>
      </c>
      <c r="AM50" s="74">
        <v>10</v>
      </c>
      <c r="AN50" s="74" t="s">
        <v>251</v>
      </c>
      <c r="AO50" s="77">
        <v>0.2</v>
      </c>
      <c r="AP50" s="77">
        <v>1.32</v>
      </c>
      <c r="AQ50" s="77">
        <v>0</v>
      </c>
      <c r="AR50" s="78" t="s">
        <v>198</v>
      </c>
    </row>
    <row r="51" spans="1:44" s="83" customFormat="1" ht="15.75" thickBot="1" x14ac:dyDescent="0.3">
      <c r="A51" s="83" t="s">
        <v>55</v>
      </c>
      <c r="G51" s="117">
        <f>G35</f>
        <v>1729075</v>
      </c>
      <c r="H51" s="81">
        <v>1007</v>
      </c>
      <c r="I51" s="81" t="s">
        <v>194</v>
      </c>
      <c r="J51" s="81"/>
      <c r="K51" s="81"/>
      <c r="L51" s="81"/>
      <c r="M51" s="81"/>
      <c r="N51" s="81"/>
      <c r="O51" s="81"/>
      <c r="P51" s="81"/>
      <c r="Q51" s="84"/>
      <c r="S51" s="94" t="s">
        <v>191</v>
      </c>
      <c r="V51" s="82"/>
      <c r="W51" s="82"/>
      <c r="X51" s="84"/>
      <c r="Y51" s="82"/>
      <c r="Z51" s="82">
        <v>1.25</v>
      </c>
      <c r="AE51" s="81"/>
      <c r="AF51" s="82"/>
      <c r="AG51" s="84"/>
      <c r="AH51" s="84"/>
      <c r="AI51" s="84"/>
      <c r="AJ51" s="81"/>
      <c r="AK51" s="81"/>
      <c r="AM51" s="81"/>
      <c r="AN51" s="81"/>
      <c r="AO51" s="82"/>
      <c r="AP51" s="82"/>
      <c r="AQ51" s="82"/>
      <c r="AR51" s="86"/>
    </row>
    <row r="52" spans="1:44" s="87" customFormat="1" x14ac:dyDescent="0.25">
      <c r="A52" s="87" t="s">
        <v>100</v>
      </c>
      <c r="B52" s="87">
        <v>2</v>
      </c>
      <c r="C52" s="87">
        <v>172</v>
      </c>
      <c r="D52" s="87">
        <v>1</v>
      </c>
      <c r="E52" s="95">
        <v>1</v>
      </c>
      <c r="F52" s="87">
        <v>1</v>
      </c>
      <c r="G52" s="88">
        <v>1700801</v>
      </c>
      <c r="H52" s="88"/>
      <c r="I52" s="88" t="s">
        <v>99</v>
      </c>
      <c r="J52" s="88">
        <f>IF(K52="Inflow",1,IF(K52="Outflow",-1,IF(K52="Gage",0,IF(K52="Top",0,""))))</f>
        <v>0</v>
      </c>
      <c r="K52" s="88" t="s">
        <v>233</v>
      </c>
      <c r="L52" s="88" t="s">
        <v>103</v>
      </c>
      <c r="M52" s="88" t="s">
        <v>86</v>
      </c>
      <c r="N52" s="88">
        <v>1</v>
      </c>
      <c r="O52" s="88">
        <v>2</v>
      </c>
      <c r="P52" s="88">
        <v>3</v>
      </c>
      <c r="Q52" s="90">
        <v>1</v>
      </c>
      <c r="S52" s="87" t="s">
        <v>105</v>
      </c>
      <c r="V52" s="89"/>
      <c r="W52" s="89">
        <f>Z$55/SUM(Z$52:Z$54)</f>
        <v>0.16300081998869265</v>
      </c>
      <c r="X52" s="90"/>
      <c r="Y52" s="89"/>
      <c r="Z52" s="89">
        <v>3.6692416723169599</v>
      </c>
      <c r="AA52" s="87">
        <v>10000</v>
      </c>
      <c r="AB52" s="87">
        <v>0.15</v>
      </c>
      <c r="AC52" s="87">
        <v>2500</v>
      </c>
      <c r="AD52" s="87">
        <v>1</v>
      </c>
      <c r="AE52" s="88">
        <v>32</v>
      </c>
      <c r="AF52" s="89">
        <v>0.56000000000000005</v>
      </c>
      <c r="AG52" s="90">
        <v>1</v>
      </c>
      <c r="AH52" s="90">
        <v>1.1377999999999999</v>
      </c>
      <c r="AI52" s="90">
        <v>0.1648</v>
      </c>
      <c r="AJ52" s="88">
        <v>500</v>
      </c>
      <c r="AK52" s="88">
        <v>17</v>
      </c>
      <c r="AL52" s="87">
        <v>50</v>
      </c>
      <c r="AM52" s="88">
        <v>10</v>
      </c>
      <c r="AN52" s="88" t="s">
        <v>251</v>
      </c>
      <c r="AO52" s="89">
        <v>0.2</v>
      </c>
      <c r="AP52" s="89">
        <v>1.32</v>
      </c>
      <c r="AQ52" s="89">
        <v>0</v>
      </c>
      <c r="AR52" s="92" t="s">
        <v>202</v>
      </c>
    </row>
    <row r="53" spans="1:44" s="73" customFormat="1" x14ac:dyDescent="0.25">
      <c r="A53" s="73" t="s">
        <v>100</v>
      </c>
      <c r="B53" s="73">
        <v>2</v>
      </c>
      <c r="C53" s="73">
        <v>172</v>
      </c>
      <c r="D53" s="73">
        <v>2</v>
      </c>
      <c r="E53" s="73">
        <v>1</v>
      </c>
      <c r="F53" s="73">
        <v>2</v>
      </c>
      <c r="G53" s="74">
        <v>1709510</v>
      </c>
      <c r="H53" s="74"/>
      <c r="I53" s="77" t="s">
        <v>101</v>
      </c>
      <c r="J53" s="74">
        <f>IF(K53="Inflow",1,IF(K53="Outflow",-1,IF(K53="Gage",0,IF(K53="Top",0,""))))</f>
        <v>0</v>
      </c>
      <c r="K53" s="74" t="s">
        <v>33</v>
      </c>
      <c r="L53" s="74" t="s">
        <v>69</v>
      </c>
      <c r="M53" s="74" t="s">
        <v>86</v>
      </c>
      <c r="N53" s="74">
        <v>4</v>
      </c>
      <c r="O53" s="74">
        <v>10</v>
      </c>
      <c r="P53" s="74">
        <v>32</v>
      </c>
      <c r="Q53" s="76"/>
      <c r="S53" s="93" t="s">
        <v>105</v>
      </c>
      <c r="V53" s="77"/>
      <c r="W53" s="77">
        <f>Z$55/SUM(Z$52:Z$54)</f>
        <v>0.16300081998869265</v>
      </c>
      <c r="X53" s="76"/>
      <c r="Y53" s="77"/>
      <c r="Z53" s="77">
        <v>0.88951852368734896</v>
      </c>
      <c r="AA53" s="73">
        <v>10000</v>
      </c>
      <c r="AB53" s="73">
        <v>0.15</v>
      </c>
      <c r="AC53" s="73">
        <v>2500</v>
      </c>
      <c r="AD53" s="73">
        <v>1</v>
      </c>
      <c r="AE53" s="74">
        <v>32</v>
      </c>
      <c r="AF53" s="77">
        <v>0.56000000000000005</v>
      </c>
      <c r="AG53" s="76">
        <v>1</v>
      </c>
      <c r="AH53" s="76">
        <v>1.1377999999999999</v>
      </c>
      <c r="AI53" s="76">
        <v>0.1648</v>
      </c>
      <c r="AJ53" s="74">
        <v>500</v>
      </c>
      <c r="AK53" s="74">
        <v>17</v>
      </c>
      <c r="AL53" s="73">
        <v>50</v>
      </c>
      <c r="AM53" s="74">
        <v>10</v>
      </c>
      <c r="AN53" s="74" t="s">
        <v>251</v>
      </c>
      <c r="AO53" s="77">
        <v>0.2</v>
      </c>
      <c r="AP53" s="77">
        <v>1.32</v>
      </c>
      <c r="AQ53" s="77">
        <v>0</v>
      </c>
      <c r="AR53" s="78" t="s">
        <v>198</v>
      </c>
    </row>
    <row r="54" spans="1:44" s="83" customFormat="1" x14ac:dyDescent="0.25">
      <c r="A54" s="83" t="s">
        <v>100</v>
      </c>
      <c r="B54" s="83">
        <v>2</v>
      </c>
      <c r="C54" s="83">
        <v>172</v>
      </c>
      <c r="D54" s="83">
        <v>2</v>
      </c>
      <c r="E54" s="83">
        <v>2</v>
      </c>
      <c r="F54" s="83">
        <v>3</v>
      </c>
      <c r="G54" s="81">
        <v>1700577</v>
      </c>
      <c r="H54" s="81"/>
      <c r="I54" s="82" t="s">
        <v>102</v>
      </c>
      <c r="J54" s="81">
        <f>IF(K54="Inflow",1,IF(K54="Outflow",-1,IF(K54="Gage",0,IF(K54="Top",0,""))))</f>
        <v>-1</v>
      </c>
      <c r="K54" s="81" t="s">
        <v>32</v>
      </c>
      <c r="L54" s="81"/>
      <c r="M54" s="81"/>
      <c r="N54" s="81">
        <v>1</v>
      </c>
      <c r="O54" s="81">
        <v>4</v>
      </c>
      <c r="P54" s="81">
        <v>6</v>
      </c>
      <c r="Q54" s="84"/>
      <c r="S54" s="83" t="s">
        <v>105</v>
      </c>
      <c r="V54" s="82"/>
      <c r="W54" s="82">
        <f>Z$55/SUM(Z$52:Z$54)</f>
        <v>0.16300081998869265</v>
      </c>
      <c r="X54" s="84"/>
      <c r="Y54" s="82"/>
      <c r="Z54" s="82">
        <v>1.26943134355912</v>
      </c>
      <c r="AA54" s="83">
        <v>10000</v>
      </c>
      <c r="AB54" s="83">
        <v>0.15</v>
      </c>
      <c r="AC54" s="83">
        <v>2500</v>
      </c>
      <c r="AD54" s="83">
        <v>1</v>
      </c>
      <c r="AE54" s="81">
        <v>32</v>
      </c>
      <c r="AF54" s="82">
        <v>0.56000000000000005</v>
      </c>
      <c r="AG54" s="84">
        <v>1</v>
      </c>
      <c r="AH54" s="84">
        <v>1.1377999999999999</v>
      </c>
      <c r="AI54" s="84">
        <v>0.1648</v>
      </c>
      <c r="AJ54" s="81">
        <v>500</v>
      </c>
      <c r="AK54" s="81">
        <v>17</v>
      </c>
      <c r="AL54" s="83">
        <v>50</v>
      </c>
      <c r="AM54" s="81">
        <v>10</v>
      </c>
      <c r="AN54" s="81" t="s">
        <v>251</v>
      </c>
      <c r="AO54" s="82">
        <v>0.2</v>
      </c>
      <c r="AP54" s="82">
        <v>1.32</v>
      </c>
      <c r="AQ54" s="82">
        <v>0</v>
      </c>
      <c r="AR54" s="86"/>
    </row>
    <row r="55" spans="1:44" s="83" customFormat="1" ht="15.75" thickBot="1" x14ac:dyDescent="0.3">
      <c r="A55" s="83" t="s">
        <v>100</v>
      </c>
      <c r="G55" s="117">
        <f>G38</f>
        <v>1729077</v>
      </c>
      <c r="H55" s="81">
        <v>1005</v>
      </c>
      <c r="I55" s="81" t="s">
        <v>201</v>
      </c>
      <c r="J55" s="81"/>
      <c r="K55" s="81"/>
      <c r="L55" s="81"/>
      <c r="M55" s="81"/>
      <c r="N55" s="81"/>
      <c r="O55" s="81"/>
      <c r="P55" s="81"/>
      <c r="Q55" s="84"/>
      <c r="S55" s="83" t="s">
        <v>105</v>
      </c>
      <c r="V55" s="82"/>
      <c r="W55" s="82"/>
      <c r="X55" s="84"/>
      <c r="Y55" s="82"/>
      <c r="Z55" s="82">
        <v>0.95</v>
      </c>
      <c r="AE55" s="81"/>
      <c r="AF55" s="82"/>
      <c r="AG55" s="84"/>
      <c r="AH55" s="84"/>
      <c r="AI55" s="84"/>
      <c r="AJ55" s="81"/>
      <c r="AK55" s="81"/>
      <c r="AM55" s="81"/>
      <c r="AN55" s="81"/>
      <c r="AO55" s="82"/>
      <c r="AP55" s="82"/>
      <c r="AQ55" s="82"/>
      <c r="AR55" s="86"/>
    </row>
    <row r="56" spans="1:44" s="87" customFormat="1" x14ac:dyDescent="0.25">
      <c r="A56" s="87" t="s">
        <v>61</v>
      </c>
      <c r="B56" s="87">
        <v>2</v>
      </c>
      <c r="C56" s="87">
        <v>173</v>
      </c>
      <c r="D56" s="87">
        <v>1</v>
      </c>
      <c r="E56" s="95">
        <v>1</v>
      </c>
      <c r="F56" s="87">
        <v>1</v>
      </c>
      <c r="G56" s="88">
        <v>1701000</v>
      </c>
      <c r="H56" s="88">
        <v>6392</v>
      </c>
      <c r="I56" s="88" t="s">
        <v>258</v>
      </c>
      <c r="J56" s="88">
        <f>IF(K56="Inflow",1,IF(K56="Outflow",-1,IF(K56="Gage",0,IF(K56="Top",0,""))))</f>
        <v>0</v>
      </c>
      <c r="K56" s="88" t="s">
        <v>233</v>
      </c>
      <c r="L56" s="88" t="s">
        <v>259</v>
      </c>
      <c r="M56" s="88" t="s">
        <v>86</v>
      </c>
      <c r="N56" s="88">
        <v>1</v>
      </c>
      <c r="O56" s="88">
        <v>2</v>
      </c>
      <c r="P56" s="88">
        <v>3</v>
      </c>
      <c r="Q56" s="90">
        <v>1</v>
      </c>
      <c r="S56" s="91" t="s">
        <v>263</v>
      </c>
      <c r="V56" s="89"/>
      <c r="W56" s="89">
        <f>Z$59/SUM(X$56,Z$56:Z$58)</f>
        <v>0.41087026574215463</v>
      </c>
      <c r="X56" s="90">
        <v>0.61599999999999999</v>
      </c>
      <c r="Y56" s="89">
        <f>W56*X56</f>
        <v>0.25309608369716724</v>
      </c>
      <c r="Z56" s="89">
        <v>0.01</v>
      </c>
      <c r="AA56" s="87">
        <v>10000</v>
      </c>
      <c r="AB56" s="87">
        <v>0.15</v>
      </c>
      <c r="AC56" s="87">
        <v>2500</v>
      </c>
      <c r="AD56" s="87">
        <v>1</v>
      </c>
      <c r="AE56" s="88">
        <v>32</v>
      </c>
      <c r="AF56" s="89">
        <v>0.56000000000000005</v>
      </c>
      <c r="AG56" s="90">
        <v>1</v>
      </c>
      <c r="AH56" s="90">
        <v>1.1377999999999999</v>
      </c>
      <c r="AI56" s="90">
        <v>0.1648</v>
      </c>
      <c r="AJ56" s="88">
        <v>500</v>
      </c>
      <c r="AK56" s="88">
        <v>17</v>
      </c>
      <c r="AL56" s="87">
        <v>50</v>
      </c>
      <c r="AM56" s="88">
        <v>10</v>
      </c>
      <c r="AN56" s="88" t="s">
        <v>251</v>
      </c>
      <c r="AO56" s="89">
        <v>0.2</v>
      </c>
      <c r="AP56" s="89">
        <v>1.32</v>
      </c>
      <c r="AQ56" s="89">
        <v>0</v>
      </c>
      <c r="AR56" s="92" t="s">
        <v>266</v>
      </c>
    </row>
    <row r="57" spans="1:44" s="73" customFormat="1" x14ac:dyDescent="0.25">
      <c r="A57" s="73" t="s">
        <v>61</v>
      </c>
      <c r="B57" s="73">
        <v>2</v>
      </c>
      <c r="C57" s="73">
        <v>173</v>
      </c>
      <c r="D57" s="73">
        <v>2</v>
      </c>
      <c r="E57" s="73">
        <v>1</v>
      </c>
      <c r="F57" s="73">
        <v>2</v>
      </c>
      <c r="G57" s="74">
        <v>1709514</v>
      </c>
      <c r="H57" s="74"/>
      <c r="I57" s="77" t="s">
        <v>260</v>
      </c>
      <c r="J57" s="74">
        <f>IF(K57="Inflow",1,IF(K57="Outflow",-1,IF(K57="Gage",0,IF(K57="Top",0,""))))</f>
        <v>0</v>
      </c>
      <c r="K57" s="74" t="s">
        <v>33</v>
      </c>
      <c r="L57" s="74" t="s">
        <v>63</v>
      </c>
      <c r="M57" s="74" t="s">
        <v>86</v>
      </c>
      <c r="N57" s="74">
        <v>7</v>
      </c>
      <c r="O57" s="74">
        <v>7</v>
      </c>
      <c r="P57" s="74">
        <v>7</v>
      </c>
      <c r="Q57" s="76"/>
      <c r="S57" s="93" t="s">
        <v>263</v>
      </c>
      <c r="V57" s="77"/>
      <c r="W57" s="77">
        <f>Z$59/SUM(X$56,Z$56:Z$58)</f>
        <v>0.41087026574215463</v>
      </c>
      <c r="X57" s="76"/>
      <c r="Y57" s="77"/>
      <c r="Z57" s="77">
        <v>5.3264915206916001E-2</v>
      </c>
      <c r="AA57" s="73">
        <v>10000</v>
      </c>
      <c r="AB57" s="73">
        <v>0.15</v>
      </c>
      <c r="AC57" s="73">
        <v>2500</v>
      </c>
      <c r="AD57" s="73">
        <v>1</v>
      </c>
      <c r="AE57" s="74">
        <v>32</v>
      </c>
      <c r="AF57" s="77">
        <v>0.56000000000000005</v>
      </c>
      <c r="AG57" s="76">
        <v>1</v>
      </c>
      <c r="AH57" s="76">
        <v>1.1377999999999999</v>
      </c>
      <c r="AI57" s="76">
        <v>0.1648</v>
      </c>
      <c r="AJ57" s="74">
        <v>500</v>
      </c>
      <c r="AK57" s="74">
        <v>17</v>
      </c>
      <c r="AL57" s="73">
        <v>50</v>
      </c>
      <c r="AM57" s="74">
        <v>10</v>
      </c>
      <c r="AN57" s="74" t="s">
        <v>251</v>
      </c>
      <c r="AO57" s="77">
        <v>0.2</v>
      </c>
      <c r="AP57" s="77">
        <v>1.32</v>
      </c>
      <c r="AQ57" s="77">
        <v>0</v>
      </c>
      <c r="AR57" s="78" t="s">
        <v>198</v>
      </c>
    </row>
    <row r="58" spans="1:44" s="83" customFormat="1" x14ac:dyDescent="0.25">
      <c r="A58" s="83" t="s">
        <v>61</v>
      </c>
      <c r="B58" s="83">
        <v>2</v>
      </c>
      <c r="C58" s="83">
        <v>173</v>
      </c>
      <c r="D58" s="83">
        <v>2</v>
      </c>
      <c r="E58" s="83">
        <v>2</v>
      </c>
      <c r="F58" s="83">
        <v>3</v>
      </c>
      <c r="G58" s="81">
        <v>1700594</v>
      </c>
      <c r="H58" s="81"/>
      <c r="I58" s="82" t="s">
        <v>262</v>
      </c>
      <c r="J58" s="81">
        <f>IF(K58="Inflow",1,IF(K58="Outflow",-1,IF(K58="Gage",0,IF(K58="Top",0,""))))</f>
        <v>-1</v>
      </c>
      <c r="K58" s="81" t="s">
        <v>32</v>
      </c>
      <c r="L58" s="81"/>
      <c r="M58" s="81"/>
      <c r="N58" s="81">
        <v>1</v>
      </c>
      <c r="O58" s="81">
        <v>4</v>
      </c>
      <c r="P58" s="81">
        <v>6</v>
      </c>
      <c r="Q58" s="84"/>
      <c r="S58" s="83" t="s">
        <v>263</v>
      </c>
      <c r="V58" s="82"/>
      <c r="W58" s="82">
        <f>Z$59/SUM(X$56,Z$56:Z$58)</f>
        <v>0.41087026574215463</v>
      </c>
      <c r="X58" s="84"/>
      <c r="Y58" s="82"/>
      <c r="Z58" s="82">
        <v>3.4582941678999899</v>
      </c>
      <c r="AA58" s="83">
        <v>10000</v>
      </c>
      <c r="AB58" s="83">
        <v>0.15</v>
      </c>
      <c r="AC58" s="83">
        <v>2500</v>
      </c>
      <c r="AD58" s="83">
        <v>1</v>
      </c>
      <c r="AE58" s="81">
        <v>32</v>
      </c>
      <c r="AF58" s="82">
        <v>0.56000000000000005</v>
      </c>
      <c r="AG58" s="84">
        <v>1</v>
      </c>
      <c r="AH58" s="84">
        <v>1.1377999999999999</v>
      </c>
      <c r="AI58" s="84">
        <v>0.1648</v>
      </c>
      <c r="AJ58" s="81">
        <v>500</v>
      </c>
      <c r="AK58" s="81">
        <v>17</v>
      </c>
      <c r="AL58" s="83">
        <v>50</v>
      </c>
      <c r="AM58" s="81">
        <v>10</v>
      </c>
      <c r="AN58" s="81" t="s">
        <v>251</v>
      </c>
      <c r="AO58" s="82">
        <v>0.2</v>
      </c>
      <c r="AP58" s="82">
        <v>1.32</v>
      </c>
      <c r="AQ58" s="82">
        <v>0</v>
      </c>
      <c r="AR58" s="86"/>
    </row>
    <row r="59" spans="1:44" s="83" customFormat="1" ht="15.75" thickBot="1" x14ac:dyDescent="0.3">
      <c r="A59" s="83" t="s">
        <v>61</v>
      </c>
      <c r="G59" s="117">
        <f>G43</f>
        <v>1729091</v>
      </c>
      <c r="H59" s="81">
        <v>1010</v>
      </c>
      <c r="I59" s="81" t="s">
        <v>261</v>
      </c>
      <c r="J59" s="81"/>
      <c r="K59" s="81"/>
      <c r="L59" s="81"/>
      <c r="M59" s="81"/>
      <c r="N59" s="81"/>
      <c r="O59" s="81"/>
      <c r="P59" s="81"/>
      <c r="Q59" s="84"/>
      <c r="S59" s="83" t="s">
        <v>263</v>
      </c>
      <c r="V59" s="82"/>
      <c r="W59" s="82"/>
      <c r="X59" s="84"/>
      <c r="Y59" s="82"/>
      <c r="Z59" s="82">
        <v>1.7</v>
      </c>
      <c r="AE59" s="81"/>
      <c r="AF59" s="82"/>
      <c r="AG59" s="84"/>
      <c r="AH59" s="84"/>
      <c r="AI59" s="84"/>
      <c r="AJ59" s="81"/>
      <c r="AK59" s="81"/>
      <c r="AM59" s="81"/>
      <c r="AN59" s="81"/>
      <c r="AO59" s="82"/>
      <c r="AP59" s="82"/>
      <c r="AQ59" s="82"/>
      <c r="AR59" s="86"/>
    </row>
    <row r="60" spans="1:44" s="96" customFormat="1" x14ac:dyDescent="0.25">
      <c r="A60" s="96" t="s">
        <v>247</v>
      </c>
      <c r="B60" s="96">
        <v>2</v>
      </c>
      <c r="C60" s="96">
        <v>174</v>
      </c>
      <c r="D60" s="96">
        <v>1</v>
      </c>
      <c r="E60" s="96">
        <v>1</v>
      </c>
      <c r="F60" s="96">
        <v>1</v>
      </c>
      <c r="G60" s="97">
        <v>6709503</v>
      </c>
      <c r="H60" s="97"/>
      <c r="I60" s="98" t="s">
        <v>267</v>
      </c>
      <c r="J60" s="97">
        <f>IF(K60="Inflow",1,IF(K60="Outflow",-1,IF(K60="Gage",0,IF(K60="Top",0,""))))</f>
        <v>0</v>
      </c>
      <c r="K60" s="97" t="s">
        <v>33</v>
      </c>
      <c r="L60" s="97" t="s">
        <v>271</v>
      </c>
      <c r="M60" s="97" t="s">
        <v>86</v>
      </c>
      <c r="N60" s="97">
        <v>7</v>
      </c>
      <c r="O60" s="97">
        <v>7</v>
      </c>
      <c r="P60" s="97">
        <v>7</v>
      </c>
      <c r="Q60" s="99"/>
      <c r="S60" s="100" t="s">
        <v>272</v>
      </c>
      <c r="V60" s="98"/>
      <c r="W60" s="98">
        <f>W61</f>
        <v>0.34567611513305763</v>
      </c>
      <c r="X60" s="99"/>
      <c r="Y60" s="98"/>
      <c r="Z60" s="98">
        <v>0.46233830236759499</v>
      </c>
      <c r="AA60" s="96">
        <v>10000</v>
      </c>
      <c r="AB60" s="96">
        <v>0.15</v>
      </c>
      <c r="AC60" s="96">
        <v>2500</v>
      </c>
      <c r="AD60" s="96">
        <v>1</v>
      </c>
      <c r="AE60" s="97">
        <v>32</v>
      </c>
      <c r="AF60" s="98">
        <v>0.56000000000000005</v>
      </c>
      <c r="AG60" s="99">
        <v>1</v>
      </c>
      <c r="AH60" s="99">
        <v>1.1377999999999999</v>
      </c>
      <c r="AI60" s="99">
        <v>0.1648</v>
      </c>
      <c r="AJ60" s="97">
        <v>500</v>
      </c>
      <c r="AK60" s="97">
        <v>17</v>
      </c>
      <c r="AL60" s="96">
        <v>50</v>
      </c>
      <c r="AM60" s="97">
        <v>10</v>
      </c>
      <c r="AN60" s="97" t="s">
        <v>251</v>
      </c>
      <c r="AO60" s="98">
        <v>0.2</v>
      </c>
      <c r="AP60" s="98">
        <v>1.32</v>
      </c>
      <c r="AQ60" s="98">
        <v>0</v>
      </c>
      <c r="AR60" s="101" t="s">
        <v>198</v>
      </c>
    </row>
    <row r="61" spans="1:44" s="83" customFormat="1" x14ac:dyDescent="0.25">
      <c r="A61" s="83" t="s">
        <v>247</v>
      </c>
      <c r="B61" s="83">
        <v>2</v>
      </c>
      <c r="C61" s="83">
        <v>174</v>
      </c>
      <c r="D61" s="83">
        <v>1</v>
      </c>
      <c r="E61" s="83">
        <v>2</v>
      </c>
      <c r="F61" s="83">
        <v>2</v>
      </c>
      <c r="G61" s="81">
        <v>6701006</v>
      </c>
      <c r="H61" s="81">
        <v>6394</v>
      </c>
      <c r="I61" s="82" t="s">
        <v>264</v>
      </c>
      <c r="J61" s="81">
        <f>IF(K61="Inflow",1,IF(K61="Outflow",-1,IF(K61="Gage",0,IF(K61="Top",0,""))))</f>
        <v>1</v>
      </c>
      <c r="K61" s="81" t="s">
        <v>31</v>
      </c>
      <c r="L61" s="81" t="s">
        <v>265</v>
      </c>
      <c r="M61" s="81" t="s">
        <v>86</v>
      </c>
      <c r="N61" s="81">
        <v>1</v>
      </c>
      <c r="O61" s="81">
        <v>2</v>
      </c>
      <c r="P61" s="81">
        <v>3</v>
      </c>
      <c r="Q61" s="84">
        <v>1</v>
      </c>
      <c r="S61" s="85" t="s">
        <v>272</v>
      </c>
      <c r="V61" s="82"/>
      <c r="W61" s="82">
        <f>Z$63/(X$61+Z$61+Z$62)</f>
        <v>0.34567611513305763</v>
      </c>
      <c r="X61" s="84">
        <v>0.45300000000000001</v>
      </c>
      <c r="Y61" s="82">
        <f>W61*X61</f>
        <v>0.1565912801552751</v>
      </c>
      <c r="Z61" s="82">
        <v>1.9716758006259301</v>
      </c>
      <c r="AA61" s="83">
        <v>10000</v>
      </c>
      <c r="AB61" s="83">
        <v>0.15</v>
      </c>
      <c r="AC61" s="83">
        <v>2500</v>
      </c>
      <c r="AD61" s="83">
        <v>1</v>
      </c>
      <c r="AE61" s="81">
        <v>32</v>
      </c>
      <c r="AF61" s="82">
        <v>0.56000000000000005</v>
      </c>
      <c r="AG61" s="84">
        <v>1</v>
      </c>
      <c r="AH61" s="84">
        <v>1.1377999999999999</v>
      </c>
      <c r="AI61" s="84">
        <v>0.1648</v>
      </c>
      <c r="AJ61" s="81">
        <v>500</v>
      </c>
      <c r="AK61" s="81">
        <v>17</v>
      </c>
      <c r="AL61" s="83">
        <v>50</v>
      </c>
      <c r="AM61" s="81">
        <v>10</v>
      </c>
      <c r="AN61" s="81" t="s">
        <v>251</v>
      </c>
      <c r="AO61" s="82">
        <v>0.2</v>
      </c>
      <c r="AP61" s="82">
        <v>1.32</v>
      </c>
      <c r="AQ61" s="82">
        <v>0</v>
      </c>
      <c r="AR61" s="86"/>
    </row>
    <row r="62" spans="1:44" s="83" customFormat="1" x14ac:dyDescent="0.25">
      <c r="A62" s="83" t="s">
        <v>247</v>
      </c>
      <c r="B62" s="83">
        <v>2</v>
      </c>
      <c r="C62" s="83">
        <v>174</v>
      </c>
      <c r="D62" s="83">
        <v>1</v>
      </c>
      <c r="E62" s="83">
        <v>3</v>
      </c>
      <c r="F62" s="83">
        <v>3</v>
      </c>
      <c r="G62" s="81">
        <v>6701002</v>
      </c>
      <c r="H62" s="81">
        <v>6393</v>
      </c>
      <c r="I62" s="82" t="s">
        <v>268</v>
      </c>
      <c r="J62" s="81">
        <f>IF(K62="Inflow",1,IF(K62="Outflow",-1,IF(K62="Gage",0,IF(K62="Top",0,""))))</f>
        <v>1</v>
      </c>
      <c r="K62" s="81" t="s">
        <v>31</v>
      </c>
      <c r="L62" s="81" t="s">
        <v>269</v>
      </c>
      <c r="M62" s="81" t="s">
        <v>86</v>
      </c>
      <c r="N62" s="81">
        <v>1</v>
      </c>
      <c r="O62" s="81">
        <v>2</v>
      </c>
      <c r="P62" s="81">
        <v>3</v>
      </c>
      <c r="Q62" s="102">
        <v>1</v>
      </c>
      <c r="S62" s="83" t="s">
        <v>272</v>
      </c>
      <c r="V62" s="82"/>
      <c r="W62" s="82">
        <f>Z$63/(X$61+Z$61+Z$62)</f>
        <v>0.34567611513305763</v>
      </c>
      <c r="X62" s="84">
        <v>1.095</v>
      </c>
      <c r="Y62" s="82">
        <f>0.3/(X62+Z62)*X62</f>
        <v>0.12075615880644365</v>
      </c>
      <c r="Z62" s="82">
        <v>1.62535814360858</v>
      </c>
      <c r="AA62" s="83">
        <v>10000</v>
      </c>
      <c r="AB62" s="83">
        <v>0.15</v>
      </c>
      <c r="AC62" s="83">
        <v>2500</v>
      </c>
      <c r="AD62" s="83">
        <v>1</v>
      </c>
      <c r="AE62" s="81">
        <v>32</v>
      </c>
      <c r="AF62" s="82">
        <v>0.56000000000000005</v>
      </c>
      <c r="AG62" s="84">
        <v>1</v>
      </c>
      <c r="AH62" s="84">
        <v>1.1377999999999999</v>
      </c>
      <c r="AI62" s="84">
        <v>0.1648</v>
      </c>
      <c r="AJ62" s="81">
        <v>500</v>
      </c>
      <c r="AK62" s="81">
        <v>17</v>
      </c>
      <c r="AL62" s="83">
        <v>50</v>
      </c>
      <c r="AM62" s="81">
        <v>10</v>
      </c>
      <c r="AN62" s="81" t="s">
        <v>251</v>
      </c>
      <c r="AO62" s="82">
        <v>0.2</v>
      </c>
      <c r="AP62" s="82">
        <v>1.32</v>
      </c>
      <c r="AQ62" s="82">
        <v>0</v>
      </c>
      <c r="AR62" s="86"/>
    </row>
    <row r="63" spans="1:44" s="83" customFormat="1" ht="15.75" thickBot="1" x14ac:dyDescent="0.3">
      <c r="A63" s="83" t="s">
        <v>247</v>
      </c>
      <c r="G63" s="117">
        <f>G46</f>
        <v>1729101</v>
      </c>
      <c r="H63" s="81">
        <v>1013</v>
      </c>
      <c r="I63" s="81" t="s">
        <v>270</v>
      </c>
      <c r="J63" s="81"/>
      <c r="K63" s="81"/>
      <c r="L63" s="81"/>
      <c r="M63" s="81"/>
      <c r="N63" s="81"/>
      <c r="O63" s="81"/>
      <c r="P63" s="81"/>
      <c r="Q63" s="84"/>
      <c r="S63" s="83" t="s">
        <v>272</v>
      </c>
      <c r="V63" s="82"/>
      <c r="W63" s="82"/>
      <c r="X63" s="84"/>
      <c r="Y63" s="82"/>
      <c r="Z63" s="82">
        <v>1.4</v>
      </c>
      <c r="AE63" s="81"/>
      <c r="AF63" s="82"/>
      <c r="AG63" s="84"/>
      <c r="AH63" s="84"/>
      <c r="AI63" s="84"/>
      <c r="AJ63" s="81"/>
      <c r="AK63" s="81"/>
      <c r="AM63" s="81"/>
      <c r="AN63" s="81"/>
      <c r="AO63" s="82"/>
      <c r="AP63" s="82"/>
      <c r="AQ63" s="82"/>
      <c r="AR63" s="86"/>
    </row>
    <row r="64" spans="1:44" s="88" customFormat="1" x14ac:dyDescent="0.25">
      <c r="A64" s="88" t="s">
        <v>548</v>
      </c>
      <c r="B64" s="87">
        <v>2</v>
      </c>
      <c r="C64" s="87">
        <v>67</v>
      </c>
      <c r="D64" s="87">
        <v>1</v>
      </c>
      <c r="E64" s="87">
        <v>1</v>
      </c>
      <c r="F64" s="87">
        <v>1</v>
      </c>
      <c r="G64" s="87">
        <v>6703512</v>
      </c>
      <c r="I64" s="87" t="s">
        <v>160</v>
      </c>
      <c r="J64" s="88">
        <f t="shared" ref="J64:J93" si="7">IF(K64="Inflow",1,IF(K64="Outflow",-1,IF(K64="Gage",0,IF(K64="Top",0,""))))</f>
        <v>0</v>
      </c>
      <c r="K64" s="87" t="s">
        <v>233</v>
      </c>
      <c r="L64" s="87"/>
      <c r="M64" s="87"/>
      <c r="N64" s="87">
        <v>0</v>
      </c>
      <c r="O64" s="87">
        <v>0</v>
      </c>
      <c r="P64" s="87">
        <v>0</v>
      </c>
      <c r="Q64" s="90">
        <v>1</v>
      </c>
      <c r="S64" s="88" t="s">
        <v>106</v>
      </c>
      <c r="T64" s="92"/>
      <c r="U64" s="92"/>
      <c r="V64" s="89"/>
      <c r="W64" s="88">
        <v>0</v>
      </c>
      <c r="X64" s="90"/>
      <c r="Y64" s="89"/>
      <c r="Z64" s="89"/>
      <c r="AA64" s="87">
        <v>9000</v>
      </c>
      <c r="AB64" s="87">
        <v>0.18</v>
      </c>
      <c r="AC64" s="87">
        <v>800</v>
      </c>
      <c r="AD64" s="87">
        <v>1</v>
      </c>
      <c r="AE64" s="87">
        <v>32</v>
      </c>
      <c r="AF64" s="87">
        <v>0.56000000000000005</v>
      </c>
      <c r="AG64" s="90">
        <v>1</v>
      </c>
      <c r="AH64" s="90">
        <v>0.98509999999999998</v>
      </c>
      <c r="AI64" s="90">
        <v>0.20039999999999999</v>
      </c>
      <c r="AJ64" s="88">
        <v>500</v>
      </c>
      <c r="AK64" s="87">
        <v>671</v>
      </c>
      <c r="AL64" s="87">
        <v>20</v>
      </c>
      <c r="AM64" s="88">
        <v>0</v>
      </c>
      <c r="AN64" s="88" t="s">
        <v>249</v>
      </c>
      <c r="AO64" s="87">
        <v>0.38</v>
      </c>
      <c r="AP64" s="87">
        <v>0.99</v>
      </c>
      <c r="AQ64" s="89">
        <v>0</v>
      </c>
      <c r="AR64" s="92"/>
    </row>
    <row r="65" spans="1:44" s="73" customFormat="1" x14ac:dyDescent="0.25">
      <c r="A65" s="73" t="s">
        <v>548</v>
      </c>
      <c r="B65" s="73">
        <v>2</v>
      </c>
      <c r="C65" s="73">
        <v>67</v>
      </c>
      <c r="D65" s="73">
        <v>2</v>
      </c>
      <c r="E65" s="73">
        <v>1</v>
      </c>
      <c r="F65" s="73">
        <v>2</v>
      </c>
      <c r="G65" s="74">
        <v>6709501</v>
      </c>
      <c r="H65" s="74"/>
      <c r="I65" s="74" t="s">
        <v>159</v>
      </c>
      <c r="J65" s="74">
        <f t="shared" si="7"/>
        <v>0</v>
      </c>
      <c r="K65" s="73" t="s">
        <v>33</v>
      </c>
      <c r="L65" s="73" t="s">
        <v>134</v>
      </c>
      <c r="M65" s="73" t="s">
        <v>86</v>
      </c>
      <c r="N65" s="73">
        <v>150</v>
      </c>
      <c r="O65" s="73">
        <v>542</v>
      </c>
      <c r="P65" s="73">
        <v>831</v>
      </c>
      <c r="Q65" s="76"/>
      <c r="S65" s="73" t="s">
        <v>106</v>
      </c>
      <c r="T65" s="74"/>
      <c r="W65" s="73">
        <v>1.5</v>
      </c>
      <c r="X65" s="76"/>
      <c r="AA65" s="73">
        <v>9000</v>
      </c>
      <c r="AB65" s="73">
        <v>0.18</v>
      </c>
      <c r="AC65" s="73">
        <v>800</v>
      </c>
      <c r="AD65" s="73">
        <v>1</v>
      </c>
      <c r="AE65" s="73">
        <v>32</v>
      </c>
      <c r="AF65" s="73">
        <v>0.56000000000000005</v>
      </c>
      <c r="AG65" s="76">
        <v>1</v>
      </c>
      <c r="AH65" s="76">
        <v>0.98509999999999998</v>
      </c>
      <c r="AI65" s="76">
        <v>0.20039999999999999</v>
      </c>
      <c r="AJ65" s="74">
        <v>500</v>
      </c>
      <c r="AK65" s="73">
        <v>671</v>
      </c>
      <c r="AL65" s="73">
        <v>50</v>
      </c>
      <c r="AM65" s="78">
        <v>10.7</v>
      </c>
      <c r="AN65" s="78" t="s">
        <v>250</v>
      </c>
      <c r="AO65" s="73">
        <v>0.38</v>
      </c>
      <c r="AP65" s="73">
        <v>0.99</v>
      </c>
      <c r="AQ65" s="77">
        <v>1</v>
      </c>
      <c r="AR65" s="78"/>
    </row>
    <row r="66" spans="1:44" s="83" customFormat="1" x14ac:dyDescent="0.25">
      <c r="A66" s="83" t="s">
        <v>548</v>
      </c>
      <c r="B66" s="83">
        <v>2</v>
      </c>
      <c r="C66" s="83">
        <v>67</v>
      </c>
      <c r="D66" s="83">
        <v>2</v>
      </c>
      <c r="E66" s="83">
        <f t="shared" ref="E66:F71" si="8">E65+1</f>
        <v>2</v>
      </c>
      <c r="F66" s="83">
        <f t="shared" si="8"/>
        <v>3</v>
      </c>
      <c r="G66" s="81">
        <v>6700610</v>
      </c>
      <c r="H66" s="81"/>
      <c r="I66" s="81" t="s">
        <v>149</v>
      </c>
      <c r="J66" s="81">
        <f t="shared" si="7"/>
        <v>-1</v>
      </c>
      <c r="K66" s="83" t="s">
        <v>32</v>
      </c>
      <c r="L66" s="83" t="s">
        <v>135</v>
      </c>
      <c r="M66" s="83" t="s">
        <v>86</v>
      </c>
      <c r="N66" s="83">
        <v>17.600000000000001</v>
      </c>
      <c r="O66" s="83">
        <v>49.3</v>
      </c>
      <c r="P66" s="83">
        <v>70.599999999999994</v>
      </c>
      <c r="Q66" s="84"/>
      <c r="S66" s="83" t="s">
        <v>106</v>
      </c>
      <c r="W66" s="83">
        <v>1.5</v>
      </c>
      <c r="X66" s="84"/>
      <c r="AA66" s="83">
        <v>9000</v>
      </c>
      <c r="AB66" s="83">
        <v>0.18</v>
      </c>
      <c r="AC66" s="83">
        <v>800</v>
      </c>
      <c r="AD66" s="83">
        <v>1</v>
      </c>
      <c r="AE66" s="83">
        <v>32</v>
      </c>
      <c r="AF66" s="83">
        <v>0.56000000000000005</v>
      </c>
      <c r="AG66" s="84">
        <v>1</v>
      </c>
      <c r="AH66" s="84">
        <v>0.98509999999999998</v>
      </c>
      <c r="AI66" s="84">
        <v>0.20039999999999999</v>
      </c>
      <c r="AJ66" s="81">
        <v>500</v>
      </c>
      <c r="AK66" s="83">
        <v>671</v>
      </c>
      <c r="AL66" s="83">
        <v>50</v>
      </c>
      <c r="AM66" s="86">
        <v>10.7</v>
      </c>
      <c r="AN66" s="86" t="s">
        <v>250</v>
      </c>
      <c r="AO66" s="83">
        <v>0.38</v>
      </c>
      <c r="AP66" s="83">
        <v>0.99</v>
      </c>
      <c r="AQ66" s="82">
        <v>1</v>
      </c>
      <c r="AR66" s="86"/>
    </row>
    <row r="67" spans="1:44" s="83" customFormat="1" x14ac:dyDescent="0.25">
      <c r="A67" s="83" t="s">
        <v>548</v>
      </c>
      <c r="B67" s="83">
        <v>2</v>
      </c>
      <c r="C67" s="83">
        <v>67</v>
      </c>
      <c r="D67" s="83">
        <v>2</v>
      </c>
      <c r="E67" s="83">
        <f t="shared" si="8"/>
        <v>3</v>
      </c>
      <c r="F67" s="83">
        <f t="shared" si="8"/>
        <v>4</v>
      </c>
      <c r="G67" s="81">
        <v>6700613</v>
      </c>
      <c r="H67" s="81"/>
      <c r="I67" s="81" t="s">
        <v>148</v>
      </c>
      <c r="J67" s="81">
        <f t="shared" si="7"/>
        <v>-1</v>
      </c>
      <c r="K67" s="83" t="s">
        <v>32</v>
      </c>
      <c r="N67" s="83">
        <v>15.6</v>
      </c>
      <c r="O67" s="83">
        <v>14</v>
      </c>
      <c r="P67" s="83">
        <v>17.600000000000001</v>
      </c>
      <c r="Q67" s="84"/>
      <c r="S67" s="83" t="s">
        <v>106</v>
      </c>
      <c r="W67" s="83">
        <v>1.5</v>
      </c>
      <c r="X67" s="84"/>
      <c r="AA67" s="83">
        <v>9000</v>
      </c>
      <c r="AB67" s="83">
        <v>0.18</v>
      </c>
      <c r="AC67" s="83">
        <v>800</v>
      </c>
      <c r="AD67" s="83">
        <v>1</v>
      </c>
      <c r="AE67" s="83">
        <v>32</v>
      </c>
      <c r="AF67" s="83">
        <v>0.56000000000000005</v>
      </c>
      <c r="AG67" s="84">
        <v>1</v>
      </c>
      <c r="AH67" s="84">
        <v>0.98509999999999998</v>
      </c>
      <c r="AI67" s="84">
        <v>0.20039999999999999</v>
      </c>
      <c r="AJ67" s="81">
        <v>500</v>
      </c>
      <c r="AK67" s="83">
        <v>671</v>
      </c>
      <c r="AL67" s="83">
        <v>50</v>
      </c>
      <c r="AM67" s="86">
        <v>10.7</v>
      </c>
      <c r="AN67" s="86" t="s">
        <v>250</v>
      </c>
      <c r="AO67" s="83">
        <v>0.38</v>
      </c>
      <c r="AP67" s="83">
        <v>0.99</v>
      </c>
      <c r="AQ67" s="82">
        <v>1</v>
      </c>
      <c r="AR67" s="86"/>
    </row>
    <row r="68" spans="1:44" s="83" customFormat="1" x14ac:dyDescent="0.25">
      <c r="A68" s="83" t="s">
        <v>548</v>
      </c>
      <c r="B68" s="83">
        <v>2</v>
      </c>
      <c r="C68" s="83">
        <v>67</v>
      </c>
      <c r="D68" s="83">
        <v>2</v>
      </c>
      <c r="E68" s="83">
        <f t="shared" si="8"/>
        <v>4</v>
      </c>
      <c r="F68" s="83">
        <f t="shared" si="8"/>
        <v>5</v>
      </c>
      <c r="G68" s="79">
        <v>6701004</v>
      </c>
      <c r="H68" s="61">
        <v>1015</v>
      </c>
      <c r="I68" s="61" t="s">
        <v>537</v>
      </c>
      <c r="J68" s="81">
        <f t="shared" si="7"/>
        <v>1</v>
      </c>
      <c r="K68" s="61" t="s">
        <v>31</v>
      </c>
      <c r="L68" s="61" t="s">
        <v>277</v>
      </c>
      <c r="M68" s="61" t="s">
        <v>86</v>
      </c>
      <c r="N68" s="61">
        <v>0</v>
      </c>
      <c r="O68" s="61">
        <v>0</v>
      </c>
      <c r="P68" s="61">
        <v>0</v>
      </c>
      <c r="Q68" s="79">
        <v>1</v>
      </c>
      <c r="R68" s="61"/>
      <c r="S68" s="61" t="s">
        <v>106</v>
      </c>
      <c r="V68" s="109"/>
      <c r="W68" s="83">
        <v>1.5</v>
      </c>
      <c r="X68" s="110">
        <v>4.2220000000000004</v>
      </c>
      <c r="Y68" s="65">
        <f>Z68</f>
        <v>2.1999999999999997</v>
      </c>
      <c r="Z68" s="61">
        <v>2.1999999999999997</v>
      </c>
      <c r="AA68" s="83">
        <v>9000</v>
      </c>
      <c r="AB68" s="83">
        <v>0.18</v>
      </c>
      <c r="AC68" s="83">
        <v>800</v>
      </c>
      <c r="AD68" s="83">
        <v>1</v>
      </c>
      <c r="AE68" s="83">
        <v>32</v>
      </c>
      <c r="AF68" s="83">
        <v>0.56000000000000005</v>
      </c>
      <c r="AG68" s="84">
        <v>1</v>
      </c>
      <c r="AH68" s="84">
        <v>0.98509999999999998</v>
      </c>
      <c r="AI68" s="84">
        <v>0.20039999999999999</v>
      </c>
      <c r="AJ68" s="81">
        <v>500</v>
      </c>
      <c r="AK68" s="83">
        <v>671</v>
      </c>
      <c r="AL68" s="83">
        <v>50</v>
      </c>
      <c r="AM68" s="86">
        <v>10.7</v>
      </c>
      <c r="AN68" s="86" t="s">
        <v>250</v>
      </c>
      <c r="AO68" s="83">
        <v>0.38</v>
      </c>
      <c r="AP68" s="83">
        <v>0.99</v>
      </c>
      <c r="AQ68" s="82">
        <v>1</v>
      </c>
      <c r="AR68" s="86"/>
    </row>
    <row r="69" spans="1:44" s="83" customFormat="1" x14ac:dyDescent="0.25">
      <c r="A69" s="83" t="s">
        <v>548</v>
      </c>
      <c r="B69" s="83">
        <v>2</v>
      </c>
      <c r="C69" s="83">
        <v>67</v>
      </c>
      <c r="D69" s="83">
        <v>2</v>
      </c>
      <c r="E69" s="83">
        <f t="shared" si="8"/>
        <v>5</v>
      </c>
      <c r="F69" s="83">
        <f t="shared" si="8"/>
        <v>6</v>
      </c>
      <c r="G69" s="79">
        <v>6701008</v>
      </c>
      <c r="H69" s="61">
        <v>1015</v>
      </c>
      <c r="I69" s="113" t="s">
        <v>538</v>
      </c>
      <c r="J69" s="81">
        <f t="shared" si="7"/>
        <v>1</v>
      </c>
      <c r="K69" s="61" t="s">
        <v>31</v>
      </c>
      <c r="L69" s="61" t="s">
        <v>531</v>
      </c>
      <c r="M69" s="61" t="s">
        <v>86</v>
      </c>
      <c r="N69" s="61">
        <v>0</v>
      </c>
      <c r="O69" s="61">
        <v>0</v>
      </c>
      <c r="P69" s="61">
        <v>0</v>
      </c>
      <c r="Q69" s="79">
        <v>1</v>
      </c>
      <c r="R69" s="61"/>
      <c r="S69" s="61" t="s">
        <v>106</v>
      </c>
      <c r="V69" s="109"/>
      <c r="W69" s="83">
        <v>1.5</v>
      </c>
      <c r="X69" s="110"/>
      <c r="Y69" s="65"/>
      <c r="Z69" s="61"/>
      <c r="AA69" s="83">
        <v>9000</v>
      </c>
      <c r="AB69" s="83">
        <v>0.18</v>
      </c>
      <c r="AC69" s="83">
        <v>800</v>
      </c>
      <c r="AD69" s="83">
        <v>1</v>
      </c>
      <c r="AE69" s="83">
        <v>32</v>
      </c>
      <c r="AF69" s="83">
        <v>0.56000000000000005</v>
      </c>
      <c r="AG69" s="84">
        <v>1</v>
      </c>
      <c r="AH69" s="84">
        <v>0.98509999999999998</v>
      </c>
      <c r="AI69" s="84">
        <v>0.20039999999999999</v>
      </c>
      <c r="AJ69" s="81">
        <v>500</v>
      </c>
      <c r="AK69" s="83">
        <v>671</v>
      </c>
      <c r="AL69" s="83">
        <v>50</v>
      </c>
      <c r="AM69" s="86">
        <v>10.7</v>
      </c>
      <c r="AN69" s="86" t="s">
        <v>250</v>
      </c>
      <c r="AO69" s="83">
        <v>0.38</v>
      </c>
      <c r="AP69" s="83">
        <v>0.99</v>
      </c>
      <c r="AQ69" s="82">
        <v>1</v>
      </c>
      <c r="AR69" s="80" t="s">
        <v>532</v>
      </c>
    </row>
    <row r="70" spans="1:44" s="83" customFormat="1" x14ac:dyDescent="0.25">
      <c r="A70" s="83" t="s">
        <v>548</v>
      </c>
      <c r="B70" s="83">
        <v>2</v>
      </c>
      <c r="C70" s="83">
        <v>67</v>
      </c>
      <c r="D70" s="83">
        <v>2</v>
      </c>
      <c r="E70" s="83">
        <f t="shared" si="8"/>
        <v>6</v>
      </c>
      <c r="F70" s="83">
        <f t="shared" si="8"/>
        <v>7</v>
      </c>
      <c r="G70" s="79">
        <v>6701003</v>
      </c>
      <c r="H70" s="61">
        <v>5986</v>
      </c>
      <c r="I70" s="61" t="s">
        <v>539</v>
      </c>
      <c r="J70" s="81">
        <f t="shared" si="7"/>
        <v>1</v>
      </c>
      <c r="K70" s="61" t="s">
        <v>31</v>
      </c>
      <c r="L70" s="61" t="s">
        <v>278</v>
      </c>
      <c r="M70" s="61" t="s">
        <v>86</v>
      </c>
      <c r="N70" s="61">
        <v>0</v>
      </c>
      <c r="O70" s="61">
        <v>0</v>
      </c>
      <c r="P70" s="61">
        <v>0</v>
      </c>
      <c r="Q70" s="79">
        <v>1</v>
      </c>
      <c r="R70" s="61"/>
      <c r="S70" s="61" t="s">
        <v>106</v>
      </c>
      <c r="V70" s="109"/>
      <c r="W70" s="83">
        <v>1.5</v>
      </c>
      <c r="X70" s="110">
        <v>1.0069999999999999</v>
      </c>
      <c r="Y70" s="65">
        <f>Z70</f>
        <v>0.6</v>
      </c>
      <c r="Z70" s="61">
        <v>0.6</v>
      </c>
      <c r="AA70" s="83">
        <v>9000</v>
      </c>
      <c r="AB70" s="83">
        <v>0.18</v>
      </c>
      <c r="AC70" s="83">
        <v>800</v>
      </c>
      <c r="AD70" s="83">
        <v>1</v>
      </c>
      <c r="AE70" s="83">
        <v>32</v>
      </c>
      <c r="AF70" s="83">
        <v>0.56000000000000005</v>
      </c>
      <c r="AG70" s="84">
        <v>1</v>
      </c>
      <c r="AH70" s="84">
        <v>0.98509999999999998</v>
      </c>
      <c r="AI70" s="84">
        <v>0.20039999999999999</v>
      </c>
      <c r="AJ70" s="81">
        <v>500</v>
      </c>
      <c r="AK70" s="83">
        <v>671</v>
      </c>
      <c r="AL70" s="83">
        <v>50</v>
      </c>
      <c r="AM70" s="86">
        <v>10.7</v>
      </c>
      <c r="AN70" s="86" t="s">
        <v>250</v>
      </c>
      <c r="AO70" s="83">
        <v>0.38</v>
      </c>
      <c r="AP70" s="83">
        <v>0.99</v>
      </c>
      <c r="AQ70" s="82">
        <v>1</v>
      </c>
      <c r="AR70" s="86"/>
    </row>
    <row r="71" spans="1:44" s="83" customFormat="1" x14ac:dyDescent="0.25">
      <c r="A71" s="83" t="s">
        <v>548</v>
      </c>
      <c r="B71" s="83">
        <v>2</v>
      </c>
      <c r="C71" s="83">
        <v>67</v>
      </c>
      <c r="D71" s="83">
        <v>2</v>
      </c>
      <c r="E71" s="83">
        <f t="shared" si="8"/>
        <v>7</v>
      </c>
      <c r="F71" s="83">
        <f t="shared" si="8"/>
        <v>8</v>
      </c>
      <c r="G71" s="79">
        <v>6701001</v>
      </c>
      <c r="H71" s="61">
        <v>1018</v>
      </c>
      <c r="I71" s="61" t="s">
        <v>540</v>
      </c>
      <c r="J71" s="81">
        <f t="shared" si="7"/>
        <v>1</v>
      </c>
      <c r="K71" s="61" t="s">
        <v>31</v>
      </c>
      <c r="L71" s="61" t="s">
        <v>279</v>
      </c>
      <c r="M71" s="61" t="s">
        <v>86</v>
      </c>
      <c r="N71" s="61">
        <v>0</v>
      </c>
      <c r="O71" s="61">
        <v>0</v>
      </c>
      <c r="P71" s="61">
        <v>0</v>
      </c>
      <c r="Q71" s="79">
        <v>1</v>
      </c>
      <c r="R71" s="61"/>
      <c r="S71" s="61" t="s">
        <v>106</v>
      </c>
      <c r="V71" s="109"/>
      <c r="W71" s="83">
        <v>1.5</v>
      </c>
      <c r="X71" s="111">
        <v>0.76</v>
      </c>
      <c r="Y71" s="65">
        <f>Z71</f>
        <v>0.4</v>
      </c>
      <c r="Z71" s="61">
        <v>0.4</v>
      </c>
      <c r="AA71" s="83">
        <v>9000</v>
      </c>
      <c r="AB71" s="83">
        <v>0.18</v>
      </c>
      <c r="AC71" s="83">
        <v>800</v>
      </c>
      <c r="AD71" s="83">
        <v>1</v>
      </c>
      <c r="AE71" s="83">
        <v>32</v>
      </c>
      <c r="AF71" s="83">
        <v>0.56000000000000005</v>
      </c>
      <c r="AG71" s="84">
        <v>1</v>
      </c>
      <c r="AH71" s="84">
        <v>0.98509999999999998</v>
      </c>
      <c r="AI71" s="84">
        <v>0.20039999999999999</v>
      </c>
      <c r="AJ71" s="81">
        <v>500</v>
      </c>
      <c r="AK71" s="83">
        <v>671</v>
      </c>
      <c r="AL71" s="83">
        <v>50</v>
      </c>
      <c r="AM71" s="86">
        <v>10.7</v>
      </c>
      <c r="AN71" s="86" t="s">
        <v>250</v>
      </c>
      <c r="AO71" s="83">
        <v>0.38</v>
      </c>
      <c r="AP71" s="83">
        <v>0.99</v>
      </c>
      <c r="AQ71" s="82">
        <v>1</v>
      </c>
      <c r="AR71" s="86"/>
    </row>
    <row r="72" spans="1:44" customFormat="1" x14ac:dyDescent="0.25">
      <c r="A72" s="83" t="s">
        <v>548</v>
      </c>
      <c r="B72" s="73">
        <v>2</v>
      </c>
      <c r="C72" s="73">
        <v>67</v>
      </c>
      <c r="D72" s="73">
        <f>D71+1</f>
        <v>3</v>
      </c>
      <c r="E72" s="73">
        <v>1</v>
      </c>
      <c r="F72" s="73">
        <f t="shared" ref="F72:F93" si="9">F71+1</f>
        <v>9</v>
      </c>
      <c r="G72" s="76">
        <v>6709512</v>
      </c>
      <c r="H72" s="121"/>
      <c r="I72" s="118" t="s">
        <v>515</v>
      </c>
      <c r="J72" s="74">
        <f t="shared" si="7"/>
        <v>0</v>
      </c>
      <c r="K72" s="73" t="s">
        <v>33</v>
      </c>
      <c r="L72" s="73" t="s">
        <v>516</v>
      </c>
      <c r="M72" s="73" t="s">
        <v>86</v>
      </c>
      <c r="N72" s="73">
        <v>150</v>
      </c>
      <c r="O72" s="73">
        <v>542</v>
      </c>
      <c r="P72" s="73">
        <v>831</v>
      </c>
      <c r="Q72" s="76"/>
      <c r="R72" s="73"/>
      <c r="S72" s="73" t="s">
        <v>106</v>
      </c>
      <c r="T72" s="73"/>
      <c r="U72" s="73"/>
      <c r="V72" s="114"/>
      <c r="W72" s="73">
        <v>1.5</v>
      </c>
      <c r="X72" s="115"/>
      <c r="Y72" s="77"/>
      <c r="Z72" s="73"/>
      <c r="AA72" s="73">
        <v>9000</v>
      </c>
      <c r="AB72" s="73">
        <v>0.18</v>
      </c>
      <c r="AC72" s="73">
        <v>800</v>
      </c>
      <c r="AD72" s="73">
        <v>1</v>
      </c>
      <c r="AE72" s="73">
        <v>32</v>
      </c>
      <c r="AF72" s="73">
        <v>0.56000000000000005</v>
      </c>
      <c r="AG72" s="76">
        <v>1</v>
      </c>
      <c r="AH72" s="76">
        <v>0.98509999999999998</v>
      </c>
      <c r="AI72" s="76">
        <v>0.20039999999999999</v>
      </c>
      <c r="AJ72" s="74">
        <v>500</v>
      </c>
      <c r="AK72" s="73">
        <v>671</v>
      </c>
      <c r="AL72" s="73">
        <v>50</v>
      </c>
      <c r="AM72" s="78">
        <v>10.7</v>
      </c>
      <c r="AN72" s="78" t="s">
        <v>250</v>
      </c>
      <c r="AO72" s="73">
        <v>0.38</v>
      </c>
      <c r="AP72" s="73">
        <v>0.99</v>
      </c>
      <c r="AQ72" s="77">
        <v>1</v>
      </c>
      <c r="AR72" s="78" t="s">
        <v>637</v>
      </c>
    </row>
    <row r="73" spans="1:44" s="83" customFormat="1" x14ac:dyDescent="0.25">
      <c r="A73" s="83" t="s">
        <v>548</v>
      </c>
      <c r="B73" s="83">
        <v>2</v>
      </c>
      <c r="C73" s="83">
        <v>67</v>
      </c>
      <c r="D73" s="83">
        <f t="shared" ref="D73:D78" si="10">D72</f>
        <v>3</v>
      </c>
      <c r="E73" s="83">
        <f t="shared" ref="E73:E78" si="11">E72+1</f>
        <v>2</v>
      </c>
      <c r="F73" s="83">
        <f t="shared" si="9"/>
        <v>10</v>
      </c>
      <c r="G73" s="81">
        <v>6700607</v>
      </c>
      <c r="H73" s="81"/>
      <c r="I73" s="81" t="s">
        <v>150</v>
      </c>
      <c r="J73" s="81">
        <f t="shared" si="7"/>
        <v>-1</v>
      </c>
      <c r="K73" s="83" t="s">
        <v>32</v>
      </c>
      <c r="L73" s="83" t="s">
        <v>136</v>
      </c>
      <c r="M73" s="83" t="s">
        <v>86</v>
      </c>
      <c r="N73" s="83">
        <v>69</v>
      </c>
      <c r="O73" s="83">
        <v>271</v>
      </c>
      <c r="P73" s="83">
        <v>333</v>
      </c>
      <c r="Q73" s="84"/>
      <c r="S73" s="83" t="s">
        <v>106</v>
      </c>
      <c r="V73" s="109"/>
      <c r="W73" s="83">
        <v>1.5</v>
      </c>
      <c r="X73" s="110"/>
      <c r="AA73" s="83">
        <v>9000</v>
      </c>
      <c r="AB73" s="83">
        <v>0.18</v>
      </c>
      <c r="AC73" s="83">
        <v>800</v>
      </c>
      <c r="AD73" s="83">
        <v>1</v>
      </c>
      <c r="AE73" s="83">
        <v>32</v>
      </c>
      <c r="AF73" s="83">
        <v>0.56000000000000005</v>
      </c>
      <c r="AG73" s="84">
        <v>1</v>
      </c>
      <c r="AH73" s="84">
        <v>0.98509999999999998</v>
      </c>
      <c r="AI73" s="84">
        <v>0.20039999999999999</v>
      </c>
      <c r="AJ73" s="81">
        <v>500</v>
      </c>
      <c r="AK73" s="83">
        <v>671</v>
      </c>
      <c r="AL73" s="83">
        <v>50</v>
      </c>
      <c r="AM73" s="86">
        <v>10.7</v>
      </c>
      <c r="AN73" s="86" t="s">
        <v>250</v>
      </c>
      <c r="AO73" s="83">
        <v>0.38</v>
      </c>
      <c r="AP73" s="83">
        <v>0.99</v>
      </c>
      <c r="AQ73" s="82">
        <v>1</v>
      </c>
      <c r="AR73" s="86"/>
    </row>
    <row r="74" spans="1:44" s="83" customFormat="1" x14ac:dyDescent="0.25">
      <c r="A74" s="83" t="s">
        <v>548</v>
      </c>
      <c r="B74" s="83">
        <v>2</v>
      </c>
      <c r="C74" s="83">
        <v>67</v>
      </c>
      <c r="D74" s="83">
        <f t="shared" si="10"/>
        <v>3</v>
      </c>
      <c r="E74" s="83">
        <f t="shared" si="11"/>
        <v>3</v>
      </c>
      <c r="F74" s="83">
        <f t="shared" si="9"/>
        <v>11</v>
      </c>
      <c r="G74" s="81">
        <v>6700632</v>
      </c>
      <c r="H74" s="81">
        <v>6397</v>
      </c>
      <c r="I74" s="117" t="s">
        <v>517</v>
      </c>
      <c r="J74" s="81">
        <f t="shared" si="7"/>
        <v>1</v>
      </c>
      <c r="K74" s="61" t="s">
        <v>31</v>
      </c>
      <c r="L74" s="103" t="s">
        <v>518</v>
      </c>
      <c r="M74" s="83" t="s">
        <v>86</v>
      </c>
      <c r="N74" s="61">
        <v>0</v>
      </c>
      <c r="O74" s="61">
        <v>0</v>
      </c>
      <c r="P74" s="61">
        <v>0</v>
      </c>
      <c r="Q74" s="110">
        <v>1</v>
      </c>
      <c r="S74" s="83" t="s">
        <v>106</v>
      </c>
      <c r="V74" s="109"/>
      <c r="W74" s="83">
        <v>1.5</v>
      </c>
      <c r="X74" s="103">
        <v>0.45</v>
      </c>
      <c r="Y74" s="103">
        <v>0</v>
      </c>
      <c r="AA74" s="83">
        <v>9000</v>
      </c>
      <c r="AB74" s="83">
        <v>0.18</v>
      </c>
      <c r="AC74" s="83">
        <v>800</v>
      </c>
      <c r="AD74" s="83">
        <v>1</v>
      </c>
      <c r="AE74" s="83">
        <v>32</v>
      </c>
      <c r="AF74" s="83">
        <v>0.56000000000000005</v>
      </c>
      <c r="AG74" s="84">
        <v>1</v>
      </c>
      <c r="AH74" s="84">
        <v>0.98509999999999998</v>
      </c>
      <c r="AI74" s="84">
        <v>0.20039999999999999</v>
      </c>
      <c r="AJ74" s="81">
        <v>500</v>
      </c>
      <c r="AK74" s="83">
        <v>671</v>
      </c>
      <c r="AL74" s="83">
        <v>50</v>
      </c>
      <c r="AM74" s="86">
        <v>10.7</v>
      </c>
      <c r="AN74" s="86" t="s">
        <v>250</v>
      </c>
      <c r="AO74" s="83">
        <v>0.38</v>
      </c>
      <c r="AP74" s="83">
        <v>0.99</v>
      </c>
      <c r="AQ74" s="82">
        <v>1</v>
      </c>
      <c r="AR74" s="86" t="s">
        <v>520</v>
      </c>
    </row>
    <row r="75" spans="1:44" s="83" customFormat="1" x14ac:dyDescent="0.25">
      <c r="A75" s="83" t="s">
        <v>548</v>
      </c>
      <c r="B75" s="83">
        <v>2</v>
      </c>
      <c r="C75" s="83">
        <v>67</v>
      </c>
      <c r="D75" s="83">
        <f t="shared" si="10"/>
        <v>3</v>
      </c>
      <c r="E75" s="83">
        <f t="shared" si="11"/>
        <v>4</v>
      </c>
      <c r="F75" s="83">
        <f t="shared" si="9"/>
        <v>12</v>
      </c>
      <c r="G75" s="81">
        <v>6701000</v>
      </c>
      <c r="H75" s="81">
        <v>6259</v>
      </c>
      <c r="I75" s="81" t="s">
        <v>541</v>
      </c>
      <c r="J75" s="81">
        <f t="shared" si="7"/>
        <v>1</v>
      </c>
      <c r="K75" s="61" t="s">
        <v>31</v>
      </c>
      <c r="L75" s="61" t="s">
        <v>280</v>
      </c>
      <c r="M75" s="61" t="s">
        <v>86</v>
      </c>
      <c r="N75" s="61">
        <v>0</v>
      </c>
      <c r="O75" s="61">
        <v>0</v>
      </c>
      <c r="P75" s="61">
        <v>0</v>
      </c>
      <c r="Q75" s="110">
        <v>1</v>
      </c>
      <c r="R75" s="61"/>
      <c r="S75" s="61" t="s">
        <v>106</v>
      </c>
      <c r="V75" s="109"/>
      <c r="W75" s="83">
        <v>1.5</v>
      </c>
      <c r="X75" s="110">
        <v>5.4729999999999999</v>
      </c>
      <c r="Y75" s="65">
        <f>Z75</f>
        <v>2.5</v>
      </c>
      <c r="Z75" s="61">
        <v>2.5</v>
      </c>
      <c r="AA75" s="83">
        <v>9000</v>
      </c>
      <c r="AB75" s="83">
        <v>0.18</v>
      </c>
      <c r="AC75" s="83">
        <v>800</v>
      </c>
      <c r="AD75" s="83">
        <v>1</v>
      </c>
      <c r="AE75" s="83">
        <v>32</v>
      </c>
      <c r="AF75" s="83">
        <v>0.56000000000000005</v>
      </c>
      <c r="AG75" s="84">
        <v>1</v>
      </c>
      <c r="AH75" s="84">
        <v>0.98509999999999998</v>
      </c>
      <c r="AI75" s="84">
        <v>0.20039999999999999</v>
      </c>
      <c r="AJ75" s="81">
        <v>500</v>
      </c>
      <c r="AK75" s="83">
        <v>671</v>
      </c>
      <c r="AL75" s="83">
        <v>50</v>
      </c>
      <c r="AM75" s="86">
        <v>10.7</v>
      </c>
      <c r="AN75" s="86" t="s">
        <v>250</v>
      </c>
      <c r="AO75" s="83">
        <v>0.38</v>
      </c>
      <c r="AP75" s="83">
        <v>0.99</v>
      </c>
      <c r="AQ75" s="82">
        <v>1</v>
      </c>
      <c r="AR75" s="86"/>
    </row>
    <row r="76" spans="1:44" s="83" customFormat="1" x14ac:dyDescent="0.25">
      <c r="A76" s="83" t="s">
        <v>548</v>
      </c>
      <c r="B76" s="83">
        <v>2</v>
      </c>
      <c r="C76" s="83">
        <v>67</v>
      </c>
      <c r="D76" s="83">
        <f t="shared" si="10"/>
        <v>3</v>
      </c>
      <c r="E76" s="83">
        <f t="shared" si="11"/>
        <v>5</v>
      </c>
      <c r="F76" s="83">
        <f t="shared" si="9"/>
        <v>13</v>
      </c>
      <c r="G76" s="81">
        <v>6701014</v>
      </c>
      <c r="H76" s="81">
        <v>6256</v>
      </c>
      <c r="I76" s="117" t="s">
        <v>542</v>
      </c>
      <c r="J76" s="81">
        <f t="shared" si="7"/>
        <v>1</v>
      </c>
      <c r="K76" s="61" t="s">
        <v>31</v>
      </c>
      <c r="L76" s="61" t="s">
        <v>533</v>
      </c>
      <c r="M76" s="61" t="s">
        <v>86</v>
      </c>
      <c r="N76" s="61">
        <v>0</v>
      </c>
      <c r="O76" s="61">
        <v>0</v>
      </c>
      <c r="P76" s="61">
        <v>0</v>
      </c>
      <c r="Q76" s="110">
        <v>1</v>
      </c>
      <c r="R76" s="61"/>
      <c r="S76" s="61" t="s">
        <v>106</v>
      </c>
      <c r="V76" s="109"/>
      <c r="W76" s="83">
        <v>1.5</v>
      </c>
      <c r="X76" s="110">
        <v>10.96</v>
      </c>
      <c r="Y76" s="65">
        <v>2.5</v>
      </c>
      <c r="Z76" s="61"/>
      <c r="AA76" s="83">
        <v>9000</v>
      </c>
      <c r="AB76" s="83">
        <v>0.18</v>
      </c>
      <c r="AC76" s="83">
        <v>800</v>
      </c>
      <c r="AD76" s="83">
        <v>1</v>
      </c>
      <c r="AE76" s="83">
        <v>32</v>
      </c>
      <c r="AF76" s="83">
        <v>0.56000000000000005</v>
      </c>
      <c r="AG76" s="84">
        <v>1</v>
      </c>
      <c r="AH76" s="84">
        <v>0.98509999999999998</v>
      </c>
      <c r="AI76" s="84">
        <v>0.20039999999999999</v>
      </c>
      <c r="AJ76" s="81">
        <v>500</v>
      </c>
      <c r="AK76" s="83">
        <v>671</v>
      </c>
      <c r="AL76" s="83">
        <v>50</v>
      </c>
      <c r="AM76" s="86">
        <v>10.7</v>
      </c>
      <c r="AN76" s="86" t="s">
        <v>250</v>
      </c>
      <c r="AO76" s="83">
        <v>0.38</v>
      </c>
      <c r="AP76" s="83">
        <v>0.99</v>
      </c>
      <c r="AQ76" s="82">
        <v>1</v>
      </c>
      <c r="AR76" s="80" t="s">
        <v>532</v>
      </c>
    </row>
    <row r="77" spans="1:44" s="83" customFormat="1" x14ac:dyDescent="0.25">
      <c r="A77" s="83" t="s">
        <v>548</v>
      </c>
      <c r="B77" s="83">
        <v>2</v>
      </c>
      <c r="C77" s="83">
        <v>67</v>
      </c>
      <c r="D77" s="83">
        <f t="shared" si="10"/>
        <v>3</v>
      </c>
      <c r="E77" s="83">
        <f t="shared" si="11"/>
        <v>6</v>
      </c>
      <c r="F77" s="83">
        <f t="shared" si="9"/>
        <v>14</v>
      </c>
      <c r="G77" s="81">
        <v>6701015</v>
      </c>
      <c r="H77" s="81">
        <v>6256</v>
      </c>
      <c r="I77" s="117" t="s">
        <v>543</v>
      </c>
      <c r="J77" s="81">
        <f t="shared" si="7"/>
        <v>1</v>
      </c>
      <c r="K77" s="61" t="s">
        <v>31</v>
      </c>
      <c r="L77" s="61" t="s">
        <v>534</v>
      </c>
      <c r="M77" s="61" t="s">
        <v>86</v>
      </c>
      <c r="N77" s="61">
        <v>0</v>
      </c>
      <c r="O77" s="61">
        <v>0</v>
      </c>
      <c r="P77" s="61">
        <v>0</v>
      </c>
      <c r="Q77" s="110">
        <v>1</v>
      </c>
      <c r="R77" s="61"/>
      <c r="S77" s="61" t="s">
        <v>106</v>
      </c>
      <c r="V77" s="109"/>
      <c r="W77" s="83">
        <v>1.5</v>
      </c>
      <c r="X77" s="110">
        <v>10.08</v>
      </c>
      <c r="Y77" s="65">
        <v>2.5</v>
      </c>
      <c r="Z77" s="61"/>
      <c r="AA77" s="83">
        <v>9000</v>
      </c>
      <c r="AB77" s="83">
        <v>0.18</v>
      </c>
      <c r="AC77" s="83">
        <v>800</v>
      </c>
      <c r="AD77" s="83">
        <v>1</v>
      </c>
      <c r="AE77" s="83">
        <v>32</v>
      </c>
      <c r="AF77" s="83">
        <v>0.56000000000000005</v>
      </c>
      <c r="AG77" s="84">
        <v>1</v>
      </c>
      <c r="AH77" s="84">
        <v>0.98509999999999998</v>
      </c>
      <c r="AI77" s="84">
        <v>0.20039999999999999</v>
      </c>
      <c r="AJ77" s="81">
        <v>500</v>
      </c>
      <c r="AK77" s="83">
        <v>671</v>
      </c>
      <c r="AL77" s="83">
        <v>50</v>
      </c>
      <c r="AM77" s="86">
        <v>10.7</v>
      </c>
      <c r="AN77" s="86" t="s">
        <v>250</v>
      </c>
      <c r="AO77" s="83">
        <v>0.38</v>
      </c>
      <c r="AP77" s="83">
        <v>0.99</v>
      </c>
      <c r="AQ77" s="82">
        <v>1</v>
      </c>
      <c r="AR77" s="80" t="s">
        <v>532</v>
      </c>
    </row>
    <row r="78" spans="1:44" s="68" customFormat="1" x14ac:dyDescent="0.25">
      <c r="A78" s="68" t="s">
        <v>548</v>
      </c>
      <c r="B78" s="68">
        <v>2</v>
      </c>
      <c r="C78" s="68">
        <v>67</v>
      </c>
      <c r="D78" s="68">
        <f t="shared" si="10"/>
        <v>3</v>
      </c>
      <c r="E78" s="68">
        <f t="shared" si="11"/>
        <v>7</v>
      </c>
      <c r="F78" s="68">
        <f t="shared" si="9"/>
        <v>15</v>
      </c>
      <c r="G78" s="69">
        <v>6700614</v>
      </c>
      <c r="H78" s="69"/>
      <c r="I78" s="69" t="s">
        <v>151</v>
      </c>
      <c r="J78" s="69">
        <f t="shared" si="7"/>
        <v>-1</v>
      </c>
      <c r="K78" s="68" t="s">
        <v>32</v>
      </c>
      <c r="L78" s="68" t="s">
        <v>137</v>
      </c>
      <c r="M78" s="68" t="s">
        <v>86</v>
      </c>
      <c r="N78" s="68">
        <v>33.9</v>
      </c>
      <c r="O78" s="68">
        <v>161</v>
      </c>
      <c r="P78" s="68">
        <v>189</v>
      </c>
      <c r="Q78" s="70"/>
      <c r="S78" s="68" t="s">
        <v>106</v>
      </c>
      <c r="V78" s="71"/>
      <c r="W78" s="68">
        <v>1.5</v>
      </c>
      <c r="X78" s="70"/>
      <c r="Y78" s="71"/>
      <c r="Z78" s="71"/>
      <c r="AA78" s="68">
        <v>9000</v>
      </c>
      <c r="AB78" s="68">
        <v>0.18</v>
      </c>
      <c r="AC78" s="68">
        <v>800</v>
      </c>
      <c r="AD78" s="68">
        <v>1</v>
      </c>
      <c r="AE78" s="68">
        <v>32</v>
      </c>
      <c r="AF78" s="68">
        <v>0.56000000000000005</v>
      </c>
      <c r="AG78" s="70">
        <v>1</v>
      </c>
      <c r="AH78" s="70">
        <v>0.98509999999999998</v>
      </c>
      <c r="AI78" s="70">
        <v>0.20039999999999999</v>
      </c>
      <c r="AJ78" s="69">
        <v>500</v>
      </c>
      <c r="AK78" s="68">
        <v>671</v>
      </c>
      <c r="AL78" s="68">
        <v>50</v>
      </c>
      <c r="AM78" s="72">
        <v>10.7</v>
      </c>
      <c r="AN78" s="72" t="s">
        <v>250</v>
      </c>
      <c r="AO78" s="68">
        <v>0.38</v>
      </c>
      <c r="AP78" s="68">
        <v>0.99</v>
      </c>
      <c r="AQ78" s="71">
        <v>1</v>
      </c>
      <c r="AR78" s="72"/>
    </row>
    <row r="79" spans="1:44" x14ac:dyDescent="0.25">
      <c r="A79" s="61" t="s">
        <v>548</v>
      </c>
      <c r="B79" s="61">
        <v>2</v>
      </c>
      <c r="C79" s="61">
        <v>67</v>
      </c>
      <c r="D79" s="61">
        <f>D78+1</f>
        <v>4</v>
      </c>
      <c r="E79" s="61">
        <v>1</v>
      </c>
      <c r="F79" s="61">
        <f t="shared" si="9"/>
        <v>16</v>
      </c>
      <c r="G79" s="75">
        <v>6709500</v>
      </c>
      <c r="I79" s="75" t="s">
        <v>144</v>
      </c>
      <c r="J79" s="81">
        <f t="shared" si="7"/>
        <v>0</v>
      </c>
      <c r="K79" s="61" t="s">
        <v>33</v>
      </c>
      <c r="L79" s="61" t="s">
        <v>138</v>
      </c>
      <c r="M79" s="61" t="s">
        <v>86</v>
      </c>
      <c r="N79" s="61">
        <v>16.8</v>
      </c>
      <c r="O79" s="61">
        <v>69</v>
      </c>
      <c r="P79" s="61">
        <v>307</v>
      </c>
      <c r="S79" s="61" t="s">
        <v>106</v>
      </c>
      <c r="V79" s="103"/>
      <c r="W79" s="80">
        <v>1</v>
      </c>
      <c r="X79" s="110"/>
      <c r="Y79" s="103"/>
      <c r="Z79" s="103"/>
      <c r="AA79" s="61">
        <v>17500</v>
      </c>
      <c r="AB79" s="61">
        <v>0.18</v>
      </c>
      <c r="AC79" s="61">
        <v>1000</v>
      </c>
      <c r="AD79" s="61">
        <v>1</v>
      </c>
      <c r="AE79" s="61">
        <v>32</v>
      </c>
      <c r="AF79" s="61">
        <v>0.56000000000000005</v>
      </c>
      <c r="AG79" s="79">
        <v>1</v>
      </c>
      <c r="AH79" s="79">
        <v>0.83</v>
      </c>
      <c r="AI79" s="79">
        <v>0.2</v>
      </c>
      <c r="AJ79" s="75">
        <v>500</v>
      </c>
      <c r="AK79" s="61">
        <v>673</v>
      </c>
      <c r="AL79" s="61">
        <v>50</v>
      </c>
      <c r="AM79" s="78">
        <v>29.7</v>
      </c>
      <c r="AN79" s="86" t="s">
        <v>250</v>
      </c>
      <c r="AO79" s="61">
        <v>0.38</v>
      </c>
      <c r="AP79" s="61">
        <v>0.99</v>
      </c>
      <c r="AQ79" s="65">
        <v>1</v>
      </c>
    </row>
    <row r="80" spans="1:44" x14ac:dyDescent="0.25">
      <c r="A80" s="61" t="s">
        <v>548</v>
      </c>
      <c r="B80" s="61">
        <v>2</v>
      </c>
      <c r="C80" s="61">
        <v>67</v>
      </c>
      <c r="D80" s="61">
        <f t="shared" ref="D80:D86" si="12">D79</f>
        <v>4</v>
      </c>
      <c r="E80" s="61">
        <f t="shared" ref="E80:E86" si="13">E79+1</f>
        <v>2</v>
      </c>
      <c r="F80" s="61">
        <f t="shared" si="9"/>
        <v>17</v>
      </c>
      <c r="G80" s="75">
        <v>6700663</v>
      </c>
      <c r="H80" s="75">
        <v>6398</v>
      </c>
      <c r="I80" s="119" t="s">
        <v>544</v>
      </c>
      <c r="J80" s="81">
        <f t="shared" si="7"/>
        <v>1</v>
      </c>
      <c r="K80" s="61" t="s">
        <v>31</v>
      </c>
      <c r="L80" s="122" t="s">
        <v>521</v>
      </c>
      <c r="M80" s="61" t="s">
        <v>86</v>
      </c>
      <c r="N80" s="61">
        <v>0</v>
      </c>
      <c r="O80" s="61">
        <v>0</v>
      </c>
      <c r="P80" s="61">
        <v>0</v>
      </c>
      <c r="Q80" s="79">
        <v>1</v>
      </c>
      <c r="S80" s="61" t="s">
        <v>106</v>
      </c>
      <c r="V80" s="103"/>
      <c r="W80" s="80">
        <v>1</v>
      </c>
      <c r="X80" s="110">
        <v>0.83</v>
      </c>
      <c r="Y80" s="103">
        <v>0</v>
      </c>
      <c r="Z80" s="103"/>
      <c r="AA80" s="61">
        <v>17500</v>
      </c>
      <c r="AB80" s="61">
        <v>0.18</v>
      </c>
      <c r="AC80" s="61">
        <v>1000</v>
      </c>
      <c r="AD80" s="61">
        <v>1</v>
      </c>
      <c r="AE80" s="61">
        <v>32</v>
      </c>
      <c r="AF80" s="61">
        <v>0.56000000000000005</v>
      </c>
      <c r="AG80" s="79">
        <v>1</v>
      </c>
      <c r="AH80" s="79">
        <v>0.83</v>
      </c>
      <c r="AI80" s="79">
        <v>0.2</v>
      </c>
      <c r="AJ80" s="75">
        <v>500</v>
      </c>
      <c r="AK80" s="61">
        <v>673</v>
      </c>
      <c r="AL80" s="61">
        <v>50</v>
      </c>
      <c r="AM80" s="80">
        <v>29.7</v>
      </c>
      <c r="AN80" s="80" t="s">
        <v>250</v>
      </c>
      <c r="AO80" s="61">
        <v>0.38</v>
      </c>
      <c r="AP80" s="61">
        <v>0.99</v>
      </c>
      <c r="AQ80" s="65">
        <v>1</v>
      </c>
      <c r="AR80" s="80" t="s">
        <v>522</v>
      </c>
    </row>
    <row r="81" spans="1:44" x14ac:dyDescent="0.25">
      <c r="A81" s="61" t="s">
        <v>548</v>
      </c>
      <c r="B81" s="61">
        <v>2</v>
      </c>
      <c r="C81" s="61">
        <v>67</v>
      </c>
      <c r="D81" s="61">
        <f t="shared" si="12"/>
        <v>4</v>
      </c>
      <c r="E81" s="61">
        <f t="shared" si="13"/>
        <v>3</v>
      </c>
      <c r="F81" s="61">
        <f t="shared" si="9"/>
        <v>18</v>
      </c>
      <c r="G81" s="75">
        <v>6700612</v>
      </c>
      <c r="I81" s="75" t="s">
        <v>152</v>
      </c>
      <c r="J81" s="81">
        <f t="shared" si="7"/>
        <v>-1</v>
      </c>
      <c r="K81" s="61" t="s">
        <v>32</v>
      </c>
      <c r="L81" s="61" t="s">
        <v>139</v>
      </c>
      <c r="M81" s="61" t="s">
        <v>86</v>
      </c>
      <c r="N81" s="61">
        <v>2.2999999999999998</v>
      </c>
      <c r="O81" s="61">
        <v>9</v>
      </c>
      <c r="P81" s="61">
        <v>11.3</v>
      </c>
      <c r="S81" s="61" t="s">
        <v>106</v>
      </c>
      <c r="V81" s="103"/>
      <c r="W81" s="80">
        <v>1</v>
      </c>
      <c r="X81" s="110"/>
      <c r="Y81" s="103"/>
      <c r="Z81" s="103"/>
      <c r="AA81" s="61">
        <v>17500</v>
      </c>
      <c r="AB81" s="61">
        <v>0.18</v>
      </c>
      <c r="AC81" s="61">
        <v>1000</v>
      </c>
      <c r="AD81" s="61">
        <v>1</v>
      </c>
      <c r="AE81" s="61">
        <v>32</v>
      </c>
      <c r="AF81" s="61">
        <v>0.56000000000000005</v>
      </c>
      <c r="AG81" s="79">
        <v>1</v>
      </c>
      <c r="AH81" s="79">
        <v>0.83</v>
      </c>
      <c r="AI81" s="79">
        <v>0.2</v>
      </c>
      <c r="AJ81" s="75">
        <v>500</v>
      </c>
      <c r="AK81" s="61">
        <v>673</v>
      </c>
      <c r="AL81" s="61">
        <v>50</v>
      </c>
      <c r="AM81" s="80">
        <v>29.7</v>
      </c>
      <c r="AN81" s="80" t="s">
        <v>250</v>
      </c>
      <c r="AO81" s="61">
        <v>0.38</v>
      </c>
      <c r="AP81" s="61">
        <v>0.99</v>
      </c>
      <c r="AQ81" s="65">
        <v>1</v>
      </c>
    </row>
    <row r="82" spans="1:44" x14ac:dyDescent="0.25">
      <c r="A82" s="61" t="s">
        <v>548</v>
      </c>
      <c r="B82" s="61">
        <v>2</v>
      </c>
      <c r="C82" s="61">
        <v>67</v>
      </c>
      <c r="D82" s="61">
        <f t="shared" si="12"/>
        <v>4</v>
      </c>
      <c r="E82" s="61">
        <f t="shared" si="13"/>
        <v>4</v>
      </c>
      <c r="F82" s="61">
        <f t="shared" si="9"/>
        <v>19</v>
      </c>
      <c r="G82" s="75">
        <v>6701011</v>
      </c>
      <c r="H82" s="75">
        <v>6257</v>
      </c>
      <c r="I82" s="75" t="s">
        <v>546</v>
      </c>
      <c r="J82" s="81">
        <f t="shared" si="7"/>
        <v>1</v>
      </c>
      <c r="K82" s="61" t="s">
        <v>31</v>
      </c>
      <c r="L82" s="61" t="s">
        <v>281</v>
      </c>
      <c r="M82" s="61" t="s">
        <v>86</v>
      </c>
      <c r="N82" s="61">
        <v>0</v>
      </c>
      <c r="O82" s="61">
        <v>0</v>
      </c>
      <c r="P82" s="61">
        <v>0</v>
      </c>
      <c r="Q82" s="79">
        <v>1</v>
      </c>
      <c r="S82" s="61" t="s">
        <v>106</v>
      </c>
      <c r="V82" s="103"/>
      <c r="W82" s="80">
        <v>1</v>
      </c>
      <c r="X82" s="110">
        <v>4.0869999999999997</v>
      </c>
      <c r="Y82" s="65">
        <f>Z82</f>
        <v>2.5</v>
      </c>
      <c r="Z82" s="61">
        <v>2.5</v>
      </c>
      <c r="AA82" s="61">
        <v>17500</v>
      </c>
      <c r="AB82" s="61">
        <v>0.18</v>
      </c>
      <c r="AC82" s="61">
        <v>1000</v>
      </c>
      <c r="AD82" s="61">
        <v>1</v>
      </c>
      <c r="AE82" s="61">
        <v>32</v>
      </c>
      <c r="AF82" s="61">
        <v>0.56000000000000005</v>
      </c>
      <c r="AG82" s="79">
        <v>1</v>
      </c>
      <c r="AH82" s="79">
        <v>0.83</v>
      </c>
      <c r="AI82" s="79">
        <v>0.2</v>
      </c>
      <c r="AJ82" s="75">
        <v>500</v>
      </c>
      <c r="AK82" s="61">
        <v>673</v>
      </c>
      <c r="AL82" s="61">
        <v>50</v>
      </c>
      <c r="AM82" s="80">
        <v>29.7</v>
      </c>
      <c r="AN82" s="80" t="s">
        <v>250</v>
      </c>
      <c r="AO82" s="61">
        <v>0.38</v>
      </c>
      <c r="AP82" s="61">
        <v>0.99</v>
      </c>
      <c r="AQ82" s="65">
        <v>1</v>
      </c>
      <c r="AR82" s="80" t="s">
        <v>524</v>
      </c>
    </row>
    <row r="83" spans="1:44" x14ac:dyDescent="0.25">
      <c r="A83" s="61" t="s">
        <v>548</v>
      </c>
      <c r="B83" s="61">
        <v>2</v>
      </c>
      <c r="C83" s="61">
        <v>67</v>
      </c>
      <c r="D83" s="61">
        <f t="shared" si="12"/>
        <v>4</v>
      </c>
      <c r="E83" s="61">
        <f t="shared" si="13"/>
        <v>5</v>
      </c>
      <c r="F83" s="61">
        <f t="shared" si="9"/>
        <v>20</v>
      </c>
      <c r="G83" s="75">
        <v>6700611</v>
      </c>
      <c r="H83" s="75">
        <v>6399</v>
      </c>
      <c r="I83" s="119" t="s">
        <v>545</v>
      </c>
      <c r="J83" s="81">
        <f t="shared" si="7"/>
        <v>1</v>
      </c>
      <c r="K83" s="61" t="s">
        <v>31</v>
      </c>
      <c r="L83" s="61" t="s">
        <v>523</v>
      </c>
      <c r="M83" s="61" t="s">
        <v>86</v>
      </c>
      <c r="N83" s="61">
        <v>0</v>
      </c>
      <c r="O83" s="61">
        <v>0</v>
      </c>
      <c r="P83" s="61">
        <v>0</v>
      </c>
      <c r="Q83" s="79">
        <v>1</v>
      </c>
      <c r="S83" s="61" t="s">
        <v>106</v>
      </c>
      <c r="V83" s="103"/>
      <c r="W83" s="80">
        <v>1</v>
      </c>
      <c r="X83" s="110">
        <v>0.96</v>
      </c>
      <c r="Y83" s="103">
        <v>0</v>
      </c>
      <c r="AA83" s="61">
        <v>17500</v>
      </c>
      <c r="AB83" s="61">
        <v>0.18</v>
      </c>
      <c r="AC83" s="61">
        <v>1000</v>
      </c>
      <c r="AD83" s="61">
        <v>1</v>
      </c>
      <c r="AE83" s="61">
        <v>32</v>
      </c>
      <c r="AF83" s="61">
        <v>0.56000000000000005</v>
      </c>
      <c r="AG83" s="79">
        <v>1</v>
      </c>
      <c r="AH83" s="79">
        <v>0.83</v>
      </c>
      <c r="AI83" s="79">
        <v>0.2</v>
      </c>
      <c r="AJ83" s="75">
        <v>500</v>
      </c>
      <c r="AK83" s="61">
        <v>673</v>
      </c>
      <c r="AL83" s="61">
        <v>50</v>
      </c>
      <c r="AM83" s="80">
        <v>29.7</v>
      </c>
      <c r="AN83" s="80" t="s">
        <v>250</v>
      </c>
      <c r="AO83" s="61">
        <v>0.38</v>
      </c>
      <c r="AP83" s="61">
        <v>0.99</v>
      </c>
      <c r="AQ83" s="65">
        <v>1</v>
      </c>
      <c r="AR83" s="80" t="s">
        <v>522</v>
      </c>
    </row>
    <row r="84" spans="1:44" x14ac:dyDescent="0.25">
      <c r="A84" s="61" t="s">
        <v>548</v>
      </c>
      <c r="B84" s="61">
        <v>2</v>
      </c>
      <c r="C84" s="61">
        <v>67</v>
      </c>
      <c r="D84" s="61">
        <f t="shared" si="12"/>
        <v>4</v>
      </c>
      <c r="E84" s="61">
        <f t="shared" si="13"/>
        <v>6</v>
      </c>
      <c r="F84" s="61">
        <f t="shared" si="9"/>
        <v>21</v>
      </c>
      <c r="G84" s="75">
        <v>6709502</v>
      </c>
      <c r="H84" s="75">
        <v>1020</v>
      </c>
      <c r="I84" s="75" t="s">
        <v>145</v>
      </c>
      <c r="J84" s="81">
        <f t="shared" si="7"/>
        <v>1</v>
      </c>
      <c r="K84" s="61" t="s">
        <v>31</v>
      </c>
      <c r="L84" s="61" t="s">
        <v>157</v>
      </c>
      <c r="M84" s="61" t="s">
        <v>86</v>
      </c>
      <c r="N84" s="61">
        <v>29.1</v>
      </c>
      <c r="O84" s="61">
        <v>23.8</v>
      </c>
      <c r="P84" s="61">
        <v>15.5</v>
      </c>
      <c r="S84" s="61" t="s">
        <v>106</v>
      </c>
      <c r="V84" s="103"/>
      <c r="W84" s="80">
        <v>1</v>
      </c>
      <c r="X84" s="110"/>
      <c r="Y84" s="103"/>
      <c r="Z84" s="103"/>
      <c r="AA84" s="61">
        <v>17500</v>
      </c>
      <c r="AB84" s="61">
        <v>0.18</v>
      </c>
      <c r="AC84" s="61">
        <v>1000</v>
      </c>
      <c r="AD84" s="61">
        <v>1</v>
      </c>
      <c r="AE84" s="61">
        <v>32</v>
      </c>
      <c r="AF84" s="61">
        <v>0.56000000000000005</v>
      </c>
      <c r="AG84" s="79">
        <v>1</v>
      </c>
      <c r="AH84" s="79">
        <v>0.83</v>
      </c>
      <c r="AI84" s="79">
        <v>0.2</v>
      </c>
      <c r="AJ84" s="75">
        <v>500</v>
      </c>
      <c r="AK84" s="61">
        <v>673</v>
      </c>
      <c r="AL84" s="61">
        <v>50</v>
      </c>
      <c r="AM84" s="80">
        <v>29.7</v>
      </c>
      <c r="AN84" s="80" t="s">
        <v>250</v>
      </c>
      <c r="AO84" s="61">
        <v>0.38</v>
      </c>
      <c r="AP84" s="61">
        <v>0.99</v>
      </c>
      <c r="AQ84" s="65">
        <v>1</v>
      </c>
    </row>
    <row r="85" spans="1:44" x14ac:dyDescent="0.25">
      <c r="A85" s="61" t="s">
        <v>548</v>
      </c>
      <c r="B85" s="61">
        <v>2</v>
      </c>
      <c r="C85" s="61">
        <v>67</v>
      </c>
      <c r="D85" s="61">
        <f t="shared" si="12"/>
        <v>4</v>
      </c>
      <c r="E85" s="61">
        <f t="shared" si="13"/>
        <v>7</v>
      </c>
      <c r="F85" s="61">
        <f t="shared" si="9"/>
        <v>22</v>
      </c>
      <c r="G85" s="75">
        <v>6700617</v>
      </c>
      <c r="H85" s="75">
        <v>6391</v>
      </c>
      <c r="I85" s="75" t="s">
        <v>153</v>
      </c>
      <c r="J85" s="81">
        <f t="shared" si="7"/>
        <v>-1</v>
      </c>
      <c r="K85" s="61" t="s">
        <v>32</v>
      </c>
      <c r="N85" s="61">
        <v>0</v>
      </c>
      <c r="O85" s="61">
        <v>0</v>
      </c>
      <c r="P85" s="61">
        <v>0</v>
      </c>
      <c r="S85" s="61" t="s">
        <v>106</v>
      </c>
      <c r="V85" s="103"/>
      <c r="W85" s="80">
        <v>1</v>
      </c>
      <c r="X85" s="110"/>
      <c r="Y85" s="103"/>
      <c r="Z85" s="103"/>
      <c r="AA85" s="61">
        <v>17500</v>
      </c>
      <c r="AB85" s="61">
        <v>0.18</v>
      </c>
      <c r="AC85" s="61">
        <v>1000</v>
      </c>
      <c r="AD85" s="61">
        <v>1</v>
      </c>
      <c r="AE85" s="61">
        <v>32</v>
      </c>
      <c r="AF85" s="61">
        <v>0.56000000000000005</v>
      </c>
      <c r="AG85" s="79">
        <v>1</v>
      </c>
      <c r="AH85" s="79">
        <v>0.83</v>
      </c>
      <c r="AI85" s="79">
        <v>0.2</v>
      </c>
      <c r="AJ85" s="75">
        <v>500</v>
      </c>
      <c r="AK85" s="61">
        <v>673</v>
      </c>
      <c r="AL85" s="61">
        <v>50</v>
      </c>
      <c r="AM85" s="80">
        <v>29.7</v>
      </c>
      <c r="AN85" s="80" t="s">
        <v>250</v>
      </c>
      <c r="AO85" s="61">
        <v>0.38</v>
      </c>
      <c r="AP85" s="61">
        <v>0.99</v>
      </c>
      <c r="AQ85" s="65">
        <v>1</v>
      </c>
      <c r="AR85" s="80" t="s">
        <v>257</v>
      </c>
    </row>
    <row r="86" spans="1:44" x14ac:dyDescent="0.25">
      <c r="A86" s="61" t="s">
        <v>548</v>
      </c>
      <c r="B86" s="61">
        <v>2</v>
      </c>
      <c r="C86" s="61">
        <v>67</v>
      </c>
      <c r="D86" s="61">
        <f t="shared" si="12"/>
        <v>4</v>
      </c>
      <c r="E86" s="61">
        <f t="shared" si="13"/>
        <v>8</v>
      </c>
      <c r="F86" s="61">
        <f t="shared" si="9"/>
        <v>23</v>
      </c>
      <c r="G86" s="75">
        <v>6700608</v>
      </c>
      <c r="I86" s="75" t="s">
        <v>154</v>
      </c>
      <c r="J86" s="81">
        <f t="shared" si="7"/>
        <v>-1</v>
      </c>
      <c r="K86" s="61" t="s">
        <v>32</v>
      </c>
      <c r="L86" s="61" t="s">
        <v>140</v>
      </c>
      <c r="M86" s="61" t="s">
        <v>86</v>
      </c>
      <c r="N86" s="61">
        <v>21.4</v>
      </c>
      <c r="O86" s="61">
        <v>27.6</v>
      </c>
      <c r="P86" s="61">
        <v>56.7</v>
      </c>
      <c r="S86" s="61" t="s">
        <v>106</v>
      </c>
      <c r="V86" s="103"/>
      <c r="W86" s="80">
        <v>1</v>
      </c>
      <c r="X86" s="110"/>
      <c r="Y86" s="103"/>
      <c r="Z86" s="103"/>
      <c r="AA86" s="61">
        <v>17500</v>
      </c>
      <c r="AB86" s="61">
        <v>0.18</v>
      </c>
      <c r="AC86" s="61">
        <v>1000</v>
      </c>
      <c r="AD86" s="61">
        <v>1</v>
      </c>
      <c r="AE86" s="61">
        <v>32</v>
      </c>
      <c r="AF86" s="61">
        <v>0.56000000000000005</v>
      </c>
      <c r="AG86" s="79">
        <v>1</v>
      </c>
      <c r="AH86" s="79">
        <v>0.83</v>
      </c>
      <c r="AI86" s="79">
        <v>0.2</v>
      </c>
      <c r="AJ86" s="75">
        <v>500</v>
      </c>
      <c r="AK86" s="61">
        <v>673</v>
      </c>
      <c r="AL86" s="61">
        <v>50</v>
      </c>
      <c r="AM86" s="80">
        <v>29.7</v>
      </c>
      <c r="AN86" s="80" t="s">
        <v>250</v>
      </c>
      <c r="AO86" s="61">
        <v>0.38</v>
      </c>
      <c r="AP86" s="61">
        <v>0.99</v>
      </c>
      <c r="AQ86" s="65">
        <v>1</v>
      </c>
    </row>
    <row r="87" spans="1:44" s="73" customFormat="1" x14ac:dyDescent="0.25">
      <c r="A87" s="73" t="s">
        <v>548</v>
      </c>
      <c r="B87" s="73">
        <v>2</v>
      </c>
      <c r="C87" s="73">
        <v>67</v>
      </c>
      <c r="D87" s="73">
        <f>D86+1</f>
        <v>5</v>
      </c>
      <c r="E87" s="73">
        <v>1</v>
      </c>
      <c r="F87" s="73">
        <f t="shared" si="9"/>
        <v>24</v>
      </c>
      <c r="G87" s="74">
        <v>6700904</v>
      </c>
      <c r="H87" s="74"/>
      <c r="I87" s="74" t="s">
        <v>146</v>
      </c>
      <c r="J87" s="74">
        <f t="shared" si="7"/>
        <v>0</v>
      </c>
      <c r="K87" s="73" t="s">
        <v>33</v>
      </c>
      <c r="L87" s="73" t="s">
        <v>141</v>
      </c>
      <c r="M87" s="73" t="s">
        <v>86</v>
      </c>
      <c r="N87" s="73">
        <v>68.400000000000006</v>
      </c>
      <c r="O87" s="73">
        <v>148</v>
      </c>
      <c r="P87" s="73">
        <v>329</v>
      </c>
      <c r="Q87" s="76"/>
      <c r="S87" s="73" t="s">
        <v>106</v>
      </c>
      <c r="W87" s="73">
        <v>0.8</v>
      </c>
      <c r="X87" s="76"/>
      <c r="AA87" s="73">
        <v>17500</v>
      </c>
      <c r="AB87" s="73">
        <v>0.18</v>
      </c>
      <c r="AC87" s="73">
        <v>1000</v>
      </c>
      <c r="AD87" s="73">
        <v>1</v>
      </c>
      <c r="AE87" s="73">
        <v>32</v>
      </c>
      <c r="AF87" s="73">
        <v>0.56000000000000005</v>
      </c>
      <c r="AG87" s="76">
        <v>1</v>
      </c>
      <c r="AH87" s="76">
        <v>0.70640000000000003</v>
      </c>
      <c r="AI87" s="76">
        <v>0.19439999999999999</v>
      </c>
      <c r="AJ87" s="74">
        <v>500</v>
      </c>
      <c r="AK87" s="73">
        <v>674</v>
      </c>
      <c r="AL87" s="73">
        <v>50</v>
      </c>
      <c r="AM87" s="78">
        <v>12.4</v>
      </c>
      <c r="AN87" s="78" t="s">
        <v>250</v>
      </c>
      <c r="AO87" s="73">
        <v>0.38</v>
      </c>
      <c r="AP87" s="73">
        <v>0.99</v>
      </c>
      <c r="AQ87" s="77">
        <v>1</v>
      </c>
      <c r="AR87" s="78"/>
    </row>
    <row r="88" spans="1:44" s="83" customFormat="1" x14ac:dyDescent="0.25">
      <c r="A88" s="83" t="s">
        <v>548</v>
      </c>
      <c r="B88" s="83">
        <v>2</v>
      </c>
      <c r="C88" s="83">
        <v>67</v>
      </c>
      <c r="D88" s="83">
        <f>D87</f>
        <v>5</v>
      </c>
      <c r="E88" s="83">
        <f>E87+1</f>
        <v>2</v>
      </c>
      <c r="F88" s="83">
        <f t="shared" si="9"/>
        <v>25</v>
      </c>
      <c r="G88" s="81">
        <v>6700727</v>
      </c>
      <c r="H88" s="81">
        <v>6400</v>
      </c>
      <c r="I88" s="117" t="s">
        <v>527</v>
      </c>
      <c r="J88" s="81">
        <f t="shared" si="7"/>
        <v>1</v>
      </c>
      <c r="K88" s="61" t="s">
        <v>31</v>
      </c>
      <c r="L88" s="122" t="s">
        <v>525</v>
      </c>
      <c r="M88" s="83" t="s">
        <v>86</v>
      </c>
      <c r="N88" s="61">
        <v>0</v>
      </c>
      <c r="O88" s="61">
        <v>0</v>
      </c>
      <c r="P88" s="61">
        <v>0</v>
      </c>
      <c r="Q88" s="79">
        <v>1</v>
      </c>
      <c r="R88" s="61"/>
      <c r="S88" s="61" t="s">
        <v>106</v>
      </c>
      <c r="W88" s="83">
        <v>0.8</v>
      </c>
      <c r="X88" s="110">
        <v>3.65</v>
      </c>
      <c r="Y88" s="103">
        <v>0</v>
      </c>
      <c r="Z88" s="103"/>
      <c r="AA88" s="83">
        <v>17500</v>
      </c>
      <c r="AB88" s="83">
        <v>0.18</v>
      </c>
      <c r="AC88" s="83">
        <v>1000</v>
      </c>
      <c r="AD88" s="83">
        <v>1</v>
      </c>
      <c r="AE88" s="83">
        <v>32</v>
      </c>
      <c r="AF88" s="83">
        <v>0.56000000000000005</v>
      </c>
      <c r="AG88" s="84">
        <v>1</v>
      </c>
      <c r="AH88" s="84">
        <v>0.70640000000000003</v>
      </c>
      <c r="AI88" s="84">
        <v>0.19439999999999999</v>
      </c>
      <c r="AJ88" s="81">
        <v>500</v>
      </c>
      <c r="AK88" s="83">
        <v>674</v>
      </c>
      <c r="AL88" s="83">
        <v>50</v>
      </c>
      <c r="AM88" s="86">
        <v>12.4</v>
      </c>
      <c r="AN88" s="86" t="s">
        <v>250</v>
      </c>
      <c r="AO88" s="83">
        <v>0.38</v>
      </c>
      <c r="AP88" s="83">
        <v>0.99</v>
      </c>
      <c r="AQ88" s="82">
        <v>1</v>
      </c>
      <c r="AR88" s="80" t="s">
        <v>563</v>
      </c>
    </row>
    <row r="89" spans="1:44" s="83" customFormat="1" x14ac:dyDescent="0.25">
      <c r="A89" s="83" t="s">
        <v>548</v>
      </c>
      <c r="B89" s="83">
        <v>2</v>
      </c>
      <c r="C89" s="83">
        <v>67</v>
      </c>
      <c r="D89" s="83">
        <f>D88</f>
        <v>5</v>
      </c>
      <c r="E89" s="83">
        <f>E88+1</f>
        <v>3</v>
      </c>
      <c r="F89" s="83">
        <f t="shared" si="9"/>
        <v>26</v>
      </c>
      <c r="G89" s="81">
        <v>6700618</v>
      </c>
      <c r="H89" s="63">
        <v>6400</v>
      </c>
      <c r="I89" s="117" t="s">
        <v>528</v>
      </c>
      <c r="J89" s="81">
        <f t="shared" si="7"/>
        <v>1</v>
      </c>
      <c r="K89" s="61" t="s">
        <v>31</v>
      </c>
      <c r="L89" s="103" t="s">
        <v>526</v>
      </c>
      <c r="M89" s="83" t="s">
        <v>86</v>
      </c>
      <c r="N89" s="61">
        <v>0</v>
      </c>
      <c r="O89" s="61">
        <v>0</v>
      </c>
      <c r="P89" s="61">
        <v>0</v>
      </c>
      <c r="Q89" s="79">
        <v>1</v>
      </c>
      <c r="R89" s="61"/>
      <c r="S89" s="61" t="s">
        <v>106</v>
      </c>
      <c r="W89" s="83">
        <v>0.8</v>
      </c>
      <c r="X89" s="110">
        <v>2.3199999999999998</v>
      </c>
      <c r="Y89" s="103">
        <v>0</v>
      </c>
      <c r="Z89" s="103"/>
      <c r="AA89" s="83">
        <v>17500</v>
      </c>
      <c r="AB89" s="83">
        <v>0.18</v>
      </c>
      <c r="AC89" s="83">
        <v>1000</v>
      </c>
      <c r="AD89" s="83">
        <v>1</v>
      </c>
      <c r="AE89" s="83">
        <v>32</v>
      </c>
      <c r="AF89" s="83">
        <v>0.56000000000000005</v>
      </c>
      <c r="AG89" s="84">
        <v>1</v>
      </c>
      <c r="AH89" s="84">
        <v>0.70640000000000003</v>
      </c>
      <c r="AI89" s="84">
        <v>0.19439999999999999</v>
      </c>
      <c r="AJ89" s="81">
        <v>500</v>
      </c>
      <c r="AK89" s="83">
        <v>674</v>
      </c>
      <c r="AL89" s="83">
        <v>50</v>
      </c>
      <c r="AM89" s="86">
        <v>12.4</v>
      </c>
      <c r="AN89" s="86" t="s">
        <v>250</v>
      </c>
      <c r="AO89" s="83">
        <v>0.38</v>
      </c>
      <c r="AP89" s="83">
        <v>0.99</v>
      </c>
      <c r="AQ89" s="82">
        <v>1</v>
      </c>
      <c r="AR89" s="80" t="s">
        <v>522</v>
      </c>
    </row>
    <row r="90" spans="1:44" s="83" customFormat="1" x14ac:dyDescent="0.25">
      <c r="A90" s="83" t="s">
        <v>548</v>
      </c>
      <c r="B90" s="83">
        <v>2</v>
      </c>
      <c r="C90" s="83">
        <v>67</v>
      </c>
      <c r="D90" s="83">
        <f>D89</f>
        <v>5</v>
      </c>
      <c r="E90" s="83">
        <f>E89+1</f>
        <v>4</v>
      </c>
      <c r="F90" s="83">
        <f t="shared" si="9"/>
        <v>27</v>
      </c>
      <c r="G90" s="81">
        <v>6700616</v>
      </c>
      <c r="H90" s="81"/>
      <c r="I90" s="81" t="s">
        <v>155</v>
      </c>
      <c r="J90" s="81">
        <f t="shared" si="7"/>
        <v>-1</v>
      </c>
      <c r="K90" s="83" t="s">
        <v>32</v>
      </c>
      <c r="N90" s="83">
        <v>0</v>
      </c>
      <c r="O90" s="83">
        <v>0</v>
      </c>
      <c r="P90" s="83">
        <v>0</v>
      </c>
      <c r="Q90" s="84"/>
      <c r="S90" s="83" t="s">
        <v>106</v>
      </c>
      <c r="V90" s="103"/>
      <c r="W90" s="83">
        <v>0.8</v>
      </c>
      <c r="X90" s="110"/>
      <c r="Y90" s="103"/>
      <c r="Z90" s="103"/>
      <c r="AA90" s="83">
        <v>17500</v>
      </c>
      <c r="AB90" s="83">
        <v>0.18</v>
      </c>
      <c r="AC90" s="83">
        <v>1000</v>
      </c>
      <c r="AD90" s="83">
        <v>1</v>
      </c>
      <c r="AE90" s="83">
        <v>32</v>
      </c>
      <c r="AF90" s="83">
        <v>0.56000000000000005</v>
      </c>
      <c r="AG90" s="84">
        <v>1</v>
      </c>
      <c r="AH90" s="84">
        <v>0.70640000000000003</v>
      </c>
      <c r="AI90" s="84">
        <v>0.19439999999999999</v>
      </c>
      <c r="AJ90" s="81">
        <v>500</v>
      </c>
      <c r="AK90" s="83">
        <v>674</v>
      </c>
      <c r="AL90" s="83">
        <v>50</v>
      </c>
      <c r="AM90" s="86">
        <v>12.4</v>
      </c>
      <c r="AN90" s="86" t="s">
        <v>250</v>
      </c>
      <c r="AO90" s="83">
        <v>0.38</v>
      </c>
      <c r="AP90" s="83">
        <v>0.99</v>
      </c>
      <c r="AQ90" s="82">
        <v>1</v>
      </c>
      <c r="AR90" s="86"/>
    </row>
    <row r="91" spans="1:44" s="83" customFormat="1" x14ac:dyDescent="0.25">
      <c r="A91" s="83" t="s">
        <v>548</v>
      </c>
      <c r="B91" s="83">
        <v>2</v>
      </c>
      <c r="C91" s="83">
        <v>67</v>
      </c>
      <c r="D91" s="83">
        <f>D90</f>
        <v>5</v>
      </c>
      <c r="E91" s="83">
        <f>E90+1</f>
        <v>5</v>
      </c>
      <c r="F91" s="83">
        <f t="shared" si="9"/>
        <v>28</v>
      </c>
      <c r="G91" s="81">
        <v>6709507</v>
      </c>
      <c r="H91" s="63">
        <v>1082</v>
      </c>
      <c r="I91" s="117" t="s">
        <v>530</v>
      </c>
      <c r="J91" s="81">
        <f t="shared" si="7"/>
        <v>1</v>
      </c>
      <c r="K91" s="61" t="s">
        <v>31</v>
      </c>
      <c r="L91" s="103" t="s">
        <v>529</v>
      </c>
      <c r="M91" s="83" t="s">
        <v>86</v>
      </c>
      <c r="N91" s="83">
        <v>1</v>
      </c>
      <c r="O91" s="83">
        <v>3</v>
      </c>
      <c r="P91" s="83">
        <v>5</v>
      </c>
      <c r="Q91" s="84"/>
      <c r="S91" s="83" t="s">
        <v>106</v>
      </c>
      <c r="V91" s="103"/>
      <c r="W91" s="83">
        <v>0.8</v>
      </c>
      <c r="X91" s="110"/>
      <c r="Y91" s="103"/>
      <c r="Z91" s="103"/>
      <c r="AA91" s="83">
        <v>17500</v>
      </c>
      <c r="AB91" s="83">
        <v>0.18</v>
      </c>
      <c r="AC91" s="83">
        <v>1000</v>
      </c>
      <c r="AD91" s="83">
        <v>1</v>
      </c>
      <c r="AE91" s="83">
        <v>32</v>
      </c>
      <c r="AF91" s="83">
        <v>0.56000000000000005</v>
      </c>
      <c r="AG91" s="84">
        <v>1</v>
      </c>
      <c r="AH91" s="84">
        <v>0.70640000000000003</v>
      </c>
      <c r="AI91" s="84">
        <v>0.19439999999999999</v>
      </c>
      <c r="AJ91" s="81">
        <v>500</v>
      </c>
      <c r="AK91" s="83">
        <v>674</v>
      </c>
      <c r="AL91" s="83">
        <v>50</v>
      </c>
      <c r="AM91" s="86">
        <v>12.4</v>
      </c>
      <c r="AN91" s="86" t="s">
        <v>250</v>
      </c>
      <c r="AO91" s="83">
        <v>0.38</v>
      </c>
      <c r="AP91" s="83">
        <v>0.99</v>
      </c>
      <c r="AQ91" s="82">
        <v>1</v>
      </c>
      <c r="AR91" s="80" t="s">
        <v>522</v>
      </c>
    </row>
    <row r="92" spans="1:44" s="68" customFormat="1" x14ac:dyDescent="0.25">
      <c r="A92" s="68" t="s">
        <v>548</v>
      </c>
      <c r="B92" s="68">
        <v>2</v>
      </c>
      <c r="C92" s="68">
        <v>67</v>
      </c>
      <c r="D92" s="68">
        <f>D91</f>
        <v>5</v>
      </c>
      <c r="E92" s="68">
        <f>E91+1</f>
        <v>6</v>
      </c>
      <c r="F92" s="68">
        <f t="shared" si="9"/>
        <v>29</v>
      </c>
      <c r="G92" s="69">
        <v>6709511</v>
      </c>
      <c r="H92" s="69">
        <v>6390</v>
      </c>
      <c r="I92" s="69" t="s">
        <v>156</v>
      </c>
      <c r="J92" s="69">
        <f t="shared" si="7"/>
        <v>-1</v>
      </c>
      <c r="K92" s="68" t="s">
        <v>32</v>
      </c>
      <c r="L92" s="68" t="s">
        <v>142</v>
      </c>
      <c r="M92" s="68" t="s">
        <v>86</v>
      </c>
      <c r="N92" s="68">
        <v>0</v>
      </c>
      <c r="O92" s="68">
        <v>5.7</v>
      </c>
      <c r="P92" s="68">
        <v>35.4</v>
      </c>
      <c r="Q92" s="70"/>
      <c r="S92" s="68" t="s">
        <v>106</v>
      </c>
      <c r="T92" s="68">
        <v>4.5999999999999996</v>
      </c>
      <c r="U92" s="68">
        <v>3.8</v>
      </c>
      <c r="W92" s="68">
        <v>0.8</v>
      </c>
      <c r="X92" s="70"/>
      <c r="AA92" s="68">
        <v>17500</v>
      </c>
      <c r="AB92" s="68">
        <v>0.18</v>
      </c>
      <c r="AC92" s="68">
        <v>1000</v>
      </c>
      <c r="AD92" s="68">
        <v>1</v>
      </c>
      <c r="AE92" s="68">
        <v>32</v>
      </c>
      <c r="AF92" s="68">
        <v>0.56000000000000005</v>
      </c>
      <c r="AG92" s="70">
        <v>1</v>
      </c>
      <c r="AH92" s="70">
        <v>0.70640000000000003</v>
      </c>
      <c r="AI92" s="70">
        <v>0.19439999999999999</v>
      </c>
      <c r="AJ92" s="69">
        <v>500</v>
      </c>
      <c r="AK92" s="68">
        <v>674</v>
      </c>
      <c r="AL92" s="68">
        <v>50</v>
      </c>
      <c r="AM92" s="72">
        <v>12.4</v>
      </c>
      <c r="AN92" s="72" t="s">
        <v>250</v>
      </c>
      <c r="AO92" s="68">
        <v>0.38</v>
      </c>
      <c r="AP92" s="68">
        <v>0.99</v>
      </c>
      <c r="AQ92" s="71">
        <v>1</v>
      </c>
      <c r="AR92" s="72"/>
    </row>
    <row r="93" spans="1:44" s="73" customFormat="1" x14ac:dyDescent="0.25">
      <c r="A93" s="73" t="s">
        <v>548</v>
      </c>
      <c r="B93" s="73">
        <v>2</v>
      </c>
      <c r="C93" s="73">
        <v>67</v>
      </c>
      <c r="D93" s="73">
        <f>D92+1</f>
        <v>6</v>
      </c>
      <c r="E93" s="73">
        <v>1</v>
      </c>
      <c r="F93" s="73">
        <f t="shared" si="9"/>
        <v>30</v>
      </c>
      <c r="G93" s="74">
        <v>6709510</v>
      </c>
      <c r="H93" s="74"/>
      <c r="I93" s="74" t="s">
        <v>147</v>
      </c>
      <c r="J93" s="74">
        <f t="shared" si="7"/>
        <v>0</v>
      </c>
      <c r="K93" s="73" t="s">
        <v>33</v>
      </c>
      <c r="L93" s="73" t="s">
        <v>143</v>
      </c>
      <c r="M93" s="73" t="s">
        <v>86</v>
      </c>
      <c r="N93" s="73">
        <v>157</v>
      </c>
      <c r="O93" s="73">
        <v>313</v>
      </c>
      <c r="P93" s="73">
        <v>451</v>
      </c>
      <c r="Q93" s="76"/>
      <c r="S93" s="73" t="s">
        <v>106</v>
      </c>
      <c r="T93" s="78">
        <v>0.1</v>
      </c>
      <c r="U93" s="78">
        <v>0.1</v>
      </c>
      <c r="V93" s="77"/>
      <c r="W93" s="74">
        <v>0</v>
      </c>
      <c r="X93" s="76"/>
      <c r="Y93" s="77"/>
      <c r="Z93" s="77"/>
      <c r="AA93" s="73">
        <v>17500</v>
      </c>
      <c r="AB93" s="73">
        <v>0.18</v>
      </c>
      <c r="AC93" s="73">
        <v>1000</v>
      </c>
      <c r="AD93" s="73">
        <v>1</v>
      </c>
      <c r="AE93" s="73">
        <v>32</v>
      </c>
      <c r="AF93" s="73">
        <v>0.56000000000000005</v>
      </c>
      <c r="AG93" s="76">
        <v>1</v>
      </c>
      <c r="AH93" s="76">
        <v>0.70640000000000003</v>
      </c>
      <c r="AI93" s="76">
        <v>0.19439999999999999</v>
      </c>
      <c r="AJ93" s="74">
        <v>500</v>
      </c>
      <c r="AK93" s="73">
        <v>674</v>
      </c>
      <c r="AL93" s="73">
        <v>50</v>
      </c>
      <c r="AM93" s="74">
        <v>0</v>
      </c>
      <c r="AN93" s="74" t="s">
        <v>249</v>
      </c>
      <c r="AO93" s="73">
        <v>0.38</v>
      </c>
      <c r="AP93" s="73">
        <v>0.99</v>
      </c>
      <c r="AQ93" s="77">
        <v>1</v>
      </c>
      <c r="AR93" s="78"/>
    </row>
    <row r="94" spans="1:44" s="104" customFormat="1" ht="15.75" thickBot="1" x14ac:dyDescent="0.3">
      <c r="A94" s="104" t="s">
        <v>548</v>
      </c>
      <c r="G94" s="104" t="str">
        <f>"CID"&amp;H94</f>
        <v>CID6389</v>
      </c>
      <c r="H94" s="105">
        <v>6389</v>
      </c>
      <c r="I94" s="104" t="s">
        <v>158</v>
      </c>
      <c r="Q94" s="106"/>
      <c r="S94" s="104" t="s">
        <v>106</v>
      </c>
      <c r="W94" s="107"/>
      <c r="X94" s="106"/>
      <c r="AG94" s="106"/>
      <c r="AH94" s="106"/>
      <c r="AI94" s="106"/>
      <c r="AJ94" s="105"/>
      <c r="AM94" s="105"/>
      <c r="AN94" s="105"/>
      <c r="AQ94" s="107"/>
      <c r="AR94" s="108"/>
    </row>
    <row r="95" spans="1:44" s="112" customFormat="1" x14ac:dyDescent="0.25">
      <c r="A95" s="112" t="s">
        <v>552</v>
      </c>
      <c r="B95" s="112">
        <v>2</v>
      </c>
      <c r="C95" s="112">
        <v>11</v>
      </c>
      <c r="D95" s="112">
        <v>1</v>
      </c>
      <c r="E95" s="112">
        <v>1</v>
      </c>
      <c r="F95" s="112">
        <v>1</v>
      </c>
      <c r="G95" s="149">
        <v>1104616</v>
      </c>
      <c r="H95" s="130"/>
      <c r="I95" s="112" t="s">
        <v>493</v>
      </c>
      <c r="J95" s="112">
        <f t="shared" ref="J95:J127" si="14">IF(K95="Inflow",1,IF(K95="Outflow",-1,IF(K95="Gage",0,IF(K95="Top",0,""))))</f>
        <v>0</v>
      </c>
      <c r="K95" s="112" t="s">
        <v>233</v>
      </c>
      <c r="L95" s="151" t="s">
        <v>490</v>
      </c>
      <c r="M95" s="112" t="s">
        <v>86</v>
      </c>
      <c r="N95" s="112">
        <v>0</v>
      </c>
      <c r="O95" s="112">
        <v>0</v>
      </c>
      <c r="P95" s="112">
        <v>0</v>
      </c>
      <c r="Q95" s="132">
        <v>1</v>
      </c>
      <c r="S95" s="112" t="s">
        <v>568</v>
      </c>
      <c r="T95" s="112">
        <v>14</v>
      </c>
      <c r="W95" s="131">
        <v>7.0000000000000007E-2</v>
      </c>
      <c r="X95" s="132"/>
      <c r="AA95" s="112">
        <v>10000</v>
      </c>
      <c r="AB95" s="112">
        <v>0.15</v>
      </c>
      <c r="AC95" s="112">
        <v>750</v>
      </c>
      <c r="AD95" s="112">
        <v>1</v>
      </c>
      <c r="AE95" s="112">
        <v>32</v>
      </c>
      <c r="AF95" s="112">
        <v>0.56000000000000005</v>
      </c>
      <c r="AG95" s="132">
        <v>1</v>
      </c>
      <c r="AH95" s="132">
        <v>0.83</v>
      </c>
      <c r="AI95" s="132">
        <v>0.21</v>
      </c>
      <c r="AJ95" s="130">
        <v>500</v>
      </c>
      <c r="AK95" s="112">
        <v>17</v>
      </c>
      <c r="AL95" s="112">
        <v>50</v>
      </c>
      <c r="AM95" s="130">
        <v>110</v>
      </c>
      <c r="AN95" s="130" t="s">
        <v>250</v>
      </c>
      <c r="AO95" s="112">
        <v>0.31</v>
      </c>
      <c r="AP95" s="112">
        <v>1.32</v>
      </c>
      <c r="AQ95" s="131">
        <v>1.27</v>
      </c>
      <c r="AR95" s="134"/>
    </row>
    <row r="96" spans="1:44" s="64" customFormat="1" x14ac:dyDescent="0.25">
      <c r="A96" s="64" t="s">
        <v>552</v>
      </c>
      <c r="B96" s="151">
        <v>2</v>
      </c>
      <c r="C96" s="151">
        <v>11</v>
      </c>
      <c r="D96" s="64">
        <f>D95+1</f>
        <v>2</v>
      </c>
      <c r="E96" s="64">
        <v>1</v>
      </c>
      <c r="F96" s="64">
        <f t="shared" ref="F96:F122" si="15">F95+1</f>
        <v>2</v>
      </c>
      <c r="G96" s="64">
        <v>1109514</v>
      </c>
      <c r="H96" s="67"/>
      <c r="I96" s="64" t="s">
        <v>440</v>
      </c>
      <c r="J96" s="64">
        <f t="shared" si="14"/>
        <v>0</v>
      </c>
      <c r="K96" s="64" t="s">
        <v>33</v>
      </c>
      <c r="L96" s="64" t="s">
        <v>374</v>
      </c>
      <c r="M96" s="64" t="s">
        <v>86</v>
      </c>
      <c r="N96" s="64">
        <v>5</v>
      </c>
      <c r="O96" s="64">
        <v>10</v>
      </c>
      <c r="P96" s="64">
        <v>20</v>
      </c>
      <c r="Q96" s="128"/>
      <c r="S96" s="152" t="s">
        <v>568</v>
      </c>
      <c r="T96" s="64">
        <v>2.89</v>
      </c>
      <c r="W96" s="66">
        <v>7.0000000000000007E-2</v>
      </c>
      <c r="X96" s="128"/>
      <c r="AA96" s="64">
        <v>10000</v>
      </c>
      <c r="AB96" s="64">
        <v>0.15</v>
      </c>
      <c r="AC96" s="64">
        <v>750</v>
      </c>
      <c r="AD96" s="64">
        <v>1</v>
      </c>
      <c r="AE96" s="64">
        <v>32</v>
      </c>
      <c r="AF96" s="64">
        <v>0.56000000000000005</v>
      </c>
      <c r="AG96" s="128">
        <v>1</v>
      </c>
      <c r="AH96" s="128">
        <v>0.83</v>
      </c>
      <c r="AI96" s="128">
        <v>0.21</v>
      </c>
      <c r="AJ96" s="67">
        <v>500</v>
      </c>
      <c r="AK96" s="64">
        <v>17</v>
      </c>
      <c r="AL96" s="64">
        <v>50</v>
      </c>
      <c r="AM96" s="67">
        <v>110</v>
      </c>
      <c r="AN96" s="67" t="s">
        <v>250</v>
      </c>
      <c r="AO96" s="64">
        <v>0.31</v>
      </c>
      <c r="AP96" s="64">
        <v>1.32</v>
      </c>
      <c r="AQ96" s="66">
        <v>1.27</v>
      </c>
      <c r="AR96" s="129"/>
    </row>
    <row r="97" spans="1:44" s="64" customFormat="1" x14ac:dyDescent="0.25">
      <c r="A97" s="64" t="s">
        <v>552</v>
      </c>
      <c r="B97" s="151">
        <v>2</v>
      </c>
      <c r="C97" s="151">
        <v>11</v>
      </c>
      <c r="D97" s="64">
        <f>D96</f>
        <v>2</v>
      </c>
      <c r="E97" s="64">
        <f>E96+1</f>
        <v>2</v>
      </c>
      <c r="F97" s="64">
        <f t="shared" si="15"/>
        <v>3</v>
      </c>
      <c r="G97" s="64">
        <v>1100500</v>
      </c>
      <c r="H97" s="67">
        <v>1519</v>
      </c>
      <c r="I97" s="64" t="s">
        <v>494</v>
      </c>
      <c r="J97" s="64">
        <f t="shared" si="14"/>
        <v>1</v>
      </c>
      <c r="K97" s="64" t="s">
        <v>31</v>
      </c>
      <c r="L97" s="64" t="s">
        <v>491</v>
      </c>
      <c r="M97" s="64" t="s">
        <v>86</v>
      </c>
      <c r="N97" s="64">
        <v>0</v>
      </c>
      <c r="O97" s="64">
        <v>0</v>
      </c>
      <c r="P97" s="64">
        <v>0</v>
      </c>
      <c r="Q97" s="128">
        <v>1</v>
      </c>
      <c r="S97" s="64" t="s">
        <v>106</v>
      </c>
      <c r="T97" s="64">
        <v>0.1</v>
      </c>
      <c r="W97" s="66">
        <v>7.0000000000000007E-2</v>
      </c>
      <c r="X97" s="128">
        <v>10.199999999999999</v>
      </c>
      <c r="Y97" s="64">
        <v>0</v>
      </c>
      <c r="AA97" s="64">
        <v>10000</v>
      </c>
      <c r="AB97" s="64">
        <v>0.15</v>
      </c>
      <c r="AC97" s="64">
        <v>750</v>
      </c>
      <c r="AD97" s="64">
        <v>1</v>
      </c>
      <c r="AE97" s="64">
        <v>32</v>
      </c>
      <c r="AF97" s="64">
        <v>0.56000000000000005</v>
      </c>
      <c r="AG97" s="128">
        <v>1</v>
      </c>
      <c r="AH97" s="128">
        <v>0.83</v>
      </c>
      <c r="AI97" s="128">
        <v>0.21</v>
      </c>
      <c r="AJ97" s="67">
        <v>500</v>
      </c>
      <c r="AK97" s="64">
        <v>17</v>
      </c>
      <c r="AL97" s="64">
        <v>50</v>
      </c>
      <c r="AM97" s="67">
        <v>110</v>
      </c>
      <c r="AN97" s="67" t="s">
        <v>250</v>
      </c>
      <c r="AO97" s="64">
        <v>0.31</v>
      </c>
      <c r="AP97" s="64">
        <v>1.32</v>
      </c>
      <c r="AQ97" s="66">
        <v>1.27</v>
      </c>
      <c r="AR97" s="129"/>
    </row>
    <row r="98" spans="1:44" s="64" customFormat="1" x14ac:dyDescent="0.25">
      <c r="A98" s="64" t="s">
        <v>552</v>
      </c>
      <c r="B98" s="151">
        <v>2</v>
      </c>
      <c r="C98" s="151">
        <v>11</v>
      </c>
      <c r="D98" s="64">
        <f>D97</f>
        <v>2</v>
      </c>
      <c r="E98" s="64">
        <f>E97+1</f>
        <v>3</v>
      </c>
      <c r="F98" s="64">
        <f t="shared" si="15"/>
        <v>4</v>
      </c>
      <c r="G98" s="64">
        <v>1100501</v>
      </c>
      <c r="H98" s="67">
        <v>1519</v>
      </c>
      <c r="I98" s="64" t="s">
        <v>495</v>
      </c>
      <c r="J98" s="64">
        <f t="shared" si="14"/>
        <v>1</v>
      </c>
      <c r="K98" s="64" t="s">
        <v>31</v>
      </c>
      <c r="L98" s="64" t="s">
        <v>492</v>
      </c>
      <c r="M98" s="64" t="s">
        <v>86</v>
      </c>
      <c r="N98" s="83">
        <v>0</v>
      </c>
      <c r="O98" s="83">
        <v>0</v>
      </c>
      <c r="P98" s="83">
        <v>0</v>
      </c>
      <c r="Q98" s="128">
        <v>1</v>
      </c>
      <c r="S98" s="64" t="s">
        <v>106</v>
      </c>
      <c r="W98" s="66">
        <v>7.0000000000000007E-2</v>
      </c>
      <c r="X98" s="128">
        <v>10.199999999999999</v>
      </c>
      <c r="Y98" s="64">
        <v>0</v>
      </c>
      <c r="AA98" s="64">
        <v>10000</v>
      </c>
      <c r="AB98" s="64">
        <v>0.15</v>
      </c>
      <c r="AC98" s="64">
        <v>750</v>
      </c>
      <c r="AD98" s="64">
        <v>1</v>
      </c>
      <c r="AE98" s="64">
        <v>32</v>
      </c>
      <c r="AF98" s="64">
        <v>0.56000000000000005</v>
      </c>
      <c r="AG98" s="128">
        <v>1</v>
      </c>
      <c r="AH98" s="128">
        <v>0.83</v>
      </c>
      <c r="AI98" s="128">
        <v>0.21</v>
      </c>
      <c r="AJ98" s="67">
        <v>500</v>
      </c>
      <c r="AK98" s="64">
        <v>17</v>
      </c>
      <c r="AL98" s="64">
        <v>50</v>
      </c>
      <c r="AM98" s="67">
        <v>110</v>
      </c>
      <c r="AN98" s="67" t="s">
        <v>250</v>
      </c>
      <c r="AO98" s="64">
        <v>0.31</v>
      </c>
      <c r="AP98" s="64">
        <v>1.32</v>
      </c>
      <c r="AQ98" s="66">
        <v>1.27</v>
      </c>
      <c r="AR98" s="129"/>
    </row>
    <row r="99" spans="1:44" s="64" customFormat="1" x14ac:dyDescent="0.25">
      <c r="A99" s="64" t="s">
        <v>552</v>
      </c>
      <c r="B99" s="64">
        <v>2</v>
      </c>
      <c r="C99" s="64">
        <v>11</v>
      </c>
      <c r="D99" s="64">
        <f>D98+1</f>
        <v>3</v>
      </c>
      <c r="E99" s="64">
        <v>1</v>
      </c>
      <c r="F99" s="64">
        <f t="shared" si="15"/>
        <v>5</v>
      </c>
      <c r="G99" s="64">
        <v>1109504</v>
      </c>
      <c r="H99" s="67"/>
      <c r="I99" s="64" t="s">
        <v>114</v>
      </c>
      <c r="J99" s="64">
        <f t="shared" si="14"/>
        <v>0</v>
      </c>
      <c r="K99" s="64" t="s">
        <v>33</v>
      </c>
      <c r="L99" s="64" t="s">
        <v>115</v>
      </c>
      <c r="M99" s="64" t="s">
        <v>86</v>
      </c>
      <c r="N99" s="64">
        <v>100</v>
      </c>
      <c r="O99" s="64">
        <v>250</v>
      </c>
      <c r="P99" s="64">
        <v>500</v>
      </c>
      <c r="Q99" s="128"/>
      <c r="S99" s="64" t="s">
        <v>106</v>
      </c>
      <c r="W99" s="66">
        <v>7.0000000000000007E-2</v>
      </c>
      <c r="X99" s="128"/>
      <c r="AA99" s="64">
        <v>10000</v>
      </c>
      <c r="AB99" s="64">
        <v>0.15</v>
      </c>
      <c r="AC99" s="64">
        <v>750</v>
      </c>
      <c r="AD99" s="64">
        <v>1</v>
      </c>
      <c r="AE99" s="64">
        <v>32</v>
      </c>
      <c r="AF99" s="64">
        <v>0.56000000000000005</v>
      </c>
      <c r="AG99" s="128">
        <v>1</v>
      </c>
      <c r="AH99" s="128">
        <v>0.83</v>
      </c>
      <c r="AI99" s="128">
        <v>0.21</v>
      </c>
      <c r="AJ99" s="67">
        <v>500</v>
      </c>
      <c r="AK99" s="64">
        <v>17</v>
      </c>
      <c r="AL99" s="64">
        <v>50</v>
      </c>
      <c r="AM99" s="67">
        <v>110</v>
      </c>
      <c r="AN99" s="67" t="s">
        <v>250</v>
      </c>
      <c r="AO99" s="64">
        <v>0.31</v>
      </c>
      <c r="AP99" s="64">
        <v>1.32</v>
      </c>
      <c r="AQ99" s="66">
        <v>1.27</v>
      </c>
      <c r="AR99" s="129"/>
    </row>
    <row r="100" spans="1:44" s="64" customFormat="1" x14ac:dyDescent="0.25">
      <c r="A100" s="64" t="s">
        <v>552</v>
      </c>
      <c r="B100" s="64">
        <v>2</v>
      </c>
      <c r="C100" s="64">
        <v>11</v>
      </c>
      <c r="D100" s="64">
        <f>D99</f>
        <v>3</v>
      </c>
      <c r="E100" s="64">
        <f>E99+1</f>
        <v>2</v>
      </c>
      <c r="F100" s="64">
        <f t="shared" si="15"/>
        <v>6</v>
      </c>
      <c r="G100" s="64">
        <v>1120007</v>
      </c>
      <c r="H100" s="67"/>
      <c r="I100" s="64" t="s">
        <v>489</v>
      </c>
      <c r="J100" s="64">
        <f t="shared" si="14"/>
        <v>1</v>
      </c>
      <c r="K100" s="112" t="s">
        <v>31</v>
      </c>
      <c r="N100" s="64">
        <v>5</v>
      </c>
      <c r="O100" s="64">
        <v>10</v>
      </c>
      <c r="P100" s="64">
        <v>20</v>
      </c>
      <c r="Q100" s="128"/>
      <c r="S100" s="64" t="s">
        <v>106</v>
      </c>
      <c r="W100" s="66">
        <v>7.0000000000000007E-2</v>
      </c>
      <c r="X100" s="128"/>
      <c r="AA100" s="64">
        <v>10000</v>
      </c>
      <c r="AB100" s="64">
        <v>0.15</v>
      </c>
      <c r="AC100" s="64">
        <v>750</v>
      </c>
      <c r="AD100" s="64">
        <v>1</v>
      </c>
      <c r="AE100" s="64">
        <v>32</v>
      </c>
      <c r="AF100" s="64">
        <v>0.56000000000000005</v>
      </c>
      <c r="AG100" s="128">
        <v>1</v>
      </c>
      <c r="AH100" s="128">
        <v>0.83</v>
      </c>
      <c r="AI100" s="128">
        <v>0.21</v>
      </c>
      <c r="AJ100" s="67">
        <v>500</v>
      </c>
      <c r="AK100" s="64">
        <v>17</v>
      </c>
      <c r="AL100" s="64">
        <v>50</v>
      </c>
      <c r="AM100" s="67">
        <v>110</v>
      </c>
      <c r="AN100" s="67" t="s">
        <v>250</v>
      </c>
      <c r="AO100" s="64">
        <v>0.31</v>
      </c>
      <c r="AP100" s="64">
        <v>1.32</v>
      </c>
      <c r="AQ100" s="66">
        <v>1.27</v>
      </c>
      <c r="AR100" s="129"/>
    </row>
    <row r="101" spans="1:44" s="64" customFormat="1" x14ac:dyDescent="0.25">
      <c r="A101" s="64" t="s">
        <v>552</v>
      </c>
      <c r="B101" s="64">
        <v>2</v>
      </c>
      <c r="C101" s="64">
        <v>11</v>
      </c>
      <c r="D101" s="64">
        <f>D100+1</f>
        <v>4</v>
      </c>
      <c r="E101" s="64">
        <v>1</v>
      </c>
      <c r="F101" s="64">
        <f t="shared" si="15"/>
        <v>7</v>
      </c>
      <c r="G101" s="64">
        <v>1109502</v>
      </c>
      <c r="H101" s="67"/>
      <c r="I101" s="64" t="s">
        <v>441</v>
      </c>
      <c r="J101" s="64">
        <f t="shared" si="14"/>
        <v>0</v>
      </c>
      <c r="K101" s="64" t="s">
        <v>33</v>
      </c>
      <c r="L101" s="64" t="s">
        <v>377</v>
      </c>
      <c r="M101" s="64" t="s">
        <v>86</v>
      </c>
      <c r="N101" s="64">
        <v>100</v>
      </c>
      <c r="O101" s="64">
        <v>250</v>
      </c>
      <c r="P101" s="64">
        <v>500</v>
      </c>
      <c r="Q101" s="128"/>
      <c r="S101" s="64" t="s">
        <v>106</v>
      </c>
      <c r="W101" s="66">
        <v>7.0000000000000007E-2</v>
      </c>
      <c r="X101" s="128"/>
      <c r="AA101" s="64">
        <v>10000</v>
      </c>
      <c r="AB101" s="64">
        <v>0.15</v>
      </c>
      <c r="AC101" s="64">
        <v>750</v>
      </c>
      <c r="AD101" s="64">
        <v>1</v>
      </c>
      <c r="AE101" s="64">
        <v>32</v>
      </c>
      <c r="AF101" s="64">
        <v>0.56000000000000005</v>
      </c>
      <c r="AG101" s="128">
        <v>1</v>
      </c>
      <c r="AH101" s="128">
        <v>0.83</v>
      </c>
      <c r="AI101" s="128">
        <v>0.21</v>
      </c>
      <c r="AJ101" s="67">
        <v>500</v>
      </c>
      <c r="AK101" s="64">
        <v>17</v>
      </c>
      <c r="AL101" s="64">
        <v>50</v>
      </c>
      <c r="AM101" s="67">
        <v>110</v>
      </c>
      <c r="AN101" s="67" t="s">
        <v>250</v>
      </c>
      <c r="AO101" s="64">
        <v>0.31</v>
      </c>
      <c r="AP101" s="64">
        <v>1.32</v>
      </c>
      <c r="AQ101" s="66">
        <v>1.27</v>
      </c>
      <c r="AR101" s="129"/>
    </row>
    <row r="102" spans="1:44" s="64" customFormat="1" x14ac:dyDescent="0.25">
      <c r="A102" s="64" t="s">
        <v>552</v>
      </c>
      <c r="B102" s="64">
        <v>2</v>
      </c>
      <c r="C102" s="64">
        <v>11</v>
      </c>
      <c r="D102" s="64">
        <f>D101</f>
        <v>4</v>
      </c>
      <c r="E102" s="64">
        <f>E101+1</f>
        <v>2</v>
      </c>
      <c r="F102" s="64">
        <f t="shared" si="15"/>
        <v>8</v>
      </c>
      <c r="G102" s="64">
        <v>1120002</v>
      </c>
      <c r="H102" s="130">
        <v>1418</v>
      </c>
      <c r="I102" s="64" t="s">
        <v>445</v>
      </c>
      <c r="J102" s="64">
        <f t="shared" si="14"/>
        <v>1</v>
      </c>
      <c r="K102" s="112" t="s">
        <v>31</v>
      </c>
      <c r="N102" s="64">
        <v>5</v>
      </c>
      <c r="O102" s="64">
        <v>10</v>
      </c>
      <c r="P102" s="64">
        <v>20</v>
      </c>
      <c r="Q102" s="128"/>
      <c r="S102" s="64" t="s">
        <v>106</v>
      </c>
      <c r="W102" s="66">
        <v>7.0000000000000007E-2</v>
      </c>
      <c r="X102" s="128"/>
      <c r="AA102" s="64">
        <v>10000</v>
      </c>
      <c r="AB102" s="64">
        <v>0.15</v>
      </c>
      <c r="AC102" s="64">
        <v>750</v>
      </c>
      <c r="AD102" s="64">
        <v>1</v>
      </c>
      <c r="AE102" s="64">
        <v>32</v>
      </c>
      <c r="AF102" s="64">
        <v>0.56000000000000005</v>
      </c>
      <c r="AG102" s="128">
        <v>1</v>
      </c>
      <c r="AH102" s="128">
        <v>0.83</v>
      </c>
      <c r="AI102" s="128">
        <v>0.21</v>
      </c>
      <c r="AJ102" s="67">
        <v>500</v>
      </c>
      <c r="AK102" s="64">
        <v>17</v>
      </c>
      <c r="AL102" s="64">
        <v>50</v>
      </c>
      <c r="AM102" s="67">
        <v>110</v>
      </c>
      <c r="AN102" s="67" t="s">
        <v>250</v>
      </c>
      <c r="AO102" s="64">
        <v>0.31</v>
      </c>
      <c r="AP102" s="64">
        <v>1.32</v>
      </c>
      <c r="AQ102" s="66">
        <v>1.27</v>
      </c>
      <c r="AR102" s="129"/>
    </row>
    <row r="103" spans="1:44" s="64" customFormat="1" x14ac:dyDescent="0.25">
      <c r="A103" s="64" t="s">
        <v>552</v>
      </c>
      <c r="B103" s="64">
        <v>2</v>
      </c>
      <c r="C103" s="64">
        <v>11</v>
      </c>
      <c r="D103" s="64">
        <f>D102+1</f>
        <v>5</v>
      </c>
      <c r="E103" s="64">
        <v>1</v>
      </c>
      <c r="F103" s="64">
        <f t="shared" si="15"/>
        <v>9</v>
      </c>
      <c r="G103" s="64">
        <v>1109500</v>
      </c>
      <c r="H103" s="67"/>
      <c r="I103" s="64" t="s">
        <v>442</v>
      </c>
      <c r="J103" s="64">
        <f t="shared" si="14"/>
        <v>0</v>
      </c>
      <c r="K103" s="64" t="s">
        <v>33</v>
      </c>
      <c r="L103" s="64" t="s">
        <v>378</v>
      </c>
      <c r="M103" s="64" t="s">
        <v>86</v>
      </c>
      <c r="N103" s="64">
        <v>100</v>
      </c>
      <c r="O103" s="64">
        <v>250</v>
      </c>
      <c r="P103" s="64">
        <v>500</v>
      </c>
      <c r="Q103" s="128"/>
      <c r="S103" s="64" t="s">
        <v>106</v>
      </c>
      <c r="W103" s="66">
        <v>7.0000000000000007E-2</v>
      </c>
      <c r="X103" s="128"/>
      <c r="AA103" s="64">
        <v>10000</v>
      </c>
      <c r="AB103" s="64">
        <v>0.15</v>
      </c>
      <c r="AC103" s="64">
        <v>750</v>
      </c>
      <c r="AD103" s="64">
        <v>1</v>
      </c>
      <c r="AE103" s="64">
        <v>32</v>
      </c>
      <c r="AF103" s="64">
        <v>0.56000000000000005</v>
      </c>
      <c r="AG103" s="128">
        <v>1</v>
      </c>
      <c r="AH103" s="128">
        <v>0.83</v>
      </c>
      <c r="AI103" s="128">
        <v>0.21</v>
      </c>
      <c r="AJ103" s="67">
        <v>500</v>
      </c>
      <c r="AK103" s="64">
        <v>17</v>
      </c>
      <c r="AL103" s="64">
        <v>50</v>
      </c>
      <c r="AM103" s="67">
        <v>110</v>
      </c>
      <c r="AN103" s="67" t="s">
        <v>250</v>
      </c>
      <c r="AO103" s="64">
        <v>0.31</v>
      </c>
      <c r="AP103" s="64">
        <v>1.32</v>
      </c>
      <c r="AQ103" s="66">
        <v>1.27</v>
      </c>
      <c r="AR103" s="129"/>
    </row>
    <row r="104" spans="1:44" s="64" customFormat="1" x14ac:dyDescent="0.25">
      <c r="A104" s="64" t="s">
        <v>552</v>
      </c>
      <c r="B104" s="64">
        <v>2</v>
      </c>
      <c r="C104" s="64">
        <v>11</v>
      </c>
      <c r="D104" s="64">
        <f>D103</f>
        <v>5</v>
      </c>
      <c r="E104" s="64">
        <f>E103+1</f>
        <v>2</v>
      </c>
      <c r="F104" s="64">
        <f t="shared" si="15"/>
        <v>10</v>
      </c>
      <c r="G104" s="64">
        <v>1120033</v>
      </c>
      <c r="H104" s="67"/>
      <c r="I104" s="64" t="s">
        <v>446</v>
      </c>
      <c r="J104" s="64">
        <f t="shared" si="14"/>
        <v>1</v>
      </c>
      <c r="K104" s="112" t="s">
        <v>31</v>
      </c>
      <c r="N104" s="64">
        <v>5</v>
      </c>
      <c r="O104" s="64">
        <v>10</v>
      </c>
      <c r="P104" s="64">
        <v>20</v>
      </c>
      <c r="Q104" s="128"/>
      <c r="S104" s="64" t="s">
        <v>106</v>
      </c>
      <c r="W104" s="66">
        <v>7.0000000000000007E-2</v>
      </c>
      <c r="X104" s="128"/>
      <c r="AA104" s="64">
        <v>10000</v>
      </c>
      <c r="AB104" s="64">
        <v>0.15</v>
      </c>
      <c r="AC104" s="64">
        <v>750</v>
      </c>
      <c r="AD104" s="64">
        <v>1</v>
      </c>
      <c r="AE104" s="64">
        <v>32</v>
      </c>
      <c r="AF104" s="64">
        <v>0.56000000000000005</v>
      </c>
      <c r="AG104" s="128">
        <v>1</v>
      </c>
      <c r="AH104" s="128">
        <v>0.83</v>
      </c>
      <c r="AI104" s="128">
        <v>0.21</v>
      </c>
      <c r="AJ104" s="67">
        <v>500</v>
      </c>
      <c r="AK104" s="64">
        <v>17</v>
      </c>
      <c r="AL104" s="64">
        <v>50</v>
      </c>
      <c r="AM104" s="67">
        <v>110</v>
      </c>
      <c r="AN104" s="67" t="s">
        <v>250</v>
      </c>
      <c r="AO104" s="64">
        <v>0.31</v>
      </c>
      <c r="AP104" s="64">
        <v>1.32</v>
      </c>
      <c r="AQ104" s="66">
        <v>1.27</v>
      </c>
      <c r="AR104" s="129"/>
    </row>
    <row r="105" spans="1:44" s="64" customFormat="1" x14ac:dyDescent="0.25">
      <c r="A105" s="64" t="s">
        <v>552</v>
      </c>
      <c r="B105" s="64">
        <v>2</v>
      </c>
      <c r="C105" s="64">
        <v>11</v>
      </c>
      <c r="D105" s="64">
        <f>D104</f>
        <v>5</v>
      </c>
      <c r="E105" s="64">
        <f>E104+1</f>
        <v>3</v>
      </c>
      <c r="F105" s="64">
        <f t="shared" si="15"/>
        <v>11</v>
      </c>
      <c r="G105" s="64">
        <v>1109524</v>
      </c>
      <c r="H105" s="67">
        <v>1412</v>
      </c>
      <c r="I105" s="64" t="s">
        <v>397</v>
      </c>
      <c r="J105" s="64">
        <f t="shared" si="14"/>
        <v>1</v>
      </c>
      <c r="K105" s="112" t="s">
        <v>31</v>
      </c>
      <c r="L105" s="64" t="s">
        <v>380</v>
      </c>
      <c r="M105" s="64" t="s">
        <v>86</v>
      </c>
      <c r="N105" s="64">
        <v>5</v>
      </c>
      <c r="O105" s="64">
        <v>10</v>
      </c>
      <c r="P105" s="64">
        <v>20</v>
      </c>
      <c r="Q105" s="128"/>
      <c r="S105" s="64" t="s">
        <v>106</v>
      </c>
      <c r="W105" s="66">
        <v>7.0000000000000007E-2</v>
      </c>
      <c r="X105" s="128"/>
      <c r="AA105" s="64">
        <v>10000</v>
      </c>
      <c r="AB105" s="64">
        <v>0.15</v>
      </c>
      <c r="AC105" s="64">
        <v>750</v>
      </c>
      <c r="AD105" s="64">
        <v>1</v>
      </c>
      <c r="AE105" s="64">
        <v>32</v>
      </c>
      <c r="AF105" s="64">
        <v>0.56000000000000005</v>
      </c>
      <c r="AG105" s="128">
        <v>1</v>
      </c>
      <c r="AH105" s="128">
        <v>0.83</v>
      </c>
      <c r="AI105" s="128">
        <v>0.21</v>
      </c>
      <c r="AJ105" s="67">
        <v>500</v>
      </c>
      <c r="AK105" s="64">
        <v>17</v>
      </c>
      <c r="AL105" s="64">
        <v>50</v>
      </c>
      <c r="AM105" s="67">
        <v>110</v>
      </c>
      <c r="AN105" s="67" t="s">
        <v>250</v>
      </c>
      <c r="AO105" s="64">
        <v>0.31</v>
      </c>
      <c r="AP105" s="64">
        <v>1.32</v>
      </c>
      <c r="AQ105" s="66">
        <v>1.27</v>
      </c>
      <c r="AR105" s="129"/>
    </row>
    <row r="106" spans="1:44" s="64" customFormat="1" x14ac:dyDescent="0.25">
      <c r="A106" s="64" t="s">
        <v>552</v>
      </c>
      <c r="B106" s="64">
        <v>2</v>
      </c>
      <c r="C106" s="64">
        <v>11</v>
      </c>
      <c r="D106" s="64">
        <f>D105+1</f>
        <v>6</v>
      </c>
      <c r="E106" s="64">
        <v>1</v>
      </c>
      <c r="F106" s="64">
        <f t="shared" si="15"/>
        <v>12</v>
      </c>
      <c r="G106" s="64">
        <v>1109503</v>
      </c>
      <c r="H106" s="67"/>
      <c r="I106" s="64" t="s">
        <v>443</v>
      </c>
      <c r="J106" s="64">
        <f t="shared" si="14"/>
        <v>0</v>
      </c>
      <c r="K106" s="64" t="s">
        <v>33</v>
      </c>
      <c r="L106" s="64" t="s">
        <v>381</v>
      </c>
      <c r="M106" s="64" t="s">
        <v>86</v>
      </c>
      <c r="N106" s="64">
        <v>100</v>
      </c>
      <c r="O106" s="64">
        <v>250</v>
      </c>
      <c r="P106" s="64">
        <v>500</v>
      </c>
      <c r="Q106" s="128"/>
      <c r="S106" s="64" t="s">
        <v>106</v>
      </c>
      <c r="W106" s="66">
        <v>7.0000000000000007E-2</v>
      </c>
      <c r="X106" s="128"/>
      <c r="AA106" s="64">
        <v>10000</v>
      </c>
      <c r="AB106" s="64">
        <v>0.15</v>
      </c>
      <c r="AC106" s="64">
        <v>750</v>
      </c>
      <c r="AD106" s="64">
        <v>1</v>
      </c>
      <c r="AE106" s="64">
        <v>32</v>
      </c>
      <c r="AF106" s="64">
        <v>0.56000000000000005</v>
      </c>
      <c r="AG106" s="128">
        <v>1</v>
      </c>
      <c r="AH106" s="128">
        <v>0.83</v>
      </c>
      <c r="AI106" s="128">
        <v>0.21</v>
      </c>
      <c r="AJ106" s="67">
        <v>500</v>
      </c>
      <c r="AK106" s="64">
        <v>17</v>
      </c>
      <c r="AL106" s="64">
        <v>50</v>
      </c>
      <c r="AM106" s="67">
        <v>110</v>
      </c>
      <c r="AN106" s="67" t="s">
        <v>250</v>
      </c>
      <c r="AO106" s="64">
        <v>0.31</v>
      </c>
      <c r="AP106" s="64">
        <v>1.32</v>
      </c>
      <c r="AQ106" s="66">
        <v>1.27</v>
      </c>
      <c r="AR106" s="129"/>
    </row>
    <row r="107" spans="1:44" s="64" customFormat="1" x14ac:dyDescent="0.25">
      <c r="A107" s="64" t="s">
        <v>552</v>
      </c>
      <c r="B107" s="64">
        <v>2</v>
      </c>
      <c r="C107" s="64">
        <v>11</v>
      </c>
      <c r="D107" s="64">
        <f>D106</f>
        <v>6</v>
      </c>
      <c r="E107" s="64">
        <f>E106+1</f>
        <v>2</v>
      </c>
      <c r="F107" s="64">
        <f t="shared" si="15"/>
        <v>13</v>
      </c>
      <c r="G107" s="130">
        <v>1120065</v>
      </c>
      <c r="H107" s="130"/>
      <c r="I107" s="64" t="s">
        <v>458</v>
      </c>
      <c r="J107" s="64">
        <f t="shared" si="14"/>
        <v>1</v>
      </c>
      <c r="K107" s="112" t="s">
        <v>31</v>
      </c>
      <c r="N107" s="64">
        <v>5</v>
      </c>
      <c r="O107" s="64">
        <v>10</v>
      </c>
      <c r="P107" s="64">
        <v>20</v>
      </c>
      <c r="Q107" s="128"/>
      <c r="S107" s="64" t="s">
        <v>106</v>
      </c>
      <c r="W107" s="66">
        <v>7.0000000000000007E-2</v>
      </c>
      <c r="X107" s="128"/>
      <c r="AA107" s="64">
        <v>10000</v>
      </c>
      <c r="AB107" s="64">
        <v>0.15</v>
      </c>
      <c r="AC107" s="64">
        <v>750</v>
      </c>
      <c r="AD107" s="64">
        <v>1</v>
      </c>
      <c r="AE107" s="64">
        <v>32</v>
      </c>
      <c r="AF107" s="64">
        <v>0.56000000000000005</v>
      </c>
      <c r="AG107" s="128">
        <v>1</v>
      </c>
      <c r="AH107" s="128">
        <v>0.83</v>
      </c>
      <c r="AI107" s="128">
        <v>0.21</v>
      </c>
      <c r="AJ107" s="67">
        <v>500</v>
      </c>
      <c r="AK107" s="64">
        <v>17</v>
      </c>
      <c r="AL107" s="64">
        <v>50</v>
      </c>
      <c r="AM107" s="67">
        <v>110</v>
      </c>
      <c r="AN107" s="67" t="s">
        <v>250</v>
      </c>
      <c r="AO107" s="64">
        <v>0.31</v>
      </c>
      <c r="AP107" s="64">
        <v>1.32</v>
      </c>
      <c r="AQ107" s="66">
        <v>1.27</v>
      </c>
      <c r="AR107" s="129"/>
    </row>
    <row r="108" spans="1:44" s="64" customFormat="1" x14ac:dyDescent="0.25">
      <c r="A108" s="64" t="s">
        <v>552</v>
      </c>
      <c r="B108" s="64">
        <v>2</v>
      </c>
      <c r="C108" s="64">
        <v>11</v>
      </c>
      <c r="D108" s="64">
        <f>D107</f>
        <v>6</v>
      </c>
      <c r="E108" s="64">
        <f>E107+1</f>
        <v>3</v>
      </c>
      <c r="F108" s="64">
        <f t="shared" si="15"/>
        <v>14</v>
      </c>
      <c r="G108" s="64">
        <v>1120059</v>
      </c>
      <c r="H108" s="67"/>
      <c r="I108" s="64" t="s">
        <v>444</v>
      </c>
      <c r="J108" s="64">
        <f t="shared" si="14"/>
        <v>1</v>
      </c>
      <c r="K108" s="112" t="s">
        <v>31</v>
      </c>
      <c r="N108" s="64">
        <v>5</v>
      </c>
      <c r="O108" s="64">
        <v>10</v>
      </c>
      <c r="P108" s="64">
        <v>20</v>
      </c>
      <c r="Q108" s="128"/>
      <c r="S108" s="64" t="s">
        <v>106</v>
      </c>
      <c r="W108" s="66">
        <v>7.0000000000000007E-2</v>
      </c>
      <c r="X108" s="128"/>
      <c r="AA108" s="64">
        <v>10000</v>
      </c>
      <c r="AB108" s="64">
        <v>0.15</v>
      </c>
      <c r="AC108" s="64">
        <v>750</v>
      </c>
      <c r="AD108" s="64">
        <v>1</v>
      </c>
      <c r="AE108" s="64">
        <v>32</v>
      </c>
      <c r="AF108" s="64">
        <v>0.56000000000000005</v>
      </c>
      <c r="AG108" s="128">
        <v>1</v>
      </c>
      <c r="AH108" s="128">
        <v>0.83</v>
      </c>
      <c r="AI108" s="128">
        <v>0.21</v>
      </c>
      <c r="AJ108" s="67">
        <v>500</v>
      </c>
      <c r="AK108" s="64">
        <v>17</v>
      </c>
      <c r="AL108" s="64">
        <v>50</v>
      </c>
      <c r="AM108" s="67">
        <v>110</v>
      </c>
      <c r="AN108" s="67" t="s">
        <v>250</v>
      </c>
      <c r="AO108" s="64">
        <v>0.31</v>
      </c>
      <c r="AP108" s="64">
        <v>1.32</v>
      </c>
      <c r="AQ108" s="66">
        <v>1.27</v>
      </c>
      <c r="AR108" s="129"/>
    </row>
    <row r="109" spans="1:44" s="64" customFormat="1" x14ac:dyDescent="0.25">
      <c r="A109" s="64" t="s">
        <v>552</v>
      </c>
      <c r="B109" s="64">
        <v>2</v>
      </c>
      <c r="C109" s="64">
        <v>11</v>
      </c>
      <c r="D109" s="64">
        <f>D108</f>
        <v>6</v>
      </c>
      <c r="E109" s="64">
        <f>E108+1</f>
        <v>4</v>
      </c>
      <c r="F109" s="64">
        <f t="shared" si="15"/>
        <v>15</v>
      </c>
      <c r="G109" s="64">
        <v>1101240</v>
      </c>
      <c r="H109" s="67">
        <v>1360</v>
      </c>
      <c r="I109" s="64" t="s">
        <v>549</v>
      </c>
      <c r="J109" s="64">
        <f t="shared" si="14"/>
        <v>1</v>
      </c>
      <c r="K109" s="112" t="s">
        <v>31</v>
      </c>
      <c r="L109" s="64" t="s">
        <v>385</v>
      </c>
      <c r="N109" s="83">
        <v>0</v>
      </c>
      <c r="O109" s="83">
        <v>0</v>
      </c>
      <c r="P109" s="83">
        <v>0</v>
      </c>
      <c r="Q109" s="128">
        <v>1</v>
      </c>
      <c r="S109" s="64" t="s">
        <v>106</v>
      </c>
      <c r="W109" s="66">
        <v>7.0000000000000007E-2</v>
      </c>
      <c r="X109" s="128">
        <v>3.94</v>
      </c>
      <c r="Y109" s="64">
        <v>0</v>
      </c>
      <c r="AA109" s="64">
        <v>10000</v>
      </c>
      <c r="AB109" s="64">
        <v>0.15</v>
      </c>
      <c r="AC109" s="64">
        <v>750</v>
      </c>
      <c r="AD109" s="64">
        <v>1</v>
      </c>
      <c r="AE109" s="64">
        <v>32</v>
      </c>
      <c r="AF109" s="64">
        <v>0.56000000000000005</v>
      </c>
      <c r="AG109" s="128">
        <v>1</v>
      </c>
      <c r="AH109" s="128">
        <v>0.83</v>
      </c>
      <c r="AI109" s="128">
        <v>0.21</v>
      </c>
      <c r="AJ109" s="67">
        <v>500</v>
      </c>
      <c r="AK109" s="64">
        <v>17</v>
      </c>
      <c r="AL109" s="64">
        <v>50</v>
      </c>
      <c r="AM109" s="67">
        <v>110</v>
      </c>
      <c r="AN109" s="67" t="s">
        <v>250</v>
      </c>
      <c r="AO109" s="64">
        <v>0.31</v>
      </c>
      <c r="AP109" s="64">
        <v>1.32</v>
      </c>
      <c r="AQ109" s="66">
        <v>1.27</v>
      </c>
      <c r="AR109" s="129" t="s">
        <v>550</v>
      </c>
    </row>
    <row r="110" spans="1:44" s="64" customFormat="1" x14ac:dyDescent="0.25">
      <c r="A110" s="64" t="s">
        <v>552</v>
      </c>
      <c r="B110" s="64">
        <v>2</v>
      </c>
      <c r="C110" s="64">
        <v>11</v>
      </c>
      <c r="D110" s="64">
        <f>D109+1</f>
        <v>7</v>
      </c>
      <c r="E110" s="64">
        <v>1</v>
      </c>
      <c r="F110" s="64">
        <f t="shared" si="15"/>
        <v>16</v>
      </c>
      <c r="G110" s="64">
        <v>1109505</v>
      </c>
      <c r="H110" s="67"/>
      <c r="I110" s="64" t="s">
        <v>400</v>
      </c>
      <c r="J110" s="64">
        <f t="shared" si="14"/>
        <v>0</v>
      </c>
      <c r="K110" s="64" t="s">
        <v>33</v>
      </c>
      <c r="L110" s="64" t="s">
        <v>386</v>
      </c>
      <c r="M110" s="64" t="s">
        <v>86</v>
      </c>
      <c r="N110" s="64">
        <v>100</v>
      </c>
      <c r="O110" s="64">
        <v>250</v>
      </c>
      <c r="P110" s="64">
        <v>500</v>
      </c>
      <c r="Q110" s="128"/>
      <c r="S110" s="64" t="s">
        <v>106</v>
      </c>
      <c r="W110" s="66">
        <v>7.0000000000000007E-2</v>
      </c>
      <c r="X110" s="128"/>
      <c r="AA110" s="64">
        <v>10000</v>
      </c>
      <c r="AB110" s="64">
        <v>0.15</v>
      </c>
      <c r="AC110" s="64">
        <v>750</v>
      </c>
      <c r="AD110" s="64">
        <v>1</v>
      </c>
      <c r="AE110" s="64">
        <v>32</v>
      </c>
      <c r="AF110" s="64">
        <v>0.56000000000000005</v>
      </c>
      <c r="AG110" s="128">
        <v>1</v>
      </c>
      <c r="AH110" s="128">
        <v>0.83</v>
      </c>
      <c r="AI110" s="128">
        <v>0.21</v>
      </c>
      <c r="AJ110" s="67">
        <v>500</v>
      </c>
      <c r="AK110" s="64">
        <v>17</v>
      </c>
      <c r="AL110" s="64">
        <v>50</v>
      </c>
      <c r="AM110" s="67">
        <v>110</v>
      </c>
      <c r="AN110" s="67" t="s">
        <v>250</v>
      </c>
      <c r="AO110" s="64">
        <v>0.31</v>
      </c>
      <c r="AP110" s="64">
        <v>1.32</v>
      </c>
      <c r="AQ110" s="66">
        <v>1.27</v>
      </c>
      <c r="AR110" s="129"/>
    </row>
    <row r="111" spans="1:44" s="64" customFormat="1" x14ac:dyDescent="0.25">
      <c r="A111" s="64" t="s">
        <v>552</v>
      </c>
      <c r="B111" s="64">
        <v>2</v>
      </c>
      <c r="C111" s="64">
        <v>11</v>
      </c>
      <c r="D111" s="64">
        <f>D110+1</f>
        <v>8</v>
      </c>
      <c r="E111" s="64">
        <v>1</v>
      </c>
      <c r="F111" s="64">
        <f t="shared" si="15"/>
        <v>17</v>
      </c>
      <c r="G111" s="64">
        <v>1109501</v>
      </c>
      <c r="H111" s="67"/>
      <c r="I111" s="64" t="s">
        <v>116</v>
      </c>
      <c r="J111" s="64">
        <f t="shared" si="14"/>
        <v>0</v>
      </c>
      <c r="K111" s="64" t="s">
        <v>33</v>
      </c>
      <c r="L111" s="64" t="s">
        <v>117</v>
      </c>
      <c r="M111" s="64" t="s">
        <v>86</v>
      </c>
      <c r="N111" s="64">
        <v>100</v>
      </c>
      <c r="O111" s="64">
        <v>250</v>
      </c>
      <c r="P111" s="64">
        <v>500</v>
      </c>
      <c r="Q111" s="128"/>
      <c r="S111" s="64" t="s">
        <v>106</v>
      </c>
      <c r="W111" s="66">
        <v>7.0000000000000007E-2</v>
      </c>
      <c r="X111" s="128"/>
      <c r="AA111" s="64">
        <v>10000</v>
      </c>
      <c r="AB111" s="64">
        <v>0.15</v>
      </c>
      <c r="AC111" s="64">
        <v>750</v>
      </c>
      <c r="AD111" s="64">
        <v>1</v>
      </c>
      <c r="AE111" s="64">
        <v>32</v>
      </c>
      <c r="AF111" s="64">
        <v>0.56000000000000005</v>
      </c>
      <c r="AG111" s="128">
        <v>1</v>
      </c>
      <c r="AH111" s="128">
        <v>0.83</v>
      </c>
      <c r="AI111" s="128">
        <v>0.21</v>
      </c>
      <c r="AJ111" s="67">
        <v>500</v>
      </c>
      <c r="AK111" s="64">
        <v>17</v>
      </c>
      <c r="AL111" s="64">
        <v>50</v>
      </c>
      <c r="AM111" s="67">
        <v>110</v>
      </c>
      <c r="AN111" s="67" t="s">
        <v>250</v>
      </c>
      <c r="AO111" s="64">
        <v>0.31</v>
      </c>
      <c r="AP111" s="64">
        <v>1.32</v>
      </c>
      <c r="AQ111" s="66">
        <v>1.27</v>
      </c>
      <c r="AR111" s="129"/>
    </row>
    <row r="112" spans="1:44" s="64" customFormat="1" x14ac:dyDescent="0.25">
      <c r="A112" s="64" t="s">
        <v>552</v>
      </c>
      <c r="B112" s="64">
        <v>2</v>
      </c>
      <c r="C112" s="64">
        <v>11</v>
      </c>
      <c r="D112" s="64">
        <f>D111</f>
        <v>8</v>
      </c>
      <c r="E112" s="64">
        <f>E111+1</f>
        <v>2</v>
      </c>
      <c r="F112" s="64">
        <f t="shared" si="15"/>
        <v>18</v>
      </c>
      <c r="G112" s="64">
        <v>1120000</v>
      </c>
      <c r="H112" s="67"/>
      <c r="I112" s="64" t="s">
        <v>465</v>
      </c>
      <c r="J112" s="64">
        <f t="shared" si="14"/>
        <v>1</v>
      </c>
      <c r="K112" s="112" t="s">
        <v>31</v>
      </c>
      <c r="N112" s="64">
        <v>5</v>
      </c>
      <c r="O112" s="64">
        <v>10</v>
      </c>
      <c r="P112" s="64">
        <v>20</v>
      </c>
      <c r="Q112" s="128"/>
      <c r="S112" s="64" t="s">
        <v>106</v>
      </c>
      <c r="W112" s="66">
        <v>7.0000000000000007E-2</v>
      </c>
      <c r="X112" s="128"/>
      <c r="AA112" s="64">
        <v>10000</v>
      </c>
      <c r="AB112" s="64">
        <v>0.15</v>
      </c>
      <c r="AC112" s="64">
        <v>750</v>
      </c>
      <c r="AD112" s="64">
        <v>1</v>
      </c>
      <c r="AE112" s="64">
        <v>32</v>
      </c>
      <c r="AF112" s="64">
        <v>0.56000000000000005</v>
      </c>
      <c r="AG112" s="128">
        <v>1</v>
      </c>
      <c r="AH112" s="128">
        <v>0.83</v>
      </c>
      <c r="AI112" s="128">
        <v>0.21</v>
      </c>
      <c r="AJ112" s="67">
        <v>500</v>
      </c>
      <c r="AK112" s="64">
        <v>17</v>
      </c>
      <c r="AL112" s="64">
        <v>50</v>
      </c>
      <c r="AM112" s="67">
        <v>110</v>
      </c>
      <c r="AN112" s="67" t="s">
        <v>250</v>
      </c>
      <c r="AO112" s="64">
        <v>0.31</v>
      </c>
      <c r="AP112" s="64">
        <v>1.32</v>
      </c>
      <c r="AQ112" s="66">
        <v>1.27</v>
      </c>
      <c r="AR112" s="129"/>
    </row>
    <row r="113" spans="1:44" s="64" customFormat="1" x14ac:dyDescent="0.25">
      <c r="A113" s="64" t="s">
        <v>552</v>
      </c>
      <c r="B113" s="64">
        <v>2</v>
      </c>
      <c r="C113" s="64">
        <v>11</v>
      </c>
      <c r="D113" s="64">
        <f>D112+1</f>
        <v>9</v>
      </c>
      <c r="E113" s="64">
        <v>1</v>
      </c>
      <c r="F113" s="64">
        <f t="shared" si="15"/>
        <v>19</v>
      </c>
      <c r="G113" s="64">
        <v>1109506</v>
      </c>
      <c r="H113" s="67"/>
      <c r="I113" s="64" t="s">
        <v>401</v>
      </c>
      <c r="J113" s="64">
        <f t="shared" si="14"/>
        <v>0</v>
      </c>
      <c r="K113" s="64" t="s">
        <v>33</v>
      </c>
      <c r="L113" s="64" t="s">
        <v>388</v>
      </c>
      <c r="M113" s="64" t="s">
        <v>86</v>
      </c>
      <c r="N113" s="64">
        <v>100</v>
      </c>
      <c r="O113" s="64">
        <v>250</v>
      </c>
      <c r="P113" s="64">
        <v>500</v>
      </c>
      <c r="Q113" s="128"/>
      <c r="S113" s="64" t="s">
        <v>106</v>
      </c>
      <c r="W113" s="66">
        <v>7.0000000000000007E-2</v>
      </c>
      <c r="X113" s="128"/>
      <c r="AA113" s="64">
        <v>10000</v>
      </c>
      <c r="AB113" s="64">
        <v>0.15</v>
      </c>
      <c r="AC113" s="64">
        <v>750</v>
      </c>
      <c r="AD113" s="64">
        <v>1</v>
      </c>
      <c r="AE113" s="64">
        <v>32</v>
      </c>
      <c r="AF113" s="64">
        <v>0.56000000000000005</v>
      </c>
      <c r="AG113" s="128">
        <v>1</v>
      </c>
      <c r="AH113" s="128">
        <v>0.83</v>
      </c>
      <c r="AI113" s="128">
        <v>0.21</v>
      </c>
      <c r="AJ113" s="67">
        <v>500</v>
      </c>
      <c r="AK113" s="64">
        <v>17</v>
      </c>
      <c r="AL113" s="64">
        <v>50</v>
      </c>
      <c r="AM113" s="67">
        <v>110</v>
      </c>
      <c r="AN113" s="67" t="s">
        <v>250</v>
      </c>
      <c r="AO113" s="64">
        <v>0.31</v>
      </c>
      <c r="AP113" s="64">
        <v>1.32</v>
      </c>
      <c r="AQ113" s="66">
        <v>1.27</v>
      </c>
      <c r="AR113" s="129"/>
    </row>
    <row r="114" spans="1:44" s="64" customFormat="1" x14ac:dyDescent="0.25">
      <c r="A114" s="64" t="s">
        <v>552</v>
      </c>
      <c r="B114" s="64">
        <v>2</v>
      </c>
      <c r="C114" s="64">
        <v>11</v>
      </c>
      <c r="D114" s="64">
        <f>D113</f>
        <v>9</v>
      </c>
      <c r="E114" s="64">
        <f>E113+1</f>
        <v>2</v>
      </c>
      <c r="F114" s="64">
        <f t="shared" si="15"/>
        <v>20</v>
      </c>
      <c r="G114" s="64">
        <v>1201142</v>
      </c>
      <c r="H114" s="67">
        <v>1290</v>
      </c>
      <c r="I114" s="64" t="s">
        <v>402</v>
      </c>
      <c r="J114" s="64">
        <f t="shared" si="14"/>
        <v>1</v>
      </c>
      <c r="K114" s="112" t="s">
        <v>31</v>
      </c>
      <c r="L114" s="64" t="s">
        <v>389</v>
      </c>
      <c r="M114" s="64" t="s">
        <v>86</v>
      </c>
      <c r="N114" s="83">
        <v>0</v>
      </c>
      <c r="O114" s="83">
        <v>0</v>
      </c>
      <c r="P114" s="83">
        <v>0</v>
      </c>
      <c r="Q114" s="128">
        <v>1</v>
      </c>
      <c r="S114" s="64" t="s">
        <v>106</v>
      </c>
      <c r="W114" s="66">
        <v>7.0000000000000007E-2</v>
      </c>
      <c r="X114" s="128">
        <v>0.43</v>
      </c>
      <c r="Y114" s="64">
        <v>0</v>
      </c>
      <c r="AA114" s="64">
        <v>10000</v>
      </c>
      <c r="AB114" s="64">
        <v>0.15</v>
      </c>
      <c r="AC114" s="64">
        <v>750</v>
      </c>
      <c r="AD114" s="64">
        <v>1</v>
      </c>
      <c r="AE114" s="64">
        <v>32</v>
      </c>
      <c r="AF114" s="64">
        <v>0.56000000000000005</v>
      </c>
      <c r="AG114" s="128">
        <v>1</v>
      </c>
      <c r="AH114" s="128">
        <v>0.83</v>
      </c>
      <c r="AI114" s="128">
        <v>0.21</v>
      </c>
      <c r="AJ114" s="67">
        <v>500</v>
      </c>
      <c r="AK114" s="64">
        <v>17</v>
      </c>
      <c r="AL114" s="64">
        <v>50</v>
      </c>
      <c r="AM114" s="67">
        <v>110</v>
      </c>
      <c r="AN114" s="67" t="s">
        <v>250</v>
      </c>
      <c r="AO114" s="64">
        <v>0.31</v>
      </c>
      <c r="AP114" s="64">
        <v>1.32</v>
      </c>
      <c r="AQ114" s="66">
        <v>1.27</v>
      </c>
      <c r="AR114" s="129"/>
    </row>
    <row r="115" spans="1:44" s="64" customFormat="1" x14ac:dyDescent="0.25">
      <c r="A115" s="64" t="s">
        <v>552</v>
      </c>
      <c r="B115" s="64">
        <v>2</v>
      </c>
      <c r="C115" s="64">
        <v>11</v>
      </c>
      <c r="D115" s="64">
        <f>D114</f>
        <v>9</v>
      </c>
      <c r="E115" s="64">
        <f>E114+1</f>
        <v>3</v>
      </c>
      <c r="F115" s="64">
        <f t="shared" si="15"/>
        <v>21</v>
      </c>
      <c r="G115" s="64">
        <v>1309500</v>
      </c>
      <c r="H115" s="67">
        <v>1283</v>
      </c>
      <c r="I115" s="64" t="s">
        <v>403</v>
      </c>
      <c r="J115" s="64">
        <f t="shared" si="14"/>
        <v>1</v>
      </c>
      <c r="K115" s="112" t="s">
        <v>31</v>
      </c>
      <c r="L115" s="64" t="s">
        <v>390</v>
      </c>
      <c r="M115" s="64" t="s">
        <v>86</v>
      </c>
      <c r="N115" s="64">
        <v>5</v>
      </c>
      <c r="O115" s="64">
        <v>10</v>
      </c>
      <c r="P115" s="64">
        <v>20</v>
      </c>
      <c r="Q115" s="128"/>
      <c r="S115" s="64" t="s">
        <v>106</v>
      </c>
      <c r="W115" s="66">
        <v>7.0000000000000007E-2</v>
      </c>
      <c r="X115" s="128"/>
      <c r="AA115" s="64">
        <v>10000</v>
      </c>
      <c r="AB115" s="64">
        <v>0.15</v>
      </c>
      <c r="AC115" s="64">
        <v>750</v>
      </c>
      <c r="AD115" s="64">
        <v>1</v>
      </c>
      <c r="AE115" s="64">
        <v>32</v>
      </c>
      <c r="AF115" s="64">
        <v>0.56000000000000005</v>
      </c>
      <c r="AG115" s="128">
        <v>1</v>
      </c>
      <c r="AH115" s="128">
        <v>0.83</v>
      </c>
      <c r="AI115" s="128">
        <v>0.21</v>
      </c>
      <c r="AJ115" s="67">
        <v>500</v>
      </c>
      <c r="AK115" s="64">
        <v>17</v>
      </c>
      <c r="AL115" s="64">
        <v>50</v>
      </c>
      <c r="AM115" s="67">
        <v>110</v>
      </c>
      <c r="AN115" s="67" t="s">
        <v>250</v>
      </c>
      <c r="AO115" s="64">
        <v>0.31</v>
      </c>
      <c r="AP115" s="64">
        <v>1.32</v>
      </c>
      <c r="AQ115" s="66">
        <v>1.27</v>
      </c>
      <c r="AR115" s="129"/>
    </row>
    <row r="116" spans="1:44" s="64" customFormat="1" x14ac:dyDescent="0.25">
      <c r="A116" s="64" t="s">
        <v>552</v>
      </c>
      <c r="B116" s="64">
        <v>2</v>
      </c>
      <c r="C116" s="64">
        <v>11</v>
      </c>
      <c r="D116" s="64">
        <f>D115+1</f>
        <v>10</v>
      </c>
      <c r="E116" s="64">
        <v>1</v>
      </c>
      <c r="F116" s="64">
        <f t="shared" si="15"/>
        <v>22</v>
      </c>
      <c r="G116" s="64">
        <v>1209501</v>
      </c>
      <c r="H116" s="67"/>
      <c r="I116" s="64" t="s">
        <v>404</v>
      </c>
      <c r="J116" s="64">
        <f t="shared" si="14"/>
        <v>0</v>
      </c>
      <c r="K116" s="64" t="s">
        <v>33</v>
      </c>
      <c r="L116" s="64" t="s">
        <v>391</v>
      </c>
      <c r="M116" s="64" t="s">
        <v>86</v>
      </c>
      <c r="N116" s="64">
        <v>100</v>
      </c>
      <c r="O116" s="64">
        <v>250</v>
      </c>
      <c r="P116" s="64">
        <v>500</v>
      </c>
      <c r="Q116" s="128"/>
      <c r="S116" s="64" t="s">
        <v>106</v>
      </c>
      <c r="W116" s="66">
        <v>7.0000000000000007E-2</v>
      </c>
      <c r="X116" s="128"/>
      <c r="AA116" s="64">
        <v>10000</v>
      </c>
      <c r="AB116" s="64">
        <v>0.15</v>
      </c>
      <c r="AC116" s="64">
        <v>750</v>
      </c>
      <c r="AD116" s="64">
        <v>1</v>
      </c>
      <c r="AE116" s="64">
        <v>32</v>
      </c>
      <c r="AF116" s="64">
        <v>0.56000000000000005</v>
      </c>
      <c r="AG116" s="128">
        <v>1</v>
      </c>
      <c r="AH116" s="128">
        <v>0.83</v>
      </c>
      <c r="AI116" s="128">
        <v>0.21</v>
      </c>
      <c r="AJ116" s="67">
        <v>500</v>
      </c>
      <c r="AK116" s="64">
        <v>17</v>
      </c>
      <c r="AL116" s="64">
        <v>50</v>
      </c>
      <c r="AM116" s="67">
        <v>110</v>
      </c>
      <c r="AN116" s="67" t="s">
        <v>250</v>
      </c>
      <c r="AO116" s="64">
        <v>0.31</v>
      </c>
      <c r="AP116" s="64">
        <v>1.32</v>
      </c>
      <c r="AQ116" s="66">
        <v>1.27</v>
      </c>
      <c r="AR116" s="129"/>
    </row>
    <row r="117" spans="1:44" s="64" customFormat="1" x14ac:dyDescent="0.25">
      <c r="A117" s="64" t="s">
        <v>552</v>
      </c>
      <c r="B117" s="64">
        <v>2</v>
      </c>
      <c r="C117" s="64">
        <v>11</v>
      </c>
      <c r="D117" s="64">
        <f>D116</f>
        <v>10</v>
      </c>
      <c r="E117" s="64">
        <f>E116+1</f>
        <v>2</v>
      </c>
      <c r="F117" s="64">
        <f t="shared" si="15"/>
        <v>23</v>
      </c>
      <c r="G117" s="64">
        <v>1220000</v>
      </c>
      <c r="H117" s="75">
        <v>1572</v>
      </c>
      <c r="I117" s="61" t="s">
        <v>611</v>
      </c>
      <c r="J117" s="64">
        <f t="shared" si="14"/>
        <v>1</v>
      </c>
      <c r="K117" s="112" t="s">
        <v>31</v>
      </c>
      <c r="N117" s="64">
        <v>5</v>
      </c>
      <c r="O117" s="64">
        <v>10</v>
      </c>
      <c r="P117" s="64">
        <v>20</v>
      </c>
      <c r="Q117" s="128"/>
      <c r="S117" s="64" t="s">
        <v>106</v>
      </c>
      <c r="W117" s="66">
        <v>7.0000000000000007E-2</v>
      </c>
      <c r="X117" s="128"/>
      <c r="AA117" s="64">
        <v>10000</v>
      </c>
      <c r="AB117" s="64">
        <v>0.15</v>
      </c>
      <c r="AC117" s="64">
        <v>750</v>
      </c>
      <c r="AD117" s="64">
        <v>1</v>
      </c>
      <c r="AE117" s="64">
        <v>32</v>
      </c>
      <c r="AF117" s="64">
        <v>0.56000000000000005</v>
      </c>
      <c r="AG117" s="128">
        <v>1</v>
      </c>
      <c r="AH117" s="128">
        <v>0.83</v>
      </c>
      <c r="AI117" s="128">
        <v>0.21</v>
      </c>
      <c r="AJ117" s="67">
        <v>500</v>
      </c>
      <c r="AK117" s="64">
        <v>17</v>
      </c>
      <c r="AL117" s="64">
        <v>50</v>
      </c>
      <c r="AM117" s="67">
        <v>110</v>
      </c>
      <c r="AN117" s="67" t="s">
        <v>250</v>
      </c>
      <c r="AO117" s="64">
        <v>0.31</v>
      </c>
      <c r="AP117" s="64">
        <v>1.32</v>
      </c>
      <c r="AQ117" s="66">
        <v>1.27</v>
      </c>
      <c r="AR117" s="129"/>
    </row>
    <row r="118" spans="1:44" s="64" customFormat="1" x14ac:dyDescent="0.25">
      <c r="A118" s="64" t="s">
        <v>552</v>
      </c>
      <c r="B118" s="64">
        <v>2</v>
      </c>
      <c r="C118" s="64">
        <v>11</v>
      </c>
      <c r="D118" s="64">
        <f>D117</f>
        <v>10</v>
      </c>
      <c r="E118" s="64">
        <f>E117+1</f>
        <v>3</v>
      </c>
      <c r="F118" s="64">
        <f t="shared" si="15"/>
        <v>24</v>
      </c>
      <c r="G118" s="64">
        <v>1209500</v>
      </c>
      <c r="H118" s="67"/>
      <c r="I118" s="64" t="s">
        <v>405</v>
      </c>
      <c r="J118" s="64">
        <f t="shared" si="14"/>
        <v>0</v>
      </c>
      <c r="K118" s="64" t="s">
        <v>33</v>
      </c>
      <c r="L118" s="64" t="s">
        <v>392</v>
      </c>
      <c r="M118" s="64" t="s">
        <v>86</v>
      </c>
      <c r="N118" s="64">
        <v>100</v>
      </c>
      <c r="O118" s="64">
        <v>250</v>
      </c>
      <c r="P118" s="64">
        <v>500</v>
      </c>
      <c r="Q118" s="128"/>
      <c r="S118" s="64" t="s">
        <v>106</v>
      </c>
      <c r="W118" s="66">
        <v>7.0000000000000007E-2</v>
      </c>
      <c r="X118" s="128"/>
      <c r="AA118" s="64">
        <v>10000</v>
      </c>
      <c r="AB118" s="64">
        <v>0.15</v>
      </c>
      <c r="AC118" s="64">
        <v>750</v>
      </c>
      <c r="AD118" s="64">
        <v>1</v>
      </c>
      <c r="AE118" s="64">
        <v>32</v>
      </c>
      <c r="AF118" s="64">
        <v>0.56000000000000005</v>
      </c>
      <c r="AG118" s="128">
        <v>1</v>
      </c>
      <c r="AH118" s="128">
        <v>0.83</v>
      </c>
      <c r="AI118" s="128">
        <v>0.21</v>
      </c>
      <c r="AJ118" s="67">
        <v>500</v>
      </c>
      <c r="AK118" s="64">
        <v>17</v>
      </c>
      <c r="AL118" s="64">
        <v>50</v>
      </c>
      <c r="AM118" s="67">
        <v>110</v>
      </c>
      <c r="AN118" s="67" t="s">
        <v>250</v>
      </c>
      <c r="AO118" s="64">
        <v>0.31</v>
      </c>
      <c r="AP118" s="64">
        <v>1.32</v>
      </c>
      <c r="AQ118" s="66">
        <v>1.27</v>
      </c>
      <c r="AR118" s="129"/>
    </row>
    <row r="119" spans="1:44" s="64" customFormat="1" x14ac:dyDescent="0.25">
      <c r="A119" s="64" t="s">
        <v>552</v>
      </c>
      <c r="B119" s="64">
        <v>2</v>
      </c>
      <c r="C119" s="64">
        <v>11</v>
      </c>
      <c r="D119" s="64">
        <f>D118</f>
        <v>10</v>
      </c>
      <c r="E119" s="64">
        <f>E118+1</f>
        <v>4</v>
      </c>
      <c r="F119" s="64">
        <f t="shared" si="15"/>
        <v>25</v>
      </c>
      <c r="G119" s="64">
        <v>1200511</v>
      </c>
      <c r="H119" s="67"/>
      <c r="I119" s="64" t="s">
        <v>406</v>
      </c>
      <c r="J119" s="64">
        <f t="shared" si="14"/>
        <v>-1</v>
      </c>
      <c r="K119" s="67" t="s">
        <v>32</v>
      </c>
      <c r="L119" s="64" t="s">
        <v>393</v>
      </c>
      <c r="M119" s="64" t="s">
        <v>86</v>
      </c>
      <c r="N119" s="64">
        <v>5</v>
      </c>
      <c r="O119" s="64">
        <v>10</v>
      </c>
      <c r="P119" s="64">
        <v>20</v>
      </c>
      <c r="Q119" s="128"/>
      <c r="S119" s="64" t="s">
        <v>106</v>
      </c>
      <c r="W119" s="66">
        <v>7.0000000000000007E-2</v>
      </c>
      <c r="X119" s="128"/>
      <c r="AA119" s="64">
        <v>10000</v>
      </c>
      <c r="AB119" s="64">
        <v>0.15</v>
      </c>
      <c r="AC119" s="64">
        <v>750</v>
      </c>
      <c r="AD119" s="64">
        <v>1</v>
      </c>
      <c r="AE119" s="64">
        <v>32</v>
      </c>
      <c r="AF119" s="64">
        <v>0.56000000000000005</v>
      </c>
      <c r="AG119" s="128">
        <v>1</v>
      </c>
      <c r="AH119" s="128">
        <v>0.83</v>
      </c>
      <c r="AI119" s="128">
        <v>0.21</v>
      </c>
      <c r="AJ119" s="67">
        <v>500</v>
      </c>
      <c r="AK119" s="64">
        <v>17</v>
      </c>
      <c r="AL119" s="64">
        <v>50</v>
      </c>
      <c r="AM119" s="67">
        <v>110</v>
      </c>
      <c r="AN119" s="67" t="s">
        <v>250</v>
      </c>
      <c r="AO119" s="64">
        <v>0.31</v>
      </c>
      <c r="AP119" s="64">
        <v>1.32</v>
      </c>
      <c r="AQ119" s="66">
        <v>1.27</v>
      </c>
      <c r="AR119" s="129"/>
    </row>
    <row r="120" spans="1:44" s="64" customFormat="1" x14ac:dyDescent="0.25">
      <c r="A120" s="64" t="s">
        <v>552</v>
      </c>
      <c r="B120" s="64">
        <v>2</v>
      </c>
      <c r="C120" s="64">
        <v>11</v>
      </c>
      <c r="D120" s="64">
        <f>D119+1</f>
        <v>11</v>
      </c>
      <c r="E120" s="64">
        <v>1</v>
      </c>
      <c r="F120" s="64">
        <f t="shared" si="15"/>
        <v>26</v>
      </c>
      <c r="G120" s="64">
        <v>1209502</v>
      </c>
      <c r="H120" s="67"/>
      <c r="I120" s="64" t="s">
        <v>119</v>
      </c>
      <c r="J120" s="64">
        <f t="shared" si="14"/>
        <v>0</v>
      </c>
      <c r="K120" s="64" t="s">
        <v>33</v>
      </c>
      <c r="L120" s="64" t="s">
        <v>118</v>
      </c>
      <c r="M120" s="64" t="s">
        <v>86</v>
      </c>
      <c r="N120" s="64">
        <v>100</v>
      </c>
      <c r="O120" s="64">
        <v>250</v>
      </c>
      <c r="P120" s="64">
        <v>500</v>
      </c>
      <c r="Q120" s="128"/>
      <c r="S120" s="64" t="s">
        <v>106</v>
      </c>
      <c r="W120" s="66">
        <v>7.0000000000000007E-2</v>
      </c>
      <c r="X120" s="128"/>
      <c r="AA120" s="64">
        <v>10000</v>
      </c>
      <c r="AB120" s="64">
        <v>0.15</v>
      </c>
      <c r="AC120" s="64">
        <v>750</v>
      </c>
      <c r="AD120" s="64">
        <v>1</v>
      </c>
      <c r="AE120" s="64">
        <v>32</v>
      </c>
      <c r="AF120" s="64">
        <v>0.56000000000000005</v>
      </c>
      <c r="AG120" s="128">
        <v>1</v>
      </c>
      <c r="AH120" s="128">
        <v>0.83</v>
      </c>
      <c r="AI120" s="128">
        <v>0.21</v>
      </c>
      <c r="AJ120" s="67">
        <v>500</v>
      </c>
      <c r="AK120" s="64">
        <v>17</v>
      </c>
      <c r="AL120" s="64">
        <v>50</v>
      </c>
      <c r="AM120" s="67">
        <v>110</v>
      </c>
      <c r="AN120" s="67" t="s">
        <v>250</v>
      </c>
      <c r="AO120" s="64">
        <v>0.31</v>
      </c>
      <c r="AP120" s="64">
        <v>1.32</v>
      </c>
      <c r="AQ120" s="66">
        <v>1.27</v>
      </c>
      <c r="AR120" s="129"/>
    </row>
    <row r="121" spans="1:44" s="64" customFormat="1" x14ac:dyDescent="0.25">
      <c r="A121" s="64" t="s">
        <v>552</v>
      </c>
      <c r="B121" s="64">
        <v>2</v>
      </c>
      <c r="C121" s="64">
        <v>11</v>
      </c>
      <c r="D121" s="64">
        <f>D120</f>
        <v>11</v>
      </c>
      <c r="E121" s="64">
        <f>E120+1</f>
        <v>2</v>
      </c>
      <c r="F121" s="64">
        <f t="shared" si="15"/>
        <v>27</v>
      </c>
      <c r="G121" s="64">
        <v>1209503</v>
      </c>
      <c r="H121" s="67">
        <v>1644</v>
      </c>
      <c r="I121" s="64" t="s">
        <v>407</v>
      </c>
      <c r="J121" s="64">
        <f t="shared" si="14"/>
        <v>1</v>
      </c>
      <c r="K121" s="112" t="s">
        <v>31</v>
      </c>
      <c r="L121" s="64" t="s">
        <v>394</v>
      </c>
      <c r="M121" s="64" t="s">
        <v>86</v>
      </c>
      <c r="N121" s="64">
        <v>5</v>
      </c>
      <c r="O121" s="64">
        <v>10</v>
      </c>
      <c r="P121" s="64">
        <v>20</v>
      </c>
      <c r="Q121" s="128"/>
      <c r="S121" s="64" t="s">
        <v>106</v>
      </c>
      <c r="W121" s="66">
        <v>7.0000000000000007E-2</v>
      </c>
      <c r="X121" s="128"/>
      <c r="AA121" s="64">
        <v>10000</v>
      </c>
      <c r="AB121" s="64">
        <v>0.15</v>
      </c>
      <c r="AC121" s="64">
        <v>750</v>
      </c>
      <c r="AD121" s="64">
        <v>1</v>
      </c>
      <c r="AE121" s="64">
        <v>32</v>
      </c>
      <c r="AF121" s="64">
        <v>0.56000000000000005</v>
      </c>
      <c r="AG121" s="128">
        <v>1</v>
      </c>
      <c r="AH121" s="128">
        <v>0.83</v>
      </c>
      <c r="AI121" s="128">
        <v>0.21</v>
      </c>
      <c r="AJ121" s="67">
        <v>500</v>
      </c>
      <c r="AK121" s="64">
        <v>17</v>
      </c>
      <c r="AL121" s="64">
        <v>50</v>
      </c>
      <c r="AM121" s="67">
        <v>110</v>
      </c>
      <c r="AN121" s="67" t="s">
        <v>250</v>
      </c>
      <c r="AO121" s="64">
        <v>0.31</v>
      </c>
      <c r="AP121" s="64">
        <v>1.32</v>
      </c>
      <c r="AQ121" s="66">
        <v>1.27</v>
      </c>
      <c r="AR121" s="129"/>
    </row>
    <row r="122" spans="1:44" s="64" customFormat="1" x14ac:dyDescent="0.25">
      <c r="A122" s="64" t="s">
        <v>552</v>
      </c>
      <c r="B122" s="64">
        <v>2</v>
      </c>
      <c r="C122" s="64">
        <v>11</v>
      </c>
      <c r="D122" s="64">
        <f>D121</f>
        <v>11</v>
      </c>
      <c r="E122" s="64">
        <f>E121+1</f>
        <v>3</v>
      </c>
      <c r="F122" s="64">
        <f t="shared" si="15"/>
        <v>28</v>
      </c>
      <c r="G122" s="64">
        <v>1420025</v>
      </c>
      <c r="H122" s="67"/>
      <c r="I122" s="64" t="s">
        <v>575</v>
      </c>
      <c r="J122" s="64">
        <f t="shared" si="14"/>
        <v>1</v>
      </c>
      <c r="K122" s="112" t="s">
        <v>31</v>
      </c>
      <c r="N122" s="83">
        <v>0</v>
      </c>
      <c r="O122" s="83">
        <v>0</v>
      </c>
      <c r="P122" s="83">
        <v>0</v>
      </c>
      <c r="Q122" s="128"/>
      <c r="S122" s="64" t="s">
        <v>106</v>
      </c>
      <c r="W122" s="66">
        <v>0</v>
      </c>
      <c r="X122" s="128"/>
      <c r="AA122" s="64">
        <v>10000</v>
      </c>
      <c r="AB122" s="64">
        <v>0.15</v>
      </c>
      <c r="AC122" s="64">
        <v>750</v>
      </c>
      <c r="AD122" s="64">
        <v>1</v>
      </c>
      <c r="AE122" s="64">
        <v>32</v>
      </c>
      <c r="AF122" s="64">
        <v>0.56000000000000005</v>
      </c>
      <c r="AG122" s="128">
        <v>1</v>
      </c>
      <c r="AH122" s="128">
        <v>0.83</v>
      </c>
      <c r="AI122" s="128">
        <v>0.21</v>
      </c>
      <c r="AJ122" s="67">
        <v>500</v>
      </c>
      <c r="AK122" s="64">
        <v>17</v>
      </c>
      <c r="AL122" s="64">
        <v>50</v>
      </c>
      <c r="AM122" s="67">
        <v>110</v>
      </c>
      <c r="AN122" s="67" t="s">
        <v>251</v>
      </c>
      <c r="AO122" s="64">
        <v>0.31</v>
      </c>
      <c r="AP122" s="64">
        <v>1.32</v>
      </c>
      <c r="AQ122" s="66">
        <v>1.27</v>
      </c>
      <c r="AR122" s="129"/>
    </row>
    <row r="123" spans="1:44" s="64" customFormat="1" ht="15.75" thickBot="1" x14ac:dyDescent="0.3">
      <c r="A123" s="64" t="s">
        <v>552</v>
      </c>
      <c r="G123" s="64">
        <v>1403526</v>
      </c>
      <c r="H123" s="67"/>
      <c r="I123" s="64" t="s">
        <v>92</v>
      </c>
      <c r="J123" s="64" t="str">
        <f t="shared" si="14"/>
        <v/>
      </c>
      <c r="Q123" s="128"/>
      <c r="S123" s="64" t="s">
        <v>106</v>
      </c>
      <c r="W123" s="66"/>
      <c r="X123" s="128"/>
      <c r="AG123" s="128"/>
      <c r="AH123" s="128"/>
      <c r="AI123" s="128"/>
      <c r="AJ123" s="67"/>
      <c r="AM123" s="67"/>
      <c r="AN123" s="67"/>
      <c r="AQ123" s="66"/>
      <c r="AR123" s="129"/>
    </row>
    <row r="124" spans="1:44" s="143" customFormat="1" x14ac:dyDescent="0.25">
      <c r="A124" s="143" t="s">
        <v>553</v>
      </c>
      <c r="B124" s="143">
        <v>2</v>
      </c>
      <c r="C124" s="143">
        <v>1101</v>
      </c>
      <c r="D124" s="143">
        <v>1</v>
      </c>
      <c r="E124" s="143">
        <v>1</v>
      </c>
      <c r="F124" s="143">
        <v>1</v>
      </c>
      <c r="G124" s="143">
        <v>1109519</v>
      </c>
      <c r="H124" s="144"/>
      <c r="I124" s="143" t="s">
        <v>496</v>
      </c>
      <c r="J124" s="143">
        <f t="shared" si="14"/>
        <v>0</v>
      </c>
      <c r="K124" s="143" t="s">
        <v>33</v>
      </c>
      <c r="L124" s="143" t="s">
        <v>484</v>
      </c>
      <c r="M124" s="143" t="s">
        <v>86</v>
      </c>
      <c r="N124" s="143">
        <v>5</v>
      </c>
      <c r="O124" s="143">
        <v>10</v>
      </c>
      <c r="P124" s="143">
        <v>20</v>
      </c>
      <c r="Q124" s="146"/>
      <c r="S124" s="147" t="s">
        <v>485</v>
      </c>
      <c r="W124" s="145">
        <v>7.0000000000000007E-2</v>
      </c>
      <c r="X124" s="146"/>
      <c r="AA124" s="143">
        <v>10000</v>
      </c>
      <c r="AB124" s="143">
        <v>0.15</v>
      </c>
      <c r="AC124" s="143">
        <v>750</v>
      </c>
      <c r="AD124" s="143">
        <v>1</v>
      </c>
      <c r="AE124" s="144">
        <v>32</v>
      </c>
      <c r="AF124" s="145">
        <v>0.56000000000000005</v>
      </c>
      <c r="AG124" s="146">
        <v>1</v>
      </c>
      <c r="AH124" s="146">
        <v>0.83</v>
      </c>
      <c r="AI124" s="146">
        <v>0.21</v>
      </c>
      <c r="AJ124" s="144">
        <v>500</v>
      </c>
      <c r="AK124" s="144">
        <v>17</v>
      </c>
      <c r="AL124" s="143">
        <v>50</v>
      </c>
      <c r="AM124" s="144">
        <v>10</v>
      </c>
      <c r="AN124" s="144" t="s">
        <v>251</v>
      </c>
      <c r="AO124" s="145">
        <v>0.31</v>
      </c>
      <c r="AP124" s="145">
        <v>1.32</v>
      </c>
      <c r="AQ124" s="145">
        <v>1.27</v>
      </c>
      <c r="AR124" s="148"/>
    </row>
    <row r="125" spans="1:44" s="64" customFormat="1" x14ac:dyDescent="0.25">
      <c r="A125" s="64" t="s">
        <v>553</v>
      </c>
      <c r="B125" s="112">
        <v>2</v>
      </c>
      <c r="C125" s="64">
        <f t="shared" ref="C125:D127" si="16">C124</f>
        <v>1101</v>
      </c>
      <c r="D125" s="64">
        <f t="shared" si="16"/>
        <v>1</v>
      </c>
      <c r="E125" s="64">
        <f t="shared" ref="E125:F127" si="17">E124+1</f>
        <v>2</v>
      </c>
      <c r="F125" s="64">
        <f t="shared" si="17"/>
        <v>2</v>
      </c>
      <c r="G125" s="64">
        <v>1104613</v>
      </c>
      <c r="H125" s="67"/>
      <c r="I125" s="64" t="s">
        <v>497</v>
      </c>
      <c r="J125" s="64">
        <f t="shared" si="14"/>
        <v>1</v>
      </c>
      <c r="K125" s="130" t="s">
        <v>31</v>
      </c>
      <c r="L125" s="64" t="s">
        <v>486</v>
      </c>
      <c r="M125" s="64" t="s">
        <v>86</v>
      </c>
      <c r="N125" s="83">
        <v>0</v>
      </c>
      <c r="O125" s="83">
        <v>0</v>
      </c>
      <c r="P125" s="83">
        <v>0</v>
      </c>
      <c r="Q125" s="128">
        <v>1</v>
      </c>
      <c r="S125" s="152" t="s">
        <v>485</v>
      </c>
      <c r="W125" s="131">
        <v>7.0000000000000007E-2</v>
      </c>
      <c r="X125" s="128"/>
      <c r="AA125" s="112">
        <v>10000</v>
      </c>
      <c r="AB125" s="112">
        <v>0.15</v>
      </c>
      <c r="AC125" s="112">
        <v>750</v>
      </c>
      <c r="AD125" s="112">
        <v>1</v>
      </c>
      <c r="AE125" s="130">
        <v>32</v>
      </c>
      <c r="AF125" s="131">
        <v>0.56000000000000005</v>
      </c>
      <c r="AG125" s="132">
        <v>1</v>
      </c>
      <c r="AH125" s="132">
        <v>0.83</v>
      </c>
      <c r="AI125" s="132">
        <v>0.21</v>
      </c>
      <c r="AJ125" s="130">
        <v>500</v>
      </c>
      <c r="AK125" s="130">
        <v>17</v>
      </c>
      <c r="AL125" s="112">
        <v>50</v>
      </c>
      <c r="AM125" s="130">
        <v>10</v>
      </c>
      <c r="AN125" s="130" t="s">
        <v>251</v>
      </c>
      <c r="AO125" s="131">
        <v>0.31</v>
      </c>
      <c r="AP125" s="131">
        <v>1.32</v>
      </c>
      <c r="AQ125" s="131">
        <v>1.27</v>
      </c>
      <c r="AR125" s="129"/>
    </row>
    <row r="126" spans="1:44" s="64" customFormat="1" x14ac:dyDescent="0.25">
      <c r="A126" s="64" t="s">
        <v>553</v>
      </c>
      <c r="B126" s="112">
        <v>2</v>
      </c>
      <c r="C126" s="64">
        <f t="shared" si="16"/>
        <v>1101</v>
      </c>
      <c r="D126" s="64">
        <f t="shared" si="16"/>
        <v>1</v>
      </c>
      <c r="E126" s="64">
        <f t="shared" si="17"/>
        <v>3</v>
      </c>
      <c r="F126" s="64">
        <f t="shared" si="17"/>
        <v>3</v>
      </c>
      <c r="G126" s="64">
        <v>1104615</v>
      </c>
      <c r="H126" s="67">
        <v>6401</v>
      </c>
      <c r="I126" s="64" t="s">
        <v>498</v>
      </c>
      <c r="J126" s="64">
        <f t="shared" si="14"/>
        <v>1</v>
      </c>
      <c r="K126" s="130" t="s">
        <v>31</v>
      </c>
      <c r="L126" s="64" t="s">
        <v>487</v>
      </c>
      <c r="M126" s="64" t="s">
        <v>86</v>
      </c>
      <c r="N126" s="83">
        <v>0</v>
      </c>
      <c r="O126" s="83">
        <v>0</v>
      </c>
      <c r="P126" s="83">
        <v>0</v>
      </c>
      <c r="Q126" s="128">
        <v>1</v>
      </c>
      <c r="S126" s="152" t="s">
        <v>485</v>
      </c>
      <c r="W126" s="131">
        <v>7.0000000000000007E-2</v>
      </c>
      <c r="X126" s="128"/>
      <c r="AA126" s="112">
        <v>10000</v>
      </c>
      <c r="AB126" s="112">
        <v>0.15</v>
      </c>
      <c r="AC126" s="112">
        <v>750</v>
      </c>
      <c r="AD126" s="112">
        <v>1</v>
      </c>
      <c r="AE126" s="130">
        <v>32</v>
      </c>
      <c r="AF126" s="131">
        <v>0.56000000000000005</v>
      </c>
      <c r="AG126" s="132">
        <v>1</v>
      </c>
      <c r="AH126" s="132">
        <v>0.83</v>
      </c>
      <c r="AI126" s="132">
        <v>0.21</v>
      </c>
      <c r="AJ126" s="130">
        <v>500</v>
      </c>
      <c r="AK126" s="130">
        <v>17</v>
      </c>
      <c r="AL126" s="112">
        <v>50</v>
      </c>
      <c r="AM126" s="130">
        <v>10</v>
      </c>
      <c r="AN126" s="130" t="s">
        <v>251</v>
      </c>
      <c r="AO126" s="131">
        <v>0.31</v>
      </c>
      <c r="AP126" s="131">
        <v>1.32</v>
      </c>
      <c r="AQ126" s="131">
        <v>1.27</v>
      </c>
      <c r="AR126" s="129"/>
    </row>
    <row r="127" spans="1:44" s="64" customFormat="1" x14ac:dyDescent="0.25">
      <c r="A127" s="64" t="s">
        <v>553</v>
      </c>
      <c r="B127" s="112">
        <v>2</v>
      </c>
      <c r="C127" s="64">
        <f t="shared" si="16"/>
        <v>1101</v>
      </c>
      <c r="D127" s="64">
        <f t="shared" si="16"/>
        <v>1</v>
      </c>
      <c r="E127" s="64">
        <f t="shared" si="17"/>
        <v>4</v>
      </c>
      <c r="F127" s="64">
        <f t="shared" si="17"/>
        <v>4</v>
      </c>
      <c r="G127" s="64">
        <v>1104612</v>
      </c>
      <c r="H127" s="67">
        <v>1526</v>
      </c>
      <c r="I127" s="64" t="s">
        <v>569</v>
      </c>
      <c r="J127" s="64">
        <f t="shared" si="14"/>
        <v>1</v>
      </c>
      <c r="K127" s="130" t="s">
        <v>31</v>
      </c>
      <c r="L127" s="64" t="s">
        <v>488</v>
      </c>
      <c r="M127" s="64" t="s">
        <v>86</v>
      </c>
      <c r="N127" s="83">
        <v>0</v>
      </c>
      <c r="O127" s="83">
        <v>0</v>
      </c>
      <c r="P127" s="83">
        <v>0</v>
      </c>
      <c r="Q127" s="128">
        <v>1</v>
      </c>
      <c r="S127" s="152" t="s">
        <v>485</v>
      </c>
      <c r="W127" s="131">
        <v>7.0000000000000007E-2</v>
      </c>
      <c r="X127" s="128">
        <v>3.23326</v>
      </c>
      <c r="AA127" s="112">
        <v>10000</v>
      </c>
      <c r="AB127" s="112">
        <v>0.15</v>
      </c>
      <c r="AC127" s="112">
        <v>750</v>
      </c>
      <c r="AD127" s="112">
        <v>1</v>
      </c>
      <c r="AE127" s="130">
        <v>32</v>
      </c>
      <c r="AF127" s="131">
        <v>0.56000000000000005</v>
      </c>
      <c r="AG127" s="132">
        <v>1</v>
      </c>
      <c r="AH127" s="132">
        <v>0.83</v>
      </c>
      <c r="AI127" s="132">
        <v>0.21</v>
      </c>
      <c r="AJ127" s="130">
        <v>500</v>
      </c>
      <c r="AK127" s="130">
        <v>17</v>
      </c>
      <c r="AL127" s="112">
        <v>50</v>
      </c>
      <c r="AM127" s="130">
        <v>10</v>
      </c>
      <c r="AN127" s="130" t="s">
        <v>251</v>
      </c>
      <c r="AO127" s="131">
        <v>0.31</v>
      </c>
      <c r="AP127" s="131">
        <v>1.32</v>
      </c>
      <c r="AQ127" s="131">
        <v>1.27</v>
      </c>
      <c r="AR127" s="129"/>
    </row>
    <row r="128" spans="1:44" s="64" customFormat="1" ht="15.75" thickBot="1" x14ac:dyDescent="0.3">
      <c r="A128" s="64" t="s">
        <v>553</v>
      </c>
      <c r="B128" s="112"/>
      <c r="G128" s="64">
        <v>1103500</v>
      </c>
      <c r="H128" s="67"/>
      <c r="I128" s="64" t="s">
        <v>499</v>
      </c>
      <c r="Q128" s="128"/>
      <c r="S128" s="152" t="s">
        <v>485</v>
      </c>
      <c r="W128" s="131">
        <v>7.0000000000000007E-2</v>
      </c>
      <c r="X128" s="128"/>
      <c r="AA128" s="112">
        <v>10000</v>
      </c>
      <c r="AB128" s="112">
        <v>0.15</v>
      </c>
      <c r="AC128" s="112">
        <v>750</v>
      </c>
      <c r="AD128" s="112">
        <v>1</v>
      </c>
      <c r="AE128" s="130">
        <v>32</v>
      </c>
      <c r="AF128" s="131">
        <v>0.56000000000000005</v>
      </c>
      <c r="AG128" s="132">
        <v>1</v>
      </c>
      <c r="AH128" s="132">
        <v>0.83</v>
      </c>
      <c r="AI128" s="132">
        <v>0.21</v>
      </c>
      <c r="AJ128" s="130">
        <v>500</v>
      </c>
      <c r="AK128" s="130">
        <v>17</v>
      </c>
      <c r="AL128" s="112">
        <v>50</v>
      </c>
      <c r="AM128" s="130">
        <v>10</v>
      </c>
      <c r="AN128" s="130" t="s">
        <v>251</v>
      </c>
      <c r="AO128" s="131">
        <v>0.31</v>
      </c>
      <c r="AP128" s="131">
        <v>1.32</v>
      </c>
      <c r="AQ128" s="131">
        <v>1.27</v>
      </c>
      <c r="AR128" s="129"/>
    </row>
    <row r="129" spans="1:44" s="135" customFormat="1" x14ac:dyDescent="0.25">
      <c r="A129" s="135" t="s">
        <v>555</v>
      </c>
      <c r="B129" s="135">
        <v>2</v>
      </c>
      <c r="C129" s="135">
        <f>C127+1</f>
        <v>1102</v>
      </c>
      <c r="D129" s="135">
        <v>1</v>
      </c>
      <c r="E129" s="135">
        <v>1</v>
      </c>
      <c r="F129" s="135">
        <v>1</v>
      </c>
      <c r="G129" s="135">
        <v>1103500</v>
      </c>
      <c r="H129" s="136"/>
      <c r="I129" s="135" t="s">
        <v>499</v>
      </c>
      <c r="J129" s="135">
        <f>IF(K129="Inflow",1,IF(K129="Outflow",-1,IF(K129="Gage",0,IF(K129="Top",0,""))))</f>
        <v>0</v>
      </c>
      <c r="K129" s="135" t="s">
        <v>233</v>
      </c>
      <c r="N129" s="135">
        <v>0</v>
      </c>
      <c r="O129" s="135">
        <v>0</v>
      </c>
      <c r="P129" s="135">
        <v>0</v>
      </c>
      <c r="Q129" s="138">
        <v>1</v>
      </c>
      <c r="S129" s="139" t="s">
        <v>485</v>
      </c>
      <c r="W129" s="137">
        <v>7.0000000000000007E-2</v>
      </c>
      <c r="X129" s="138"/>
      <c r="AA129" s="135">
        <v>10000</v>
      </c>
      <c r="AB129" s="135">
        <v>0.15</v>
      </c>
      <c r="AC129" s="135">
        <v>750</v>
      </c>
      <c r="AD129" s="135">
        <v>1</v>
      </c>
      <c r="AE129" s="136">
        <v>32</v>
      </c>
      <c r="AF129" s="137">
        <v>0.56000000000000005</v>
      </c>
      <c r="AG129" s="138">
        <v>1</v>
      </c>
      <c r="AH129" s="138">
        <v>0.83</v>
      </c>
      <c r="AI129" s="138">
        <v>0.21</v>
      </c>
      <c r="AJ129" s="136">
        <v>500</v>
      </c>
      <c r="AK129" s="136">
        <v>17</v>
      </c>
      <c r="AL129" s="135">
        <v>50</v>
      </c>
      <c r="AM129" s="136">
        <v>10</v>
      </c>
      <c r="AN129" s="136" t="s">
        <v>251</v>
      </c>
      <c r="AO129" s="137">
        <v>0.31</v>
      </c>
      <c r="AP129" s="137">
        <v>1.32</v>
      </c>
      <c r="AQ129" s="137">
        <v>1.27</v>
      </c>
      <c r="AR129" s="140"/>
    </row>
    <row r="130" spans="1:44" s="123" customFormat="1" x14ac:dyDescent="0.25">
      <c r="A130" s="123" t="s">
        <v>555</v>
      </c>
      <c r="B130" s="123">
        <v>2</v>
      </c>
      <c r="C130" s="123">
        <f>C129</f>
        <v>1102</v>
      </c>
      <c r="D130" s="123">
        <v>2</v>
      </c>
      <c r="E130" s="123">
        <v>1</v>
      </c>
      <c r="F130" s="123">
        <v>2</v>
      </c>
      <c r="G130" s="123">
        <v>1109520</v>
      </c>
      <c r="H130" s="124"/>
      <c r="I130" s="123" t="s">
        <v>500</v>
      </c>
      <c r="J130" s="123">
        <f>IF(K130="Inflow",1,IF(K130="Outflow",-1,IF(K130="Gage",0,IF(K130="Top",0,""))))</f>
        <v>0</v>
      </c>
      <c r="K130" s="124" t="s">
        <v>33</v>
      </c>
      <c r="L130" s="123" t="s">
        <v>375</v>
      </c>
      <c r="M130" s="123" t="s">
        <v>86</v>
      </c>
      <c r="N130" s="123">
        <v>5</v>
      </c>
      <c r="O130" s="123">
        <v>10</v>
      </c>
      <c r="P130" s="123">
        <v>20</v>
      </c>
      <c r="Q130" s="125"/>
      <c r="S130" s="141" t="s">
        <v>485</v>
      </c>
      <c r="W130" s="126">
        <v>7.0000000000000007E-2</v>
      </c>
      <c r="X130" s="125"/>
      <c r="AA130" s="123">
        <v>10000</v>
      </c>
      <c r="AB130" s="123">
        <v>0.15</v>
      </c>
      <c r="AC130" s="123">
        <v>750</v>
      </c>
      <c r="AD130" s="123">
        <v>1</v>
      </c>
      <c r="AE130" s="124">
        <v>32</v>
      </c>
      <c r="AF130" s="126">
        <v>0.56000000000000005</v>
      </c>
      <c r="AG130" s="125">
        <v>1</v>
      </c>
      <c r="AH130" s="125">
        <v>0.83</v>
      </c>
      <c r="AI130" s="125">
        <v>0.21</v>
      </c>
      <c r="AJ130" s="124">
        <v>500</v>
      </c>
      <c r="AK130" s="124">
        <v>17</v>
      </c>
      <c r="AL130" s="123">
        <v>50</v>
      </c>
      <c r="AM130" s="124">
        <v>10</v>
      </c>
      <c r="AN130" s="124" t="s">
        <v>251</v>
      </c>
      <c r="AO130" s="126">
        <v>0.31</v>
      </c>
      <c r="AP130" s="126">
        <v>1.32</v>
      </c>
      <c r="AQ130" s="126">
        <v>1.27</v>
      </c>
      <c r="AR130" s="127"/>
    </row>
    <row r="131" spans="1:44" s="64" customFormat="1" x14ac:dyDescent="0.25">
      <c r="A131" s="64" t="s">
        <v>555</v>
      </c>
      <c r="B131" s="64">
        <v>2</v>
      </c>
      <c r="C131" s="64">
        <f>C130</f>
        <v>1102</v>
      </c>
      <c r="D131" s="64">
        <f>D130</f>
        <v>2</v>
      </c>
      <c r="E131" s="64">
        <f>E130+1</f>
        <v>2</v>
      </c>
      <c r="F131" s="64">
        <f>F130+1</f>
        <v>3</v>
      </c>
      <c r="G131" s="64">
        <v>1109516</v>
      </c>
      <c r="H131" s="67">
        <v>1518</v>
      </c>
      <c r="I131" s="64" t="s">
        <v>395</v>
      </c>
      <c r="J131" s="64">
        <f>IF(K131="Inflow",1,IF(K131="Outflow",-1,IF(K131="Gage",0,IF(K131="Top",0,""))))</f>
        <v>1</v>
      </c>
      <c r="K131" s="112" t="s">
        <v>31</v>
      </c>
      <c r="L131" s="64" t="s">
        <v>376</v>
      </c>
      <c r="M131" s="64" t="s">
        <v>86</v>
      </c>
      <c r="N131" s="64">
        <v>5</v>
      </c>
      <c r="O131" s="64">
        <v>10</v>
      </c>
      <c r="P131" s="64">
        <v>20</v>
      </c>
      <c r="Q131" s="128"/>
      <c r="S131" s="64" t="s">
        <v>485</v>
      </c>
      <c r="W131" s="66">
        <v>7.0000000000000007E-2</v>
      </c>
      <c r="X131" s="128"/>
      <c r="AA131" s="64">
        <v>10000</v>
      </c>
      <c r="AB131" s="64">
        <v>0.15</v>
      </c>
      <c r="AC131" s="64">
        <v>750</v>
      </c>
      <c r="AD131" s="64">
        <v>1</v>
      </c>
      <c r="AE131" s="64">
        <v>32</v>
      </c>
      <c r="AF131" s="64">
        <v>0.56000000000000005</v>
      </c>
      <c r="AG131" s="128">
        <v>1</v>
      </c>
      <c r="AH131" s="128">
        <v>0.83</v>
      </c>
      <c r="AI131" s="128">
        <v>0.21</v>
      </c>
      <c r="AJ131" s="67">
        <v>500</v>
      </c>
      <c r="AK131" s="64">
        <v>17</v>
      </c>
      <c r="AL131" s="64">
        <v>50</v>
      </c>
      <c r="AM131" s="67">
        <v>10</v>
      </c>
      <c r="AN131" s="67" t="s">
        <v>251</v>
      </c>
      <c r="AO131" s="64">
        <v>0.31</v>
      </c>
      <c r="AP131" s="64">
        <v>1.32</v>
      </c>
      <c r="AQ131" s="66">
        <v>1.27</v>
      </c>
      <c r="AR131" s="129"/>
    </row>
    <row r="132" spans="1:44" s="64" customFormat="1" ht="15.75" thickBot="1" x14ac:dyDescent="0.3">
      <c r="A132" s="64" t="s">
        <v>555</v>
      </c>
      <c r="B132" s="112"/>
      <c r="G132" s="64">
        <v>1120007</v>
      </c>
      <c r="H132" s="67"/>
      <c r="I132" s="64" t="s">
        <v>489</v>
      </c>
      <c r="Q132" s="128"/>
      <c r="S132" s="152" t="s">
        <v>485</v>
      </c>
      <c r="W132" s="131">
        <v>7.0000000000000007E-2</v>
      </c>
      <c r="X132" s="128"/>
      <c r="AA132" s="112">
        <v>10000</v>
      </c>
      <c r="AB132" s="112">
        <v>0.15</v>
      </c>
      <c r="AC132" s="112">
        <v>750</v>
      </c>
      <c r="AD132" s="112">
        <v>1</v>
      </c>
      <c r="AE132" s="130">
        <v>32</v>
      </c>
      <c r="AF132" s="131">
        <v>0.56000000000000005</v>
      </c>
      <c r="AG132" s="132">
        <v>1</v>
      </c>
      <c r="AH132" s="132">
        <v>0.83</v>
      </c>
      <c r="AI132" s="132">
        <v>0.21</v>
      </c>
      <c r="AJ132" s="130">
        <v>500</v>
      </c>
      <c r="AK132" s="130">
        <v>17</v>
      </c>
      <c r="AL132" s="112">
        <v>50</v>
      </c>
      <c r="AM132" s="130">
        <v>10</v>
      </c>
      <c r="AN132" s="130" t="s">
        <v>251</v>
      </c>
      <c r="AO132" s="131">
        <v>0.31</v>
      </c>
      <c r="AP132" s="131">
        <v>1.32</v>
      </c>
      <c r="AQ132" s="131">
        <v>1.27</v>
      </c>
      <c r="AR132" s="129"/>
    </row>
    <row r="133" spans="1:44" s="143" customFormat="1" x14ac:dyDescent="0.25">
      <c r="A133" s="143" t="s">
        <v>556</v>
      </c>
      <c r="B133" s="143">
        <v>2</v>
      </c>
      <c r="C133" s="143">
        <f>C130+1</f>
        <v>1103</v>
      </c>
      <c r="D133" s="143">
        <v>1</v>
      </c>
      <c r="E133" s="143">
        <v>1</v>
      </c>
      <c r="F133" s="143">
        <v>1</v>
      </c>
      <c r="G133" s="143">
        <v>1104617</v>
      </c>
      <c r="H133" s="144"/>
      <c r="I133" s="143" t="s">
        <v>501</v>
      </c>
      <c r="J133" s="143">
        <f>IF(K133="Inflow",1,IF(K133="Outflow",-1,IF(K133="Gage",0,IF(K133="Top",0,""))))</f>
        <v>0</v>
      </c>
      <c r="K133" s="143" t="s">
        <v>233</v>
      </c>
      <c r="L133" s="153" t="s">
        <v>483</v>
      </c>
      <c r="M133" s="144" t="s">
        <v>86</v>
      </c>
      <c r="N133" s="143">
        <v>0</v>
      </c>
      <c r="O133" s="143">
        <v>0</v>
      </c>
      <c r="P133" s="143">
        <v>0</v>
      </c>
      <c r="Q133" s="146">
        <v>1</v>
      </c>
      <c r="S133" s="143" t="s">
        <v>108</v>
      </c>
      <c r="T133" s="143">
        <v>8.76</v>
      </c>
      <c r="W133" s="145">
        <v>7.0000000000000007E-2</v>
      </c>
      <c r="X133" s="146"/>
      <c r="AA133" s="143">
        <v>10000</v>
      </c>
      <c r="AB133" s="143">
        <v>0.15</v>
      </c>
      <c r="AC133" s="143">
        <v>750</v>
      </c>
      <c r="AD133" s="143">
        <v>1</v>
      </c>
      <c r="AE133" s="144">
        <v>32</v>
      </c>
      <c r="AF133" s="145">
        <v>0.56000000000000005</v>
      </c>
      <c r="AG133" s="146">
        <v>1</v>
      </c>
      <c r="AH133" s="146">
        <v>0.83</v>
      </c>
      <c r="AI133" s="146">
        <v>0.21</v>
      </c>
      <c r="AJ133" s="144">
        <v>500</v>
      </c>
      <c r="AK133" s="144">
        <v>17</v>
      </c>
      <c r="AL133" s="143">
        <v>50</v>
      </c>
      <c r="AM133" s="144">
        <v>10</v>
      </c>
      <c r="AN133" s="144" t="s">
        <v>251</v>
      </c>
      <c r="AO133" s="145">
        <v>0.31</v>
      </c>
      <c r="AP133" s="145">
        <v>1.32</v>
      </c>
      <c r="AQ133" s="145">
        <v>1.27</v>
      </c>
      <c r="AR133" s="148"/>
    </row>
    <row r="134" spans="1:44" s="112" customFormat="1" x14ac:dyDescent="0.25">
      <c r="A134" s="112" t="s">
        <v>556</v>
      </c>
      <c r="B134" s="112">
        <v>2</v>
      </c>
      <c r="C134" s="112">
        <f>C133</f>
        <v>1103</v>
      </c>
      <c r="D134" s="112">
        <v>2</v>
      </c>
      <c r="E134" s="112">
        <v>1</v>
      </c>
      <c r="F134" s="112">
        <v>2</v>
      </c>
      <c r="G134" s="149">
        <v>1109517</v>
      </c>
      <c r="H134" s="130"/>
      <c r="I134" s="112" t="s">
        <v>451</v>
      </c>
      <c r="J134" s="112">
        <f>IF(K134="Inflow",1,IF(K134="Outflow",-1,IF(K134="Gage",0,IF(K134="Top",0,""))))</f>
        <v>0</v>
      </c>
      <c r="K134" s="112" t="s">
        <v>33</v>
      </c>
      <c r="L134" s="151" t="s">
        <v>450</v>
      </c>
      <c r="M134" s="130" t="s">
        <v>86</v>
      </c>
      <c r="N134" s="112">
        <v>5</v>
      </c>
      <c r="O134" s="112">
        <v>10</v>
      </c>
      <c r="P134" s="112">
        <v>20</v>
      </c>
      <c r="Q134" s="132"/>
      <c r="S134" s="112" t="s">
        <v>108</v>
      </c>
      <c r="W134" s="131">
        <v>7.0000000000000007E-2</v>
      </c>
      <c r="X134" s="132"/>
      <c r="AA134" s="112">
        <v>10000</v>
      </c>
      <c r="AB134" s="112">
        <v>0.15</v>
      </c>
      <c r="AC134" s="112">
        <v>750</v>
      </c>
      <c r="AD134" s="112">
        <v>1</v>
      </c>
      <c r="AE134" s="130">
        <v>32</v>
      </c>
      <c r="AF134" s="131">
        <v>0.56000000000000005</v>
      </c>
      <c r="AG134" s="132">
        <v>1</v>
      </c>
      <c r="AH134" s="132">
        <v>0.83</v>
      </c>
      <c r="AI134" s="132">
        <v>0.21</v>
      </c>
      <c r="AJ134" s="130">
        <v>500</v>
      </c>
      <c r="AK134" s="130">
        <v>17</v>
      </c>
      <c r="AL134" s="112">
        <v>50</v>
      </c>
      <c r="AM134" s="130">
        <v>10</v>
      </c>
      <c r="AN134" s="130" t="s">
        <v>251</v>
      </c>
      <c r="AO134" s="131">
        <v>0.31</v>
      </c>
      <c r="AP134" s="131">
        <v>1.32</v>
      </c>
      <c r="AQ134" s="131">
        <v>1.27</v>
      </c>
      <c r="AR134" s="134"/>
    </row>
    <row r="135" spans="1:44" s="112" customFormat="1" ht="15.75" thickBot="1" x14ac:dyDescent="0.3">
      <c r="A135" s="112" t="s">
        <v>556</v>
      </c>
      <c r="G135" s="130">
        <v>1103503</v>
      </c>
      <c r="H135" s="130"/>
      <c r="I135" s="130" t="s">
        <v>107</v>
      </c>
      <c r="J135" s="130" t="str">
        <f>IF(K135="Inflow",1,IF(K135="Outflow",-1,IF(K135="Gage",0,IF(K135="Top",0,""))))</f>
        <v/>
      </c>
      <c r="K135" s="130"/>
      <c r="L135" s="130"/>
      <c r="M135" s="130"/>
      <c r="N135" s="130"/>
      <c r="O135" s="130"/>
      <c r="P135" s="130"/>
      <c r="Q135" s="132"/>
      <c r="S135" s="112" t="s">
        <v>108</v>
      </c>
      <c r="V135" s="131"/>
      <c r="W135" s="131">
        <v>7.0000000000000007E-2</v>
      </c>
      <c r="X135" s="132"/>
      <c r="Y135" s="131"/>
      <c r="Z135" s="131"/>
      <c r="AA135" s="112">
        <v>10000</v>
      </c>
      <c r="AB135" s="112">
        <v>0.15</v>
      </c>
      <c r="AC135" s="112">
        <v>750</v>
      </c>
      <c r="AD135" s="112">
        <v>1</v>
      </c>
      <c r="AE135" s="130">
        <v>32</v>
      </c>
      <c r="AF135" s="131">
        <v>0.56000000000000005</v>
      </c>
      <c r="AG135" s="132">
        <v>1</v>
      </c>
      <c r="AH135" s="132">
        <v>0.83</v>
      </c>
      <c r="AI135" s="132">
        <v>0.21</v>
      </c>
      <c r="AJ135" s="130">
        <v>500</v>
      </c>
      <c r="AK135" s="130">
        <v>17</v>
      </c>
      <c r="AL135" s="112">
        <v>50</v>
      </c>
      <c r="AM135" s="130">
        <v>10</v>
      </c>
      <c r="AN135" s="130" t="s">
        <v>251</v>
      </c>
      <c r="AO135" s="131">
        <v>0.31</v>
      </c>
      <c r="AP135" s="131">
        <v>1.32</v>
      </c>
      <c r="AQ135" s="131">
        <v>1.27</v>
      </c>
      <c r="AR135" s="134"/>
    </row>
    <row r="136" spans="1:44" s="143" customFormat="1" x14ac:dyDescent="0.25">
      <c r="A136" s="143" t="s">
        <v>557</v>
      </c>
      <c r="B136" s="143">
        <v>2</v>
      </c>
      <c r="C136" s="143">
        <f>C134+1</f>
        <v>1104</v>
      </c>
      <c r="D136" s="143">
        <v>1</v>
      </c>
      <c r="E136" s="143">
        <v>1</v>
      </c>
      <c r="F136" s="143">
        <v>1</v>
      </c>
      <c r="G136" s="144">
        <v>1103503</v>
      </c>
      <c r="H136" s="144"/>
      <c r="I136" s="144" t="s">
        <v>107</v>
      </c>
      <c r="J136" s="144">
        <f>IF(K136="Inflow",1,IF(K136="Outflow",-1,IF(K136="Gage",0,IF(K136="Top",0,""))))</f>
        <v>0</v>
      </c>
      <c r="K136" s="144" t="s">
        <v>233</v>
      </c>
      <c r="L136" s="144"/>
      <c r="M136" s="144"/>
      <c r="N136" s="144">
        <v>0</v>
      </c>
      <c r="O136" s="144">
        <v>0</v>
      </c>
      <c r="P136" s="144">
        <v>0</v>
      </c>
      <c r="Q136" s="146">
        <v>1</v>
      </c>
      <c r="S136" s="143" t="s">
        <v>108</v>
      </c>
      <c r="V136" s="145"/>
      <c r="W136" s="145">
        <v>7.0000000000000007E-2</v>
      </c>
      <c r="X136" s="146"/>
      <c r="Y136" s="145"/>
      <c r="Z136" s="145"/>
      <c r="AA136" s="143">
        <v>10000</v>
      </c>
      <c r="AB136" s="143">
        <v>0.15</v>
      </c>
      <c r="AC136" s="143">
        <v>750</v>
      </c>
      <c r="AD136" s="143">
        <v>1</v>
      </c>
      <c r="AE136" s="144">
        <v>32</v>
      </c>
      <c r="AF136" s="145">
        <v>0.56000000000000005</v>
      </c>
      <c r="AG136" s="146">
        <v>1</v>
      </c>
      <c r="AH136" s="146">
        <v>0.83</v>
      </c>
      <c r="AI136" s="146">
        <v>0.21</v>
      </c>
      <c r="AJ136" s="144">
        <v>500</v>
      </c>
      <c r="AK136" s="144">
        <v>17</v>
      </c>
      <c r="AL136" s="143">
        <v>50</v>
      </c>
      <c r="AM136" s="144">
        <v>10</v>
      </c>
      <c r="AN136" s="144" t="s">
        <v>251</v>
      </c>
      <c r="AO136" s="145">
        <v>0.31</v>
      </c>
      <c r="AP136" s="145">
        <v>1.32</v>
      </c>
      <c r="AQ136" s="145">
        <v>1.27</v>
      </c>
      <c r="AR136" s="148" t="s">
        <v>241</v>
      </c>
    </row>
    <row r="137" spans="1:44" s="112" customFormat="1" x14ac:dyDescent="0.25">
      <c r="A137" s="112" t="s">
        <v>557</v>
      </c>
      <c r="B137" s="112">
        <v>2</v>
      </c>
      <c r="C137" s="64">
        <f>C136</f>
        <v>1104</v>
      </c>
      <c r="D137" s="112">
        <v>2</v>
      </c>
      <c r="E137" s="112">
        <v>1</v>
      </c>
      <c r="F137" s="112">
        <v>2</v>
      </c>
      <c r="G137" s="130">
        <v>1109518</v>
      </c>
      <c r="H137" s="130"/>
      <c r="I137" s="130" t="s">
        <v>109</v>
      </c>
      <c r="J137" s="130">
        <f>IF(K137="Inflow",1,IF(K137="Outflow",-1,IF(K137="Gage",0,IF(K137="Top",0,""))))</f>
        <v>0</v>
      </c>
      <c r="K137" s="130" t="s">
        <v>33</v>
      </c>
      <c r="L137" s="130" t="s">
        <v>110</v>
      </c>
      <c r="M137" s="130" t="s">
        <v>86</v>
      </c>
      <c r="N137" s="130">
        <v>5</v>
      </c>
      <c r="O137" s="130">
        <v>10</v>
      </c>
      <c r="P137" s="130">
        <v>20</v>
      </c>
      <c r="Q137" s="132"/>
      <c r="S137" s="112" t="s">
        <v>108</v>
      </c>
      <c r="V137" s="131"/>
      <c r="W137" s="131">
        <v>7.0000000000000007E-2</v>
      </c>
      <c r="X137" s="132"/>
      <c r="Y137" s="131"/>
      <c r="Z137" s="131"/>
      <c r="AA137" s="112">
        <v>10000</v>
      </c>
      <c r="AB137" s="112">
        <v>0.15</v>
      </c>
      <c r="AC137" s="112">
        <v>750</v>
      </c>
      <c r="AD137" s="112">
        <v>1</v>
      </c>
      <c r="AE137" s="130">
        <v>32</v>
      </c>
      <c r="AF137" s="131">
        <v>0.56000000000000005</v>
      </c>
      <c r="AG137" s="132">
        <v>1</v>
      </c>
      <c r="AH137" s="132">
        <v>0.83</v>
      </c>
      <c r="AI137" s="132">
        <v>0.21</v>
      </c>
      <c r="AJ137" s="130">
        <v>500</v>
      </c>
      <c r="AK137" s="130">
        <v>17</v>
      </c>
      <c r="AL137" s="112">
        <v>50</v>
      </c>
      <c r="AM137" s="130">
        <v>10</v>
      </c>
      <c r="AN137" s="130" t="s">
        <v>251</v>
      </c>
      <c r="AO137" s="131">
        <v>0.31</v>
      </c>
      <c r="AP137" s="131">
        <v>1.32</v>
      </c>
      <c r="AQ137" s="131">
        <v>1.27</v>
      </c>
      <c r="AR137" s="134"/>
    </row>
    <row r="138" spans="1:44" s="112" customFormat="1" ht="15.75" thickBot="1" x14ac:dyDescent="0.3">
      <c r="A138" s="112" t="s">
        <v>557</v>
      </c>
      <c r="C138" s="64"/>
      <c r="G138" s="130">
        <v>1120002</v>
      </c>
      <c r="H138" s="130">
        <v>1418</v>
      </c>
      <c r="I138" s="64" t="s">
        <v>445</v>
      </c>
      <c r="J138" s="151"/>
      <c r="K138" s="130"/>
      <c r="L138" s="130"/>
      <c r="M138" s="130"/>
      <c r="N138" s="151"/>
      <c r="O138" s="151"/>
      <c r="P138" s="151"/>
      <c r="Q138" s="132"/>
      <c r="S138" s="112" t="s">
        <v>108</v>
      </c>
      <c r="V138" s="151"/>
      <c r="W138" s="131">
        <v>7.0000000000000007E-2</v>
      </c>
      <c r="X138" s="150"/>
      <c r="Y138" s="151"/>
      <c r="Z138" s="151"/>
      <c r="AA138" s="112">
        <v>10000</v>
      </c>
      <c r="AB138" s="112">
        <v>0.15</v>
      </c>
      <c r="AC138" s="112">
        <v>750</v>
      </c>
      <c r="AD138" s="112">
        <v>1</v>
      </c>
      <c r="AE138" s="130">
        <v>32</v>
      </c>
      <c r="AF138" s="131">
        <v>0.56000000000000005</v>
      </c>
      <c r="AG138" s="132">
        <v>1</v>
      </c>
      <c r="AH138" s="132">
        <v>0.83</v>
      </c>
      <c r="AI138" s="132">
        <v>0.21</v>
      </c>
      <c r="AJ138" s="130">
        <v>500</v>
      </c>
      <c r="AK138" s="130">
        <v>17</v>
      </c>
      <c r="AL138" s="112">
        <v>50</v>
      </c>
      <c r="AM138" s="130">
        <v>10</v>
      </c>
      <c r="AN138" s="130" t="s">
        <v>251</v>
      </c>
      <c r="AO138" s="131">
        <v>0.31</v>
      </c>
      <c r="AP138" s="131">
        <v>1.32</v>
      </c>
      <c r="AQ138" s="131">
        <v>1.27</v>
      </c>
      <c r="AR138" s="151"/>
    </row>
    <row r="139" spans="1:44" s="143" customFormat="1" x14ac:dyDescent="0.25">
      <c r="A139" s="154" t="s">
        <v>558</v>
      </c>
      <c r="B139" s="143">
        <v>2</v>
      </c>
      <c r="C139" s="143">
        <f>C137+1</f>
        <v>1105</v>
      </c>
      <c r="D139" s="143">
        <v>1</v>
      </c>
      <c r="E139" s="143">
        <v>1</v>
      </c>
      <c r="F139" s="143">
        <v>1</v>
      </c>
      <c r="G139" s="143">
        <v>1109509</v>
      </c>
      <c r="H139" s="144"/>
      <c r="I139" s="143" t="s">
        <v>449</v>
      </c>
      <c r="J139" s="144">
        <f>IF(K139="Inflow",1,IF(K139="Outflow",-1,IF(K139="Gage",0,IF(K139="Top",0,""))))</f>
        <v>0</v>
      </c>
      <c r="K139" s="143" t="s">
        <v>33</v>
      </c>
      <c r="L139" s="143" t="s">
        <v>448</v>
      </c>
      <c r="M139" s="144" t="s">
        <v>86</v>
      </c>
      <c r="N139" s="143">
        <v>5</v>
      </c>
      <c r="O139" s="143">
        <v>10</v>
      </c>
      <c r="P139" s="143">
        <v>20</v>
      </c>
      <c r="Q139" s="146"/>
      <c r="S139" s="147" t="s">
        <v>507</v>
      </c>
      <c r="W139" s="145">
        <v>7.0000000000000007E-2</v>
      </c>
      <c r="X139" s="146"/>
      <c r="AA139" s="143">
        <v>10000</v>
      </c>
      <c r="AB139" s="143">
        <v>0.15</v>
      </c>
      <c r="AC139" s="143">
        <v>750</v>
      </c>
      <c r="AD139" s="143">
        <v>1</v>
      </c>
      <c r="AE139" s="144">
        <v>32</v>
      </c>
      <c r="AF139" s="145">
        <v>0.56000000000000005</v>
      </c>
      <c r="AG139" s="146">
        <v>1</v>
      </c>
      <c r="AH139" s="146">
        <v>0.83</v>
      </c>
      <c r="AI139" s="146">
        <v>0.21</v>
      </c>
      <c r="AJ139" s="144">
        <v>500</v>
      </c>
      <c r="AK139" s="144">
        <v>17</v>
      </c>
      <c r="AL139" s="143">
        <v>50</v>
      </c>
      <c r="AM139" s="144">
        <v>10</v>
      </c>
      <c r="AN139" s="144" t="s">
        <v>251</v>
      </c>
      <c r="AO139" s="145">
        <v>0.31</v>
      </c>
      <c r="AP139" s="145">
        <v>1.32</v>
      </c>
      <c r="AQ139" s="145">
        <v>1.27</v>
      </c>
      <c r="AR139" s="148"/>
    </row>
    <row r="140" spans="1:44" s="123" customFormat="1" ht="15.75" thickBot="1" x14ac:dyDescent="0.3">
      <c r="A140" s="155" t="s">
        <v>558</v>
      </c>
      <c r="B140" s="155"/>
      <c r="G140" s="123">
        <v>1103504</v>
      </c>
      <c r="H140" s="124"/>
      <c r="I140" s="156" t="s">
        <v>447</v>
      </c>
      <c r="Q140" s="125"/>
      <c r="S140" s="141" t="s">
        <v>507</v>
      </c>
      <c r="W140" s="126">
        <v>7.0000000000000007E-2</v>
      </c>
      <c r="X140" s="125"/>
      <c r="AA140" s="123">
        <v>10000</v>
      </c>
      <c r="AB140" s="123">
        <v>0.15</v>
      </c>
      <c r="AC140" s="123">
        <v>750</v>
      </c>
      <c r="AD140" s="123">
        <v>1</v>
      </c>
      <c r="AE140" s="124">
        <v>32</v>
      </c>
      <c r="AF140" s="126">
        <v>0.56000000000000005</v>
      </c>
      <c r="AG140" s="125">
        <v>1</v>
      </c>
      <c r="AH140" s="125">
        <v>0.83</v>
      </c>
      <c r="AI140" s="125">
        <v>0.21</v>
      </c>
      <c r="AJ140" s="124">
        <v>500</v>
      </c>
      <c r="AK140" s="124">
        <v>17</v>
      </c>
      <c r="AL140" s="123">
        <v>50</v>
      </c>
      <c r="AM140" s="124">
        <v>10</v>
      </c>
      <c r="AN140" s="124" t="s">
        <v>251</v>
      </c>
      <c r="AO140" s="126">
        <v>0.31</v>
      </c>
      <c r="AP140" s="126">
        <v>1.32</v>
      </c>
      <c r="AQ140" s="126">
        <v>1.27</v>
      </c>
      <c r="AR140" s="127"/>
    </row>
    <row r="141" spans="1:44" s="143" customFormat="1" x14ac:dyDescent="0.25">
      <c r="A141" s="154" t="s">
        <v>559</v>
      </c>
      <c r="B141" s="154">
        <v>2</v>
      </c>
      <c r="C141" s="143">
        <f>C139+1</f>
        <v>1106</v>
      </c>
      <c r="D141" s="143">
        <v>1</v>
      </c>
      <c r="E141" s="143">
        <v>1</v>
      </c>
      <c r="F141" s="143">
        <v>1</v>
      </c>
      <c r="G141" s="143">
        <v>1103504</v>
      </c>
      <c r="H141" s="144"/>
      <c r="I141" s="157" t="s">
        <v>447</v>
      </c>
      <c r="J141" s="143">
        <f>IF(K141="Inflow",1,IF(K141="Outflow",-1,IF(K141="Gage",0,IF(K141="Top",0,""))))</f>
        <v>0</v>
      </c>
      <c r="K141" s="143" t="s">
        <v>233</v>
      </c>
      <c r="N141" s="144">
        <v>0</v>
      </c>
      <c r="O141" s="144">
        <v>0</v>
      </c>
      <c r="P141" s="144">
        <v>0</v>
      </c>
      <c r="Q141" s="146">
        <v>1</v>
      </c>
      <c r="S141" s="147" t="s">
        <v>507</v>
      </c>
      <c r="W141" s="145">
        <v>7.0000000000000007E-2</v>
      </c>
      <c r="X141" s="146"/>
      <c r="AA141" s="143">
        <v>10000</v>
      </c>
      <c r="AB141" s="143">
        <v>0.15</v>
      </c>
      <c r="AC141" s="143">
        <v>750</v>
      </c>
      <c r="AD141" s="143">
        <v>1</v>
      </c>
      <c r="AE141" s="144">
        <v>32</v>
      </c>
      <c r="AF141" s="145">
        <v>0.56000000000000005</v>
      </c>
      <c r="AG141" s="146">
        <v>1</v>
      </c>
      <c r="AH141" s="146">
        <v>0.83</v>
      </c>
      <c r="AI141" s="146">
        <v>0.21</v>
      </c>
      <c r="AJ141" s="144">
        <v>500</v>
      </c>
      <c r="AK141" s="144">
        <v>17</v>
      </c>
      <c r="AL141" s="143">
        <v>50</v>
      </c>
      <c r="AM141" s="144">
        <v>10</v>
      </c>
      <c r="AN141" s="144" t="s">
        <v>251</v>
      </c>
      <c r="AO141" s="145">
        <v>0.31</v>
      </c>
      <c r="AP141" s="145">
        <v>1.32</v>
      </c>
      <c r="AQ141" s="145">
        <v>1.27</v>
      </c>
      <c r="AR141" s="148"/>
    </row>
    <row r="142" spans="1:44" s="112" customFormat="1" x14ac:dyDescent="0.25">
      <c r="A142" s="151" t="s">
        <v>559</v>
      </c>
      <c r="B142" s="112">
        <v>2</v>
      </c>
      <c r="C142" s="64">
        <f>C141</f>
        <v>1106</v>
      </c>
      <c r="D142" s="112">
        <v>2</v>
      </c>
      <c r="E142" s="112">
        <v>1</v>
      </c>
      <c r="F142" s="112">
        <v>2</v>
      </c>
      <c r="G142" s="112">
        <v>1109510</v>
      </c>
      <c r="H142" s="130"/>
      <c r="I142" s="112" t="s">
        <v>396</v>
      </c>
      <c r="J142" s="112">
        <f>IF(K142="Inflow",1,IF(K142="Outflow",-1,IF(K142="Gage",0,IF(K142="Top",0,""))))</f>
        <v>0</v>
      </c>
      <c r="K142" s="112" t="s">
        <v>33</v>
      </c>
      <c r="L142" s="112" t="s">
        <v>379</v>
      </c>
      <c r="M142" s="130" t="s">
        <v>86</v>
      </c>
      <c r="N142" s="112">
        <v>5</v>
      </c>
      <c r="O142" s="112">
        <v>10</v>
      </c>
      <c r="P142" s="112">
        <v>20</v>
      </c>
      <c r="Q142" s="132"/>
      <c r="S142" s="133" t="s">
        <v>507</v>
      </c>
      <c r="W142" s="131">
        <v>7.0000000000000007E-2</v>
      </c>
      <c r="X142" s="132"/>
      <c r="AA142" s="112">
        <v>10000</v>
      </c>
      <c r="AB142" s="112">
        <v>0.15</v>
      </c>
      <c r="AC142" s="112">
        <v>750</v>
      </c>
      <c r="AD142" s="112">
        <v>1</v>
      </c>
      <c r="AE142" s="130">
        <v>32</v>
      </c>
      <c r="AF142" s="131">
        <v>0.56000000000000005</v>
      </c>
      <c r="AG142" s="132">
        <v>1</v>
      </c>
      <c r="AH142" s="132">
        <v>0.83</v>
      </c>
      <c r="AI142" s="132">
        <v>0.21</v>
      </c>
      <c r="AJ142" s="130">
        <v>500</v>
      </c>
      <c r="AK142" s="130">
        <v>17</v>
      </c>
      <c r="AL142" s="112">
        <v>50</v>
      </c>
      <c r="AM142" s="130">
        <v>10</v>
      </c>
      <c r="AN142" s="130" t="s">
        <v>251</v>
      </c>
      <c r="AO142" s="131">
        <v>0.31</v>
      </c>
      <c r="AP142" s="131">
        <v>1.32</v>
      </c>
      <c r="AQ142" s="131">
        <v>1.27</v>
      </c>
      <c r="AR142" s="134"/>
    </row>
    <row r="143" spans="1:44" s="64" customFormat="1" ht="15.75" thickBot="1" x14ac:dyDescent="0.3">
      <c r="A143" s="151" t="s">
        <v>559</v>
      </c>
      <c r="G143" s="64">
        <v>1120033</v>
      </c>
      <c r="H143" s="67"/>
      <c r="I143" s="64" t="s">
        <v>446</v>
      </c>
      <c r="Q143" s="128"/>
      <c r="S143" s="133" t="s">
        <v>507</v>
      </c>
      <c r="W143" s="131">
        <v>7.0000000000000007E-2</v>
      </c>
      <c r="X143" s="128"/>
      <c r="AA143" s="112">
        <v>10000</v>
      </c>
      <c r="AB143" s="112">
        <v>0.15</v>
      </c>
      <c r="AC143" s="112">
        <v>750</v>
      </c>
      <c r="AD143" s="112">
        <v>1</v>
      </c>
      <c r="AE143" s="130">
        <v>32</v>
      </c>
      <c r="AF143" s="131">
        <v>0.56000000000000005</v>
      </c>
      <c r="AG143" s="132">
        <v>1</v>
      </c>
      <c r="AH143" s="132">
        <v>0.83</v>
      </c>
      <c r="AI143" s="132">
        <v>0.21</v>
      </c>
      <c r="AJ143" s="130">
        <v>500</v>
      </c>
      <c r="AK143" s="130">
        <v>17</v>
      </c>
      <c r="AL143" s="112">
        <v>50</v>
      </c>
      <c r="AM143" s="130">
        <v>10</v>
      </c>
      <c r="AN143" s="130" t="s">
        <v>251</v>
      </c>
      <c r="AO143" s="131">
        <v>0.31</v>
      </c>
      <c r="AP143" s="131">
        <v>1.32</v>
      </c>
      <c r="AQ143" s="131">
        <v>1.27</v>
      </c>
      <c r="AR143" s="129"/>
    </row>
    <row r="144" spans="1:44" s="143" customFormat="1" x14ac:dyDescent="0.25">
      <c r="A144" s="143" t="s">
        <v>398</v>
      </c>
      <c r="B144" s="143">
        <v>2</v>
      </c>
      <c r="C144" s="143">
        <f>C142+1</f>
        <v>1107</v>
      </c>
      <c r="D144" s="143">
        <v>1</v>
      </c>
      <c r="E144" s="143">
        <v>1</v>
      </c>
      <c r="F144" s="143">
        <v>1</v>
      </c>
      <c r="G144" s="144">
        <v>1104005</v>
      </c>
      <c r="H144" s="144"/>
      <c r="I144" s="143" t="s">
        <v>453</v>
      </c>
      <c r="J144" s="154">
        <f>IF(K144="Inflow",1,IF(K144="Outflow",-1,IF(K144="Gage",0,IF(K144="Top",0,""))))</f>
        <v>0</v>
      </c>
      <c r="K144" s="144" t="s">
        <v>233</v>
      </c>
      <c r="L144" s="144"/>
      <c r="M144" s="144"/>
      <c r="N144" s="154">
        <v>0</v>
      </c>
      <c r="O144" s="154">
        <v>0</v>
      </c>
      <c r="P144" s="154">
        <v>0</v>
      </c>
      <c r="Q144" s="146">
        <v>1</v>
      </c>
      <c r="S144" s="158" t="s">
        <v>570</v>
      </c>
      <c r="T144" s="143">
        <v>7.0000000000000007E-2</v>
      </c>
      <c r="V144" s="154"/>
      <c r="W144" s="145">
        <v>7.0000000000000007E-2</v>
      </c>
      <c r="X144" s="159"/>
      <c r="Y144" s="154"/>
      <c r="Z144" s="154"/>
      <c r="AA144" s="143">
        <v>10000</v>
      </c>
      <c r="AB144" s="143">
        <v>0.15</v>
      </c>
      <c r="AC144" s="143">
        <v>750</v>
      </c>
      <c r="AD144" s="143">
        <v>1</v>
      </c>
      <c r="AE144" s="144">
        <v>32</v>
      </c>
      <c r="AF144" s="145">
        <v>0.56000000000000005</v>
      </c>
      <c r="AG144" s="146">
        <v>1</v>
      </c>
      <c r="AH144" s="146">
        <v>0.83</v>
      </c>
      <c r="AI144" s="146">
        <v>0.21</v>
      </c>
      <c r="AJ144" s="144">
        <v>500</v>
      </c>
      <c r="AK144" s="144">
        <v>17</v>
      </c>
      <c r="AL144" s="143">
        <v>50</v>
      </c>
      <c r="AM144" s="144">
        <v>10</v>
      </c>
      <c r="AN144" s="144" t="s">
        <v>251</v>
      </c>
      <c r="AO144" s="145">
        <v>0.31</v>
      </c>
      <c r="AP144" s="145">
        <v>1.32</v>
      </c>
      <c r="AQ144" s="145">
        <v>1.27</v>
      </c>
      <c r="AR144" s="154"/>
    </row>
    <row r="145" spans="1:44" s="112" customFormat="1" x14ac:dyDescent="0.25">
      <c r="A145" s="112" t="s">
        <v>398</v>
      </c>
      <c r="B145" s="64">
        <v>2</v>
      </c>
      <c r="C145" s="64">
        <f>C144</f>
        <v>1107</v>
      </c>
      <c r="D145" s="112">
        <v>2</v>
      </c>
      <c r="E145" s="112">
        <v>1</v>
      </c>
      <c r="F145" s="112">
        <v>2</v>
      </c>
      <c r="G145" s="64">
        <v>1109529</v>
      </c>
      <c r="H145" s="130"/>
      <c r="I145" s="64" t="s">
        <v>455</v>
      </c>
      <c r="J145" s="64">
        <f>IF(K145="Inflow",1,IF(K145="Outflow",-1,IF(K145="Gage",0,IF(K145="Top",0,""))))</f>
        <v>0</v>
      </c>
      <c r="K145" s="130" t="s">
        <v>33</v>
      </c>
      <c r="L145" s="64" t="s">
        <v>452</v>
      </c>
      <c r="M145" s="130" t="s">
        <v>86</v>
      </c>
      <c r="N145" s="112">
        <v>5</v>
      </c>
      <c r="O145" s="112">
        <v>10</v>
      </c>
      <c r="P145" s="112">
        <v>20</v>
      </c>
      <c r="Q145" s="132"/>
      <c r="S145" s="142" t="s">
        <v>570</v>
      </c>
      <c r="T145" s="112">
        <v>3.4</v>
      </c>
      <c r="V145" s="151"/>
      <c r="W145" s="131">
        <v>7.0000000000000007E-2</v>
      </c>
      <c r="X145" s="150"/>
      <c r="Y145" s="151"/>
      <c r="Z145" s="151"/>
      <c r="AA145" s="112">
        <v>10000</v>
      </c>
      <c r="AB145" s="112">
        <v>0.15</v>
      </c>
      <c r="AC145" s="112">
        <v>750</v>
      </c>
      <c r="AD145" s="112">
        <v>1</v>
      </c>
      <c r="AE145" s="130">
        <v>32</v>
      </c>
      <c r="AF145" s="131">
        <v>0.56000000000000005</v>
      </c>
      <c r="AG145" s="132">
        <v>1</v>
      </c>
      <c r="AH145" s="132">
        <v>0.83</v>
      </c>
      <c r="AI145" s="132">
        <v>0.21</v>
      </c>
      <c r="AJ145" s="130">
        <v>500</v>
      </c>
      <c r="AK145" s="130">
        <v>17</v>
      </c>
      <c r="AL145" s="112">
        <v>50</v>
      </c>
      <c r="AM145" s="130">
        <v>10</v>
      </c>
      <c r="AN145" s="130" t="s">
        <v>251</v>
      </c>
      <c r="AO145" s="131">
        <v>0.31</v>
      </c>
      <c r="AP145" s="131">
        <v>1.32</v>
      </c>
      <c r="AQ145" s="131">
        <v>1.27</v>
      </c>
    </row>
    <row r="146" spans="1:44" s="112" customFormat="1" x14ac:dyDescent="0.25">
      <c r="A146" s="112" t="s">
        <v>398</v>
      </c>
      <c r="B146" s="64">
        <v>2</v>
      </c>
      <c r="C146" s="64">
        <f>C145</f>
        <v>1107</v>
      </c>
      <c r="D146" s="112">
        <f>D145</f>
        <v>2</v>
      </c>
      <c r="E146" s="112">
        <f>E145+1</f>
        <v>2</v>
      </c>
      <c r="F146" s="112">
        <f>F145+1</f>
        <v>3</v>
      </c>
      <c r="G146" s="64">
        <v>1103535</v>
      </c>
      <c r="H146" s="130">
        <v>1387</v>
      </c>
      <c r="I146" s="64" t="s">
        <v>479</v>
      </c>
      <c r="J146" s="64">
        <f>IF(K146="Inflow",1,IF(K146="Outflow",-1,IF(K146="Gage",0,IF(K146="Top",0,""))))</f>
        <v>1</v>
      </c>
      <c r="K146" s="130" t="s">
        <v>31</v>
      </c>
      <c r="L146" s="64" t="s">
        <v>477</v>
      </c>
      <c r="M146" s="130" t="s">
        <v>86</v>
      </c>
      <c r="N146" s="64">
        <v>0</v>
      </c>
      <c r="O146" s="151">
        <v>0</v>
      </c>
      <c r="P146" s="151">
        <v>0</v>
      </c>
      <c r="Q146" s="132"/>
      <c r="S146" s="142" t="s">
        <v>576</v>
      </c>
      <c r="T146" s="112">
        <v>0.83199999999999996</v>
      </c>
      <c r="V146" s="151"/>
      <c r="W146" s="131">
        <v>7.0000000000000007E-2</v>
      </c>
      <c r="X146" s="150">
        <v>1.8620000000000001</v>
      </c>
      <c r="Y146" s="151">
        <v>0</v>
      </c>
      <c r="Z146" s="151"/>
      <c r="AA146" s="112">
        <v>10000</v>
      </c>
      <c r="AB146" s="112">
        <v>0.15</v>
      </c>
      <c r="AC146" s="112">
        <v>750</v>
      </c>
      <c r="AD146" s="112">
        <v>1</v>
      </c>
      <c r="AE146" s="130">
        <v>32</v>
      </c>
      <c r="AF146" s="131">
        <v>0.56000000000000005</v>
      </c>
      <c r="AG146" s="132">
        <v>1</v>
      </c>
      <c r="AH146" s="132">
        <v>0.83</v>
      </c>
      <c r="AI146" s="132">
        <v>0.21</v>
      </c>
      <c r="AJ146" s="130">
        <v>500</v>
      </c>
      <c r="AK146" s="130">
        <v>17</v>
      </c>
      <c r="AL146" s="112">
        <v>50</v>
      </c>
      <c r="AM146" s="130">
        <v>10</v>
      </c>
      <c r="AN146" s="130" t="s">
        <v>251</v>
      </c>
      <c r="AO146" s="131">
        <v>0.31</v>
      </c>
      <c r="AP146" s="131">
        <v>1.32</v>
      </c>
      <c r="AQ146" s="131">
        <v>1.27</v>
      </c>
      <c r="AR146" s="64" t="s">
        <v>478</v>
      </c>
    </row>
    <row r="147" spans="1:44" s="112" customFormat="1" x14ac:dyDescent="0.25">
      <c r="A147" s="112" t="s">
        <v>398</v>
      </c>
      <c r="B147" s="64">
        <v>2</v>
      </c>
      <c r="C147" s="64">
        <f>C146</f>
        <v>1107</v>
      </c>
      <c r="D147" s="112">
        <f>D146+1</f>
        <v>3</v>
      </c>
      <c r="E147" s="112">
        <v>1</v>
      </c>
      <c r="F147" s="112">
        <f>F146+1</f>
        <v>4</v>
      </c>
      <c r="G147" s="64">
        <v>1109511</v>
      </c>
      <c r="H147" s="130"/>
      <c r="I147" s="64" t="s">
        <v>456</v>
      </c>
      <c r="J147" s="64">
        <f>IF(K147="Inflow",1,IF(K147="Outflow",-1,IF(K147="Gage",0,IF(K147="Top",0,""))))</f>
        <v>0</v>
      </c>
      <c r="K147" s="130" t="s">
        <v>33</v>
      </c>
      <c r="L147" s="64" t="s">
        <v>454</v>
      </c>
      <c r="M147" s="130" t="s">
        <v>86</v>
      </c>
      <c r="N147" s="64">
        <v>5</v>
      </c>
      <c r="O147" s="151">
        <v>10</v>
      </c>
      <c r="P147" s="151">
        <v>20</v>
      </c>
      <c r="Q147" s="132"/>
      <c r="S147" s="142" t="s">
        <v>577</v>
      </c>
      <c r="V147" s="151"/>
      <c r="W147" s="131">
        <v>7.0000000000000007E-2</v>
      </c>
      <c r="X147" s="150"/>
      <c r="Y147" s="151"/>
      <c r="Z147" s="151"/>
      <c r="AA147" s="112">
        <v>10000</v>
      </c>
      <c r="AB147" s="112">
        <v>0.15</v>
      </c>
      <c r="AC147" s="112">
        <v>750</v>
      </c>
      <c r="AD147" s="112">
        <v>1</v>
      </c>
      <c r="AE147" s="130">
        <v>32</v>
      </c>
      <c r="AF147" s="131">
        <v>0.56000000000000005</v>
      </c>
      <c r="AG147" s="132">
        <v>1</v>
      </c>
      <c r="AH147" s="132">
        <v>0.83</v>
      </c>
      <c r="AI147" s="132">
        <v>0.21</v>
      </c>
      <c r="AJ147" s="130">
        <v>500</v>
      </c>
      <c r="AK147" s="130">
        <v>17</v>
      </c>
      <c r="AL147" s="112">
        <v>50</v>
      </c>
      <c r="AM147" s="130">
        <v>10</v>
      </c>
      <c r="AN147" s="130" t="s">
        <v>251</v>
      </c>
      <c r="AO147" s="131">
        <v>0.31</v>
      </c>
      <c r="AP147" s="131">
        <v>1.32</v>
      </c>
      <c r="AQ147" s="131">
        <v>1.27</v>
      </c>
      <c r="AR147" s="64"/>
    </row>
    <row r="148" spans="1:44" s="112" customFormat="1" x14ac:dyDescent="0.25">
      <c r="A148" s="112" t="s">
        <v>398</v>
      </c>
      <c r="B148" s="64">
        <v>2</v>
      </c>
      <c r="C148" s="64">
        <f>C147</f>
        <v>1107</v>
      </c>
      <c r="D148" s="112">
        <f>D147+1</f>
        <v>4</v>
      </c>
      <c r="E148" s="112">
        <v>1</v>
      </c>
      <c r="F148" s="112">
        <f>F147+1</f>
        <v>5</v>
      </c>
      <c r="G148" s="64">
        <v>1109512</v>
      </c>
      <c r="H148" s="67"/>
      <c r="I148" s="64" t="s">
        <v>457</v>
      </c>
      <c r="J148" s="64">
        <f>IF(K148="Inflow",1,IF(K148="Outflow",-1,IF(K148="Gage",0,IF(K148="Top",0,""))))</f>
        <v>0</v>
      </c>
      <c r="K148" s="112" t="s">
        <v>33</v>
      </c>
      <c r="L148" s="64" t="s">
        <v>382</v>
      </c>
      <c r="M148" s="64" t="s">
        <v>86</v>
      </c>
      <c r="N148" s="64">
        <v>5</v>
      </c>
      <c r="O148" s="151">
        <v>10</v>
      </c>
      <c r="P148" s="151">
        <v>20</v>
      </c>
      <c r="Q148" s="132"/>
      <c r="S148" s="142" t="s">
        <v>577</v>
      </c>
      <c r="V148" s="151"/>
      <c r="W148" s="131">
        <v>7.0000000000000007E-2</v>
      </c>
      <c r="X148" s="150"/>
      <c r="Y148" s="151"/>
      <c r="Z148" s="151"/>
      <c r="AA148" s="112">
        <v>10000</v>
      </c>
      <c r="AB148" s="112">
        <v>0.15</v>
      </c>
      <c r="AC148" s="112">
        <v>750</v>
      </c>
      <c r="AD148" s="112">
        <v>1</v>
      </c>
      <c r="AE148" s="130">
        <v>32</v>
      </c>
      <c r="AF148" s="131">
        <v>0.56000000000000005</v>
      </c>
      <c r="AG148" s="132">
        <v>1</v>
      </c>
      <c r="AH148" s="132">
        <v>0.83</v>
      </c>
      <c r="AI148" s="132">
        <v>0.21</v>
      </c>
      <c r="AJ148" s="130">
        <v>500</v>
      </c>
      <c r="AK148" s="130">
        <v>17</v>
      </c>
      <c r="AL148" s="112">
        <v>50</v>
      </c>
      <c r="AM148" s="130">
        <v>10</v>
      </c>
      <c r="AN148" s="130" t="s">
        <v>251</v>
      </c>
      <c r="AO148" s="131">
        <v>0.31</v>
      </c>
      <c r="AP148" s="131">
        <v>1.32</v>
      </c>
      <c r="AQ148" s="131">
        <v>1.27</v>
      </c>
      <c r="AR148" s="151"/>
    </row>
    <row r="149" spans="1:44" s="112" customFormat="1" ht="15.75" thickBot="1" x14ac:dyDescent="0.3">
      <c r="A149" s="112" t="s">
        <v>398</v>
      </c>
      <c r="B149" s="64"/>
      <c r="C149" s="64"/>
      <c r="G149" s="130">
        <v>1120065</v>
      </c>
      <c r="H149" s="130"/>
      <c r="I149" s="64" t="s">
        <v>458</v>
      </c>
      <c r="J149" s="151"/>
      <c r="K149" s="130"/>
      <c r="L149" s="130"/>
      <c r="M149" s="130"/>
      <c r="N149" s="151"/>
      <c r="O149" s="151"/>
      <c r="P149" s="151"/>
      <c r="Q149" s="132"/>
      <c r="S149" s="142" t="s">
        <v>577</v>
      </c>
      <c r="V149" s="151"/>
      <c r="W149" s="131">
        <v>7.0000000000000007E-2</v>
      </c>
      <c r="X149" s="150"/>
      <c r="Y149" s="151"/>
      <c r="Z149" s="151"/>
      <c r="AA149" s="112">
        <v>10000</v>
      </c>
      <c r="AB149" s="112">
        <v>0.15</v>
      </c>
      <c r="AC149" s="112">
        <v>750</v>
      </c>
      <c r="AD149" s="112">
        <v>1</v>
      </c>
      <c r="AE149" s="130">
        <v>32</v>
      </c>
      <c r="AF149" s="131">
        <v>0.56000000000000005</v>
      </c>
      <c r="AG149" s="132">
        <v>1</v>
      </c>
      <c r="AH149" s="132">
        <v>0.83</v>
      </c>
      <c r="AI149" s="132">
        <v>0.21</v>
      </c>
      <c r="AJ149" s="130">
        <v>500</v>
      </c>
      <c r="AK149" s="130">
        <v>17</v>
      </c>
      <c r="AL149" s="112">
        <v>50</v>
      </c>
      <c r="AM149" s="130">
        <v>10</v>
      </c>
      <c r="AN149" s="130" t="s">
        <v>251</v>
      </c>
      <c r="AO149" s="131">
        <v>0.31</v>
      </c>
      <c r="AP149" s="131">
        <v>1.32</v>
      </c>
      <c r="AQ149" s="131">
        <v>1.27</v>
      </c>
      <c r="AR149" s="151"/>
    </row>
    <row r="150" spans="1:44" s="143" customFormat="1" x14ac:dyDescent="0.25">
      <c r="A150" s="154" t="s">
        <v>399</v>
      </c>
      <c r="B150" s="143">
        <v>2</v>
      </c>
      <c r="C150" s="143">
        <f>C148+1</f>
        <v>1108</v>
      </c>
      <c r="D150" s="143">
        <v>1</v>
      </c>
      <c r="E150" s="143">
        <v>1</v>
      </c>
      <c r="F150" s="143">
        <v>1</v>
      </c>
      <c r="G150" s="143">
        <v>1109508</v>
      </c>
      <c r="H150" s="144"/>
      <c r="I150" s="143" t="s">
        <v>399</v>
      </c>
      <c r="J150" s="143">
        <f>IF(K150="Inflow",1,IF(K150="Outflow",-1,IF(K150="Gage",0,IF(K150="Top",0,""))))</f>
        <v>0</v>
      </c>
      <c r="K150" s="143" t="s">
        <v>33</v>
      </c>
      <c r="L150" s="143" t="s">
        <v>383</v>
      </c>
      <c r="M150" s="144" t="s">
        <v>86</v>
      </c>
      <c r="N150" s="143">
        <v>5</v>
      </c>
      <c r="O150" s="143">
        <v>10</v>
      </c>
      <c r="P150" s="143">
        <v>20</v>
      </c>
      <c r="Q150" s="146"/>
      <c r="S150" s="158" t="s">
        <v>551</v>
      </c>
      <c r="W150" s="145">
        <v>7.0000000000000007E-2</v>
      </c>
      <c r="X150" s="146"/>
      <c r="AA150" s="143">
        <v>10000</v>
      </c>
      <c r="AB150" s="143">
        <v>0.15</v>
      </c>
      <c r="AC150" s="143">
        <v>750</v>
      </c>
      <c r="AD150" s="143">
        <v>1</v>
      </c>
      <c r="AE150" s="144">
        <v>32</v>
      </c>
      <c r="AF150" s="145">
        <v>0.56000000000000005</v>
      </c>
      <c r="AG150" s="146">
        <v>1</v>
      </c>
      <c r="AH150" s="146">
        <v>0.83</v>
      </c>
      <c r="AI150" s="146">
        <v>0.21</v>
      </c>
      <c r="AJ150" s="144">
        <v>500</v>
      </c>
      <c r="AK150" s="144">
        <v>17</v>
      </c>
      <c r="AL150" s="143">
        <v>50</v>
      </c>
      <c r="AM150" s="144">
        <v>10</v>
      </c>
      <c r="AN150" s="144" t="s">
        <v>251</v>
      </c>
      <c r="AO150" s="145">
        <v>0.31</v>
      </c>
      <c r="AP150" s="145">
        <v>1.32</v>
      </c>
      <c r="AQ150" s="145">
        <v>1.27</v>
      </c>
    </row>
    <row r="151" spans="1:44" s="64" customFormat="1" x14ac:dyDescent="0.25">
      <c r="A151" s="151" t="s">
        <v>399</v>
      </c>
      <c r="B151" s="64">
        <v>2</v>
      </c>
      <c r="C151" s="64">
        <f>C150</f>
        <v>1108</v>
      </c>
      <c r="D151" s="112">
        <f>D150</f>
        <v>1</v>
      </c>
      <c r="E151" s="112">
        <f>E150+1</f>
        <v>2</v>
      </c>
      <c r="F151" s="112">
        <f>F150+1</f>
        <v>2</v>
      </c>
      <c r="G151" s="64">
        <v>1109526</v>
      </c>
      <c r="H151" s="67"/>
      <c r="I151" s="64" t="s">
        <v>571</v>
      </c>
      <c r="J151" s="64">
        <f>IF(K151="Inflow",1,IF(K151="Outflow",-1,IF(K151="Gage",0,IF(K151="Top",0,""))))</f>
        <v>1</v>
      </c>
      <c r="K151" s="64" t="s">
        <v>31</v>
      </c>
      <c r="L151" s="64" t="s">
        <v>384</v>
      </c>
      <c r="M151" s="130" t="s">
        <v>86</v>
      </c>
      <c r="N151" s="64">
        <v>0</v>
      </c>
      <c r="O151" s="64">
        <v>0</v>
      </c>
      <c r="P151" s="64">
        <v>0</v>
      </c>
      <c r="Q151" s="128">
        <v>1</v>
      </c>
      <c r="S151" s="142" t="s">
        <v>551</v>
      </c>
      <c r="W151" s="131">
        <v>7.0000000000000007E-2</v>
      </c>
      <c r="X151" s="128"/>
      <c r="AA151" s="112">
        <v>10000</v>
      </c>
      <c r="AB151" s="112">
        <v>0.15</v>
      </c>
      <c r="AC151" s="112">
        <v>750</v>
      </c>
      <c r="AD151" s="112">
        <v>1</v>
      </c>
      <c r="AE151" s="130">
        <v>32</v>
      </c>
      <c r="AF151" s="131">
        <v>0.56000000000000005</v>
      </c>
      <c r="AG151" s="132">
        <v>1</v>
      </c>
      <c r="AH151" s="132">
        <v>0.83</v>
      </c>
      <c r="AI151" s="132">
        <v>0.21</v>
      </c>
      <c r="AJ151" s="130">
        <v>500</v>
      </c>
      <c r="AK151" s="130">
        <v>17</v>
      </c>
      <c r="AL151" s="112">
        <v>50</v>
      </c>
      <c r="AM151" s="130">
        <v>10</v>
      </c>
      <c r="AN151" s="130" t="s">
        <v>251</v>
      </c>
      <c r="AO151" s="131">
        <v>0.31</v>
      </c>
      <c r="AP151" s="131">
        <v>1.32</v>
      </c>
      <c r="AQ151" s="131">
        <v>1.27</v>
      </c>
    </row>
    <row r="152" spans="1:44" s="64" customFormat="1" ht="15.75" thickBot="1" x14ac:dyDescent="0.3">
      <c r="A152" s="151" t="s">
        <v>399</v>
      </c>
      <c r="G152" s="64">
        <v>1120059</v>
      </c>
      <c r="H152" s="67"/>
      <c r="I152" s="64" t="s">
        <v>444</v>
      </c>
      <c r="Q152" s="128"/>
      <c r="S152" s="142" t="s">
        <v>551</v>
      </c>
      <c r="W152" s="131">
        <v>7.0000000000000007E-2</v>
      </c>
      <c r="X152" s="128"/>
      <c r="AA152" s="112">
        <v>10000</v>
      </c>
      <c r="AB152" s="112">
        <v>0.15</v>
      </c>
      <c r="AC152" s="112">
        <v>750</v>
      </c>
      <c r="AD152" s="112">
        <v>1</v>
      </c>
      <c r="AE152" s="130">
        <v>32</v>
      </c>
      <c r="AF152" s="131">
        <v>0.56000000000000005</v>
      </c>
      <c r="AG152" s="132">
        <v>1</v>
      </c>
      <c r="AH152" s="132">
        <v>0.83</v>
      </c>
      <c r="AI152" s="132">
        <v>0.21</v>
      </c>
      <c r="AJ152" s="130">
        <v>500</v>
      </c>
      <c r="AK152" s="130">
        <v>17</v>
      </c>
      <c r="AL152" s="112">
        <v>50</v>
      </c>
      <c r="AM152" s="130">
        <v>10</v>
      </c>
      <c r="AN152" s="130" t="s">
        <v>251</v>
      </c>
      <c r="AO152" s="131">
        <v>0.31</v>
      </c>
      <c r="AP152" s="131">
        <v>1.32</v>
      </c>
      <c r="AQ152" s="131">
        <v>1.27</v>
      </c>
    </row>
    <row r="153" spans="1:44" s="143" customFormat="1" x14ac:dyDescent="0.25">
      <c r="A153" s="143" t="s">
        <v>480</v>
      </c>
      <c r="B153" s="143">
        <v>2</v>
      </c>
      <c r="C153" s="143">
        <f>C151+1</f>
        <v>1109</v>
      </c>
      <c r="D153" s="143">
        <v>1</v>
      </c>
      <c r="E153" s="143">
        <v>1</v>
      </c>
      <c r="F153" s="143">
        <v>1</v>
      </c>
      <c r="G153" s="143">
        <v>1104618</v>
      </c>
      <c r="H153" s="144"/>
      <c r="I153" s="143" t="s">
        <v>502</v>
      </c>
      <c r="J153" s="143">
        <f>IF(K153="Inflow",1,IF(K153="Outflow",-1,IF(K153="Gage",0,IF(K153="Top",0,""))))</f>
        <v>0</v>
      </c>
      <c r="K153" s="143" t="s">
        <v>233</v>
      </c>
      <c r="L153" s="143" t="s">
        <v>466</v>
      </c>
      <c r="M153" s="144" t="s">
        <v>86</v>
      </c>
      <c r="N153" s="143">
        <v>0</v>
      </c>
      <c r="O153" s="143">
        <v>0</v>
      </c>
      <c r="P153" s="143">
        <v>0</v>
      </c>
      <c r="Q153" s="146"/>
      <c r="S153" s="147" t="s">
        <v>467</v>
      </c>
      <c r="W153" s="145">
        <v>7.0000000000000007E-2</v>
      </c>
      <c r="X153" s="146"/>
      <c r="AA153" s="143">
        <v>10000</v>
      </c>
      <c r="AB153" s="143">
        <v>0.15</v>
      </c>
      <c r="AC153" s="143">
        <v>750</v>
      </c>
      <c r="AD153" s="143">
        <v>1</v>
      </c>
      <c r="AE153" s="144">
        <v>32</v>
      </c>
      <c r="AF153" s="145">
        <v>0.56000000000000005</v>
      </c>
      <c r="AG153" s="146">
        <v>1</v>
      </c>
      <c r="AH153" s="146">
        <v>0.83</v>
      </c>
      <c r="AI153" s="146">
        <v>0.21</v>
      </c>
      <c r="AJ153" s="144">
        <v>500</v>
      </c>
      <c r="AK153" s="144">
        <v>17</v>
      </c>
      <c r="AL153" s="143">
        <v>50</v>
      </c>
      <c r="AM153" s="144">
        <v>10</v>
      </c>
      <c r="AN153" s="144" t="s">
        <v>251</v>
      </c>
      <c r="AO153" s="145">
        <v>0.31</v>
      </c>
      <c r="AP153" s="145">
        <v>1.32</v>
      </c>
      <c r="AQ153" s="145">
        <v>1.27</v>
      </c>
    </row>
    <row r="154" spans="1:44" s="64" customFormat="1" x14ac:dyDescent="0.25">
      <c r="A154" s="64" t="s">
        <v>480</v>
      </c>
      <c r="B154" s="64">
        <v>2</v>
      </c>
      <c r="C154" s="64">
        <f>C153</f>
        <v>1109</v>
      </c>
      <c r="D154" s="112">
        <f>D153</f>
        <v>1</v>
      </c>
      <c r="E154" s="112">
        <f>E153+1</f>
        <v>2</v>
      </c>
      <c r="F154" s="112">
        <f>F153+1</f>
        <v>2</v>
      </c>
      <c r="G154" s="64">
        <v>1103921</v>
      </c>
      <c r="H154" s="67">
        <v>1348</v>
      </c>
      <c r="I154" s="64" t="s">
        <v>564</v>
      </c>
      <c r="J154" s="64">
        <f>IF(K154="Inflow",1,IF(K154="Outflow",-1,IF(K154="Gage",0,IF(K154="Top",0,""))))</f>
        <v>1</v>
      </c>
      <c r="K154" s="64" t="s">
        <v>31</v>
      </c>
      <c r="L154" s="64" t="s">
        <v>459</v>
      </c>
      <c r="M154" s="130" t="s">
        <v>86</v>
      </c>
      <c r="N154" s="64">
        <v>0</v>
      </c>
      <c r="O154" s="64">
        <v>0</v>
      </c>
      <c r="P154" s="64">
        <v>0</v>
      </c>
      <c r="Q154" s="128">
        <v>1</v>
      </c>
      <c r="S154" s="152" t="s">
        <v>467</v>
      </c>
      <c r="W154" s="131">
        <v>7.0000000000000007E-2</v>
      </c>
      <c r="X154" s="128">
        <v>1.2</v>
      </c>
      <c r="AA154" s="112">
        <v>10000</v>
      </c>
      <c r="AB154" s="112">
        <v>0.15</v>
      </c>
      <c r="AC154" s="112">
        <v>750</v>
      </c>
      <c r="AD154" s="112">
        <v>1</v>
      </c>
      <c r="AE154" s="130">
        <v>32</v>
      </c>
      <c r="AF154" s="131">
        <v>0.56000000000000005</v>
      </c>
      <c r="AG154" s="132">
        <v>1</v>
      </c>
      <c r="AH154" s="132">
        <v>0.83</v>
      </c>
      <c r="AI154" s="132">
        <v>0.21</v>
      </c>
      <c r="AJ154" s="130">
        <v>500</v>
      </c>
      <c r="AK154" s="130">
        <v>17</v>
      </c>
      <c r="AL154" s="112">
        <v>50</v>
      </c>
      <c r="AM154" s="130">
        <v>10</v>
      </c>
      <c r="AN154" s="130" t="s">
        <v>251</v>
      </c>
      <c r="AO154" s="131">
        <v>0.31</v>
      </c>
      <c r="AP154" s="131">
        <v>1.32</v>
      </c>
      <c r="AQ154" s="131">
        <v>1.27</v>
      </c>
      <c r="AR154" s="64" t="s">
        <v>470</v>
      </c>
    </row>
    <row r="155" spans="1:44" s="64" customFormat="1" x14ac:dyDescent="0.25">
      <c r="A155" s="64" t="s">
        <v>480</v>
      </c>
      <c r="B155" s="64">
        <v>2</v>
      </c>
      <c r="C155" s="64">
        <f>C154</f>
        <v>1109</v>
      </c>
      <c r="D155" s="112">
        <f>D154</f>
        <v>1</v>
      </c>
      <c r="E155" s="112">
        <f>E154+1</f>
        <v>3</v>
      </c>
      <c r="F155" s="112">
        <f>F154+1</f>
        <v>3</v>
      </c>
      <c r="G155" s="64">
        <v>1103224</v>
      </c>
      <c r="H155" s="67">
        <v>1347</v>
      </c>
      <c r="I155" s="64" t="s">
        <v>565</v>
      </c>
      <c r="J155" s="64">
        <f>IF(K155="Inflow",1,IF(K155="Outflow",-1,IF(K155="Gage",0,IF(K155="Top",0,""))))</f>
        <v>1</v>
      </c>
      <c r="K155" s="64" t="s">
        <v>31</v>
      </c>
      <c r="N155" s="64">
        <v>0</v>
      </c>
      <c r="O155" s="64">
        <v>0</v>
      </c>
      <c r="P155" s="64">
        <v>0</v>
      </c>
      <c r="Q155" s="128">
        <v>1</v>
      </c>
      <c r="S155" s="152" t="s">
        <v>467</v>
      </c>
      <c r="W155" s="131">
        <v>7.0000000000000007E-2</v>
      </c>
      <c r="X155" s="128">
        <v>0.43</v>
      </c>
      <c r="AA155" s="112">
        <v>10000</v>
      </c>
      <c r="AB155" s="112">
        <v>0.15</v>
      </c>
      <c r="AC155" s="112">
        <v>750</v>
      </c>
      <c r="AD155" s="112">
        <v>1</v>
      </c>
      <c r="AE155" s="130">
        <v>32</v>
      </c>
      <c r="AF155" s="131">
        <v>0.56000000000000005</v>
      </c>
      <c r="AG155" s="132">
        <v>1</v>
      </c>
      <c r="AH155" s="132">
        <v>0.83</v>
      </c>
      <c r="AI155" s="132">
        <v>0.21</v>
      </c>
      <c r="AJ155" s="130">
        <v>500</v>
      </c>
      <c r="AK155" s="130">
        <v>17</v>
      </c>
      <c r="AL155" s="112">
        <v>50</v>
      </c>
      <c r="AM155" s="130">
        <v>10</v>
      </c>
      <c r="AN155" s="130" t="s">
        <v>251</v>
      </c>
      <c r="AO155" s="131">
        <v>0.31</v>
      </c>
      <c r="AP155" s="131">
        <v>1.32</v>
      </c>
      <c r="AQ155" s="131">
        <v>1.27</v>
      </c>
      <c r="AR155" s="64" t="s">
        <v>471</v>
      </c>
    </row>
    <row r="156" spans="1:44" s="64" customFormat="1" x14ac:dyDescent="0.25">
      <c r="A156" s="64" t="s">
        <v>480</v>
      </c>
      <c r="B156" s="64">
        <v>2</v>
      </c>
      <c r="C156" s="64">
        <f>C155</f>
        <v>1109</v>
      </c>
      <c r="D156" s="112">
        <v>2</v>
      </c>
      <c r="E156" s="112">
        <v>1</v>
      </c>
      <c r="F156" s="112">
        <f>F155+1</f>
        <v>4</v>
      </c>
      <c r="G156" s="64">
        <v>1109525</v>
      </c>
      <c r="H156" s="67"/>
      <c r="I156" s="64" t="s">
        <v>503</v>
      </c>
      <c r="J156" s="64">
        <f>IF(K156="Inflow",1,IF(K156="Outflow",-1,IF(K156="Gage",0,IF(K156="Top",0,""))))</f>
        <v>0</v>
      </c>
      <c r="K156" s="64" t="s">
        <v>33</v>
      </c>
      <c r="L156" s="64" t="s">
        <v>460</v>
      </c>
      <c r="M156" s="130" t="s">
        <v>86</v>
      </c>
      <c r="N156" s="64">
        <v>5</v>
      </c>
      <c r="O156" s="151">
        <v>10</v>
      </c>
      <c r="P156" s="151">
        <v>20</v>
      </c>
      <c r="Q156" s="128"/>
      <c r="S156" s="152" t="s">
        <v>467</v>
      </c>
      <c r="W156" s="131">
        <v>7.0000000000000007E-2</v>
      </c>
      <c r="X156" s="128"/>
      <c r="AA156" s="112">
        <v>10000</v>
      </c>
      <c r="AB156" s="112">
        <v>0.15</v>
      </c>
      <c r="AC156" s="112">
        <v>750</v>
      </c>
      <c r="AD156" s="112">
        <v>1</v>
      </c>
      <c r="AE156" s="130">
        <v>32</v>
      </c>
      <c r="AF156" s="131">
        <v>0.56000000000000005</v>
      </c>
      <c r="AG156" s="132">
        <v>1</v>
      </c>
      <c r="AH156" s="132">
        <v>0.83</v>
      </c>
      <c r="AI156" s="132">
        <v>0.21</v>
      </c>
      <c r="AJ156" s="130">
        <v>500</v>
      </c>
      <c r="AK156" s="130">
        <v>17</v>
      </c>
      <c r="AL156" s="112">
        <v>50</v>
      </c>
      <c r="AM156" s="130">
        <v>10</v>
      </c>
      <c r="AN156" s="130" t="s">
        <v>251</v>
      </c>
      <c r="AO156" s="131">
        <v>0.31</v>
      </c>
      <c r="AP156" s="131">
        <v>1.32</v>
      </c>
      <c r="AQ156" s="131">
        <v>1.27</v>
      </c>
    </row>
    <row r="157" spans="1:44" s="64" customFormat="1" ht="15.75" thickBot="1" x14ac:dyDescent="0.3">
      <c r="A157" s="64" t="s">
        <v>480</v>
      </c>
      <c r="G157" s="64">
        <v>1129999</v>
      </c>
      <c r="H157" s="67">
        <v>1324</v>
      </c>
      <c r="I157" s="64" t="s">
        <v>461</v>
      </c>
      <c r="Q157" s="128"/>
      <c r="S157" s="152" t="s">
        <v>467</v>
      </c>
      <c r="W157" s="131">
        <v>7.0000000000000007E-2</v>
      </c>
      <c r="X157" s="128"/>
      <c r="AA157" s="112">
        <v>10000</v>
      </c>
      <c r="AB157" s="112">
        <v>0.15</v>
      </c>
      <c r="AC157" s="112">
        <v>750</v>
      </c>
      <c r="AD157" s="112">
        <v>1</v>
      </c>
      <c r="AE157" s="130">
        <v>32</v>
      </c>
      <c r="AF157" s="131">
        <v>0.56000000000000005</v>
      </c>
      <c r="AG157" s="132">
        <v>1</v>
      </c>
      <c r="AH157" s="132">
        <v>0.83</v>
      </c>
      <c r="AI157" s="132">
        <v>0.21</v>
      </c>
      <c r="AJ157" s="130">
        <v>500</v>
      </c>
      <c r="AK157" s="130">
        <v>17</v>
      </c>
      <c r="AL157" s="112">
        <v>50</v>
      </c>
      <c r="AM157" s="130">
        <v>10</v>
      </c>
      <c r="AN157" s="130" t="s">
        <v>251</v>
      </c>
      <c r="AO157" s="131">
        <v>0.31</v>
      </c>
      <c r="AP157" s="131">
        <v>1.32</v>
      </c>
      <c r="AQ157" s="131">
        <v>1.27</v>
      </c>
      <c r="AR157" s="113" t="s">
        <v>578</v>
      </c>
    </row>
    <row r="158" spans="1:44" s="143" customFormat="1" x14ac:dyDescent="0.25">
      <c r="A158" s="143" t="s">
        <v>481</v>
      </c>
      <c r="B158" s="143">
        <v>2</v>
      </c>
      <c r="C158" s="143">
        <f>C156+1</f>
        <v>1110</v>
      </c>
      <c r="D158" s="143">
        <v>1</v>
      </c>
      <c r="E158" s="143">
        <v>1</v>
      </c>
      <c r="F158" s="143">
        <v>1</v>
      </c>
      <c r="G158" s="143">
        <v>1103300</v>
      </c>
      <c r="H158" s="144"/>
      <c r="I158" s="143" t="s">
        <v>473</v>
      </c>
      <c r="J158" s="143">
        <f>IF(K158="Inflow",1,IF(K158="Outflow",-1,IF(K158="Gage",0,IF(K158="Top",0,""))))</f>
        <v>0</v>
      </c>
      <c r="K158" s="143" t="s">
        <v>233</v>
      </c>
      <c r="L158" s="143" t="s">
        <v>472</v>
      </c>
      <c r="M158" s="144" t="s">
        <v>86</v>
      </c>
      <c r="N158" s="143">
        <v>0</v>
      </c>
      <c r="O158" s="143">
        <v>0</v>
      </c>
      <c r="P158" s="143">
        <v>0</v>
      </c>
      <c r="Q158" s="146"/>
      <c r="S158" s="147" t="s">
        <v>474</v>
      </c>
      <c r="W158" s="145">
        <v>7.0000000000000007E-2</v>
      </c>
      <c r="X158" s="146"/>
      <c r="AA158" s="143">
        <v>10000</v>
      </c>
      <c r="AB158" s="143">
        <v>0.15</v>
      </c>
      <c r="AC158" s="143">
        <v>750</v>
      </c>
      <c r="AD158" s="143">
        <v>1</v>
      </c>
      <c r="AE158" s="144">
        <v>32</v>
      </c>
      <c r="AF158" s="145">
        <v>0.56000000000000005</v>
      </c>
      <c r="AG158" s="146">
        <v>1</v>
      </c>
      <c r="AH158" s="146">
        <v>0.83</v>
      </c>
      <c r="AI158" s="146">
        <v>0.21</v>
      </c>
      <c r="AJ158" s="144">
        <v>500</v>
      </c>
      <c r="AK158" s="144">
        <v>17</v>
      </c>
      <c r="AL158" s="143">
        <v>50</v>
      </c>
      <c r="AM158" s="144">
        <v>10</v>
      </c>
      <c r="AN158" s="144" t="s">
        <v>251</v>
      </c>
      <c r="AO158" s="145">
        <v>0.31</v>
      </c>
      <c r="AP158" s="145">
        <v>1.32</v>
      </c>
      <c r="AQ158" s="145">
        <v>1.27</v>
      </c>
    </row>
    <row r="159" spans="1:44" s="64" customFormat="1" x14ac:dyDescent="0.25">
      <c r="A159" s="64" t="s">
        <v>481</v>
      </c>
      <c r="B159" s="64">
        <v>2</v>
      </c>
      <c r="C159" s="64">
        <f>C158</f>
        <v>1110</v>
      </c>
      <c r="D159" s="64">
        <v>2</v>
      </c>
      <c r="E159" s="64">
        <v>1</v>
      </c>
      <c r="F159" s="64">
        <v>2</v>
      </c>
      <c r="G159" s="64">
        <v>1109523</v>
      </c>
      <c r="H159" s="67"/>
      <c r="I159" s="64" t="s">
        <v>475</v>
      </c>
      <c r="J159" s="64">
        <f>IF(K159="Inflow",1,IF(K159="Outflow",-1,IF(K159="Gage",0,IF(K159="Top",0,""))))</f>
        <v>0</v>
      </c>
      <c r="K159" s="64" t="s">
        <v>33</v>
      </c>
      <c r="L159" s="64" t="s">
        <v>464</v>
      </c>
      <c r="M159" s="130" t="s">
        <v>86</v>
      </c>
      <c r="N159" s="64">
        <v>5</v>
      </c>
      <c r="O159" s="64">
        <v>10</v>
      </c>
      <c r="P159" s="64">
        <v>20</v>
      </c>
      <c r="Q159" s="128"/>
      <c r="S159" s="152" t="s">
        <v>474</v>
      </c>
      <c r="W159" s="131">
        <v>7.0000000000000007E-2</v>
      </c>
      <c r="X159" s="128"/>
      <c r="AA159" s="112">
        <v>10000</v>
      </c>
      <c r="AB159" s="112">
        <v>0.15</v>
      </c>
      <c r="AC159" s="112">
        <v>750</v>
      </c>
      <c r="AD159" s="112">
        <v>1</v>
      </c>
      <c r="AE159" s="130">
        <v>32</v>
      </c>
      <c r="AF159" s="131">
        <v>0.56000000000000005</v>
      </c>
      <c r="AG159" s="132">
        <v>1</v>
      </c>
      <c r="AH159" s="132">
        <v>0.83</v>
      </c>
      <c r="AI159" s="132">
        <v>0.21</v>
      </c>
      <c r="AJ159" s="130">
        <v>500</v>
      </c>
      <c r="AK159" s="130">
        <v>17</v>
      </c>
      <c r="AL159" s="112">
        <v>50</v>
      </c>
      <c r="AM159" s="130">
        <v>10</v>
      </c>
      <c r="AN159" s="130" t="s">
        <v>251</v>
      </c>
      <c r="AO159" s="131">
        <v>0.31</v>
      </c>
      <c r="AP159" s="131">
        <v>1.32</v>
      </c>
      <c r="AQ159" s="131">
        <v>1.27</v>
      </c>
    </row>
    <row r="160" spans="1:44" s="64" customFormat="1" ht="15.75" thickBot="1" x14ac:dyDescent="0.3">
      <c r="A160" s="64" t="s">
        <v>481</v>
      </c>
      <c r="G160" s="64">
        <v>1129998</v>
      </c>
      <c r="H160" s="67">
        <v>1329</v>
      </c>
      <c r="I160" s="64" t="s">
        <v>476</v>
      </c>
      <c r="Q160" s="128"/>
      <c r="S160" s="152" t="s">
        <v>474</v>
      </c>
      <c r="W160" s="131">
        <v>7.0000000000000007E-2</v>
      </c>
      <c r="X160" s="128"/>
      <c r="AA160" s="112">
        <v>10000</v>
      </c>
      <c r="AB160" s="112">
        <v>0.15</v>
      </c>
      <c r="AC160" s="112">
        <v>750</v>
      </c>
      <c r="AD160" s="112">
        <v>1</v>
      </c>
      <c r="AE160" s="130">
        <v>32</v>
      </c>
      <c r="AF160" s="131">
        <v>0.56000000000000005</v>
      </c>
      <c r="AG160" s="132">
        <v>1</v>
      </c>
      <c r="AH160" s="132">
        <v>0.83</v>
      </c>
      <c r="AI160" s="132">
        <v>0.21</v>
      </c>
      <c r="AJ160" s="130">
        <v>500</v>
      </c>
      <c r="AK160" s="130">
        <v>17</v>
      </c>
      <c r="AL160" s="112">
        <v>50</v>
      </c>
      <c r="AM160" s="130">
        <v>10</v>
      </c>
      <c r="AN160" s="130" t="s">
        <v>251</v>
      </c>
      <c r="AO160" s="131">
        <v>0.31</v>
      </c>
      <c r="AP160" s="131">
        <v>1.32</v>
      </c>
      <c r="AQ160" s="131">
        <v>1.27</v>
      </c>
      <c r="AR160" s="113" t="s">
        <v>578</v>
      </c>
    </row>
    <row r="161" spans="1:45" s="143" customFormat="1" x14ac:dyDescent="0.25">
      <c r="A161" s="143" t="s">
        <v>482</v>
      </c>
      <c r="B161" s="143">
        <v>2</v>
      </c>
      <c r="C161" s="143">
        <f>C159+1</f>
        <v>1111</v>
      </c>
      <c r="D161" s="143">
        <v>1</v>
      </c>
      <c r="E161" s="143">
        <v>1</v>
      </c>
      <c r="F161" s="143">
        <v>1</v>
      </c>
      <c r="G161" s="143">
        <v>1103920</v>
      </c>
      <c r="H161" s="144"/>
      <c r="I161" s="143" t="s">
        <v>566</v>
      </c>
      <c r="J161" s="143">
        <f t="shared" ref="J161:J166" si="18">IF(K161="Inflow",1,IF(K161="Outflow",-1,IF(K161="Gage",0,IF(K161="Top",0,""))))</f>
        <v>0</v>
      </c>
      <c r="K161" s="143" t="s">
        <v>233</v>
      </c>
      <c r="N161" s="143">
        <v>0</v>
      </c>
      <c r="O161" s="143">
        <v>0</v>
      </c>
      <c r="P161" s="143">
        <v>0</v>
      </c>
      <c r="Q161" s="146"/>
      <c r="S161" s="147" t="s">
        <v>468</v>
      </c>
      <c r="T161" s="143">
        <v>0.04</v>
      </c>
      <c r="W161" s="145">
        <v>7.0000000000000007E-2</v>
      </c>
      <c r="X161" s="146"/>
      <c r="AA161" s="143">
        <v>10000</v>
      </c>
      <c r="AB161" s="143">
        <v>0.15</v>
      </c>
      <c r="AC161" s="143">
        <v>750</v>
      </c>
      <c r="AD161" s="143">
        <v>1</v>
      </c>
      <c r="AE161" s="144">
        <v>32</v>
      </c>
      <c r="AF161" s="145">
        <v>0.56000000000000005</v>
      </c>
      <c r="AG161" s="146">
        <v>1</v>
      </c>
      <c r="AH161" s="146">
        <v>0.83</v>
      </c>
      <c r="AI161" s="146">
        <v>0.21</v>
      </c>
      <c r="AJ161" s="144">
        <v>500</v>
      </c>
      <c r="AK161" s="144">
        <v>17</v>
      </c>
      <c r="AL161" s="143">
        <v>50</v>
      </c>
      <c r="AM161" s="144">
        <v>10</v>
      </c>
      <c r="AN161" s="144" t="s">
        <v>251</v>
      </c>
      <c r="AO161" s="145">
        <v>0.31</v>
      </c>
      <c r="AP161" s="145">
        <v>1.32</v>
      </c>
      <c r="AQ161" s="145">
        <v>1.27</v>
      </c>
    </row>
    <row r="162" spans="1:45" s="64" customFormat="1" x14ac:dyDescent="0.25">
      <c r="A162" s="64" t="s">
        <v>482</v>
      </c>
      <c r="B162" s="64">
        <v>2</v>
      </c>
      <c r="C162" s="64">
        <f>C161</f>
        <v>1111</v>
      </c>
      <c r="D162" s="64">
        <v>2</v>
      </c>
      <c r="E162" s="64">
        <v>1</v>
      </c>
      <c r="F162" s="64">
        <v>2</v>
      </c>
      <c r="G162" s="64">
        <v>1109507</v>
      </c>
      <c r="H162" s="67"/>
      <c r="I162" s="64" t="s">
        <v>504</v>
      </c>
      <c r="J162" s="64">
        <f t="shared" si="18"/>
        <v>0</v>
      </c>
      <c r="K162" s="64" t="s">
        <v>33</v>
      </c>
      <c r="L162" s="64" t="s">
        <v>462</v>
      </c>
      <c r="M162" s="130" t="s">
        <v>86</v>
      </c>
      <c r="N162" s="64">
        <v>0</v>
      </c>
      <c r="O162" s="64">
        <v>0</v>
      </c>
      <c r="P162" s="64">
        <v>0</v>
      </c>
      <c r="Q162" s="128"/>
      <c r="S162" s="152" t="s">
        <v>468</v>
      </c>
      <c r="T162" s="64">
        <v>4.1100000000000003</v>
      </c>
      <c r="W162" s="131">
        <v>7.0000000000000007E-2</v>
      </c>
      <c r="AA162" s="112">
        <v>10000</v>
      </c>
      <c r="AB162" s="112">
        <v>0.15</v>
      </c>
      <c r="AC162" s="112">
        <v>750</v>
      </c>
      <c r="AD162" s="112">
        <v>1</v>
      </c>
      <c r="AE162" s="130">
        <v>32</v>
      </c>
      <c r="AF162" s="131">
        <v>0.56000000000000005</v>
      </c>
      <c r="AG162" s="132">
        <v>1</v>
      </c>
      <c r="AH162" s="132">
        <v>0.83</v>
      </c>
      <c r="AI162" s="132">
        <v>0.21</v>
      </c>
      <c r="AJ162" s="130">
        <v>500</v>
      </c>
      <c r="AK162" s="130">
        <v>17</v>
      </c>
      <c r="AL162" s="112">
        <v>50</v>
      </c>
      <c r="AM162" s="130">
        <v>10</v>
      </c>
      <c r="AN162" s="130" t="s">
        <v>251</v>
      </c>
      <c r="AO162" s="131">
        <v>0.31</v>
      </c>
      <c r="AP162" s="131">
        <v>1.32</v>
      </c>
      <c r="AQ162" s="131">
        <v>1.27</v>
      </c>
      <c r="AR162" s="64" t="s">
        <v>567</v>
      </c>
    </row>
    <row r="163" spans="1:45" s="64" customFormat="1" x14ac:dyDescent="0.25">
      <c r="A163" s="64" t="s">
        <v>482</v>
      </c>
      <c r="B163" s="64">
        <v>2</v>
      </c>
      <c r="C163" s="64">
        <f>C162</f>
        <v>1111</v>
      </c>
      <c r="D163" s="112">
        <v>3</v>
      </c>
      <c r="E163" s="112">
        <v>1</v>
      </c>
      <c r="F163" s="112">
        <f>F162+1</f>
        <v>3</v>
      </c>
      <c r="G163" s="64">
        <v>1109528</v>
      </c>
      <c r="H163" s="67"/>
      <c r="I163" s="64" t="s">
        <v>505</v>
      </c>
      <c r="J163" s="64">
        <f t="shared" si="18"/>
        <v>0</v>
      </c>
      <c r="K163" s="64" t="s">
        <v>33</v>
      </c>
      <c r="L163" s="64" t="s">
        <v>463</v>
      </c>
      <c r="M163" s="130" t="s">
        <v>86</v>
      </c>
      <c r="N163" s="64">
        <v>5</v>
      </c>
      <c r="O163" s="64">
        <v>10</v>
      </c>
      <c r="P163" s="64">
        <v>20</v>
      </c>
      <c r="Q163" s="128"/>
      <c r="S163" s="152" t="s">
        <v>469</v>
      </c>
      <c r="W163" s="131">
        <v>7.0000000000000007E-2</v>
      </c>
      <c r="X163" s="128"/>
      <c r="AA163" s="112">
        <v>10000</v>
      </c>
      <c r="AB163" s="112">
        <v>0.15</v>
      </c>
      <c r="AC163" s="112">
        <v>750</v>
      </c>
      <c r="AD163" s="112">
        <v>1</v>
      </c>
      <c r="AE163" s="130">
        <v>32</v>
      </c>
      <c r="AF163" s="131">
        <v>0.56000000000000005</v>
      </c>
      <c r="AG163" s="132">
        <v>1</v>
      </c>
      <c r="AH163" s="132">
        <v>0.83</v>
      </c>
      <c r="AI163" s="132">
        <v>0.21</v>
      </c>
      <c r="AJ163" s="130">
        <v>500</v>
      </c>
      <c r="AK163" s="130">
        <v>17</v>
      </c>
      <c r="AL163" s="112">
        <v>50</v>
      </c>
      <c r="AM163" s="130">
        <v>10</v>
      </c>
      <c r="AN163" s="130" t="s">
        <v>251</v>
      </c>
      <c r="AO163" s="131">
        <v>0.31</v>
      </c>
      <c r="AP163" s="131">
        <v>1.32</v>
      </c>
      <c r="AQ163" s="131">
        <v>1.27</v>
      </c>
      <c r="AR163" s="129"/>
    </row>
    <row r="164" spans="1:45" s="64" customFormat="1" x14ac:dyDescent="0.25">
      <c r="A164" s="64" t="s">
        <v>482</v>
      </c>
      <c r="B164" s="64">
        <v>2</v>
      </c>
      <c r="C164" s="64">
        <f>C163</f>
        <v>1111</v>
      </c>
      <c r="D164" s="112">
        <f>D163</f>
        <v>3</v>
      </c>
      <c r="E164" s="112">
        <f>E163+1</f>
        <v>2</v>
      </c>
      <c r="F164" s="112">
        <f>F163+1</f>
        <v>4</v>
      </c>
      <c r="G164" s="64">
        <v>1129998</v>
      </c>
      <c r="H164" s="67">
        <v>1329</v>
      </c>
      <c r="I164" s="64" t="s">
        <v>476</v>
      </c>
      <c r="J164" s="64">
        <f t="shared" si="18"/>
        <v>1</v>
      </c>
      <c r="K164" s="64" t="s">
        <v>31</v>
      </c>
      <c r="N164" s="64">
        <v>5</v>
      </c>
      <c r="O164" s="64">
        <v>10</v>
      </c>
      <c r="P164" s="64">
        <v>20</v>
      </c>
      <c r="Q164" s="128"/>
      <c r="S164" s="152" t="s">
        <v>469</v>
      </c>
      <c r="W164" s="131">
        <v>7.0000000000000007E-2</v>
      </c>
      <c r="X164" s="128"/>
      <c r="AA164" s="112">
        <v>10000</v>
      </c>
      <c r="AB164" s="112">
        <v>0.15</v>
      </c>
      <c r="AC164" s="112">
        <v>750</v>
      </c>
      <c r="AD164" s="112">
        <v>1</v>
      </c>
      <c r="AE164" s="130">
        <v>32</v>
      </c>
      <c r="AF164" s="131">
        <v>0.56000000000000005</v>
      </c>
      <c r="AG164" s="132">
        <v>1</v>
      </c>
      <c r="AH164" s="132">
        <v>0.83</v>
      </c>
      <c r="AI164" s="132">
        <v>0.21</v>
      </c>
      <c r="AJ164" s="130">
        <v>500</v>
      </c>
      <c r="AK164" s="130">
        <v>17</v>
      </c>
      <c r="AL164" s="112">
        <v>50</v>
      </c>
      <c r="AM164" s="130">
        <v>10</v>
      </c>
      <c r="AN164" s="130" t="s">
        <v>251</v>
      </c>
      <c r="AO164" s="131">
        <v>0.31</v>
      </c>
      <c r="AP164" s="131">
        <v>1.32</v>
      </c>
      <c r="AQ164" s="131">
        <v>1.27</v>
      </c>
      <c r="AR164" s="129"/>
    </row>
    <row r="165" spans="1:45" s="64" customFormat="1" x14ac:dyDescent="0.25">
      <c r="A165" s="64" t="s">
        <v>482</v>
      </c>
      <c r="B165" s="64">
        <v>2</v>
      </c>
      <c r="C165" s="64">
        <f>C164</f>
        <v>1111</v>
      </c>
      <c r="D165" s="112">
        <f>D164</f>
        <v>3</v>
      </c>
      <c r="E165" s="112">
        <f>E164+1</f>
        <v>3</v>
      </c>
      <c r="F165" s="112">
        <f>F164+1</f>
        <v>5</v>
      </c>
      <c r="G165" s="64">
        <v>1129999</v>
      </c>
      <c r="H165" s="67">
        <v>1324</v>
      </c>
      <c r="I165" s="64" t="s">
        <v>461</v>
      </c>
      <c r="J165" s="64">
        <f t="shared" si="18"/>
        <v>1</v>
      </c>
      <c r="K165" s="64" t="s">
        <v>31</v>
      </c>
      <c r="N165" s="64">
        <v>5</v>
      </c>
      <c r="O165" s="64">
        <v>10</v>
      </c>
      <c r="P165" s="64">
        <v>20</v>
      </c>
      <c r="Q165" s="128"/>
      <c r="S165" s="152" t="s">
        <v>469</v>
      </c>
      <c r="W165" s="131">
        <v>7.0000000000000007E-2</v>
      </c>
      <c r="X165" s="128"/>
      <c r="AA165" s="112">
        <v>10000</v>
      </c>
      <c r="AB165" s="112">
        <v>0.15</v>
      </c>
      <c r="AC165" s="112">
        <v>750</v>
      </c>
      <c r="AD165" s="112">
        <v>1</v>
      </c>
      <c r="AE165" s="130">
        <v>32</v>
      </c>
      <c r="AF165" s="131">
        <v>0.56000000000000005</v>
      </c>
      <c r="AG165" s="132">
        <v>1</v>
      </c>
      <c r="AH165" s="132">
        <v>0.83</v>
      </c>
      <c r="AI165" s="132">
        <v>0.21</v>
      </c>
      <c r="AJ165" s="130">
        <v>500</v>
      </c>
      <c r="AK165" s="130">
        <v>17</v>
      </c>
      <c r="AL165" s="112">
        <v>50</v>
      </c>
      <c r="AM165" s="130">
        <v>10</v>
      </c>
      <c r="AN165" s="130" t="s">
        <v>251</v>
      </c>
      <c r="AO165" s="131">
        <v>0.31</v>
      </c>
      <c r="AP165" s="131">
        <v>1.32</v>
      </c>
      <c r="AQ165" s="131">
        <v>1.27</v>
      </c>
      <c r="AR165" s="129"/>
    </row>
    <row r="166" spans="1:45" s="64" customFormat="1" x14ac:dyDescent="0.25">
      <c r="A166" s="64" t="s">
        <v>482</v>
      </c>
      <c r="B166" s="64">
        <v>2</v>
      </c>
      <c r="C166" s="64">
        <f>C165</f>
        <v>1111</v>
      </c>
      <c r="D166" s="112">
        <f>D165+1</f>
        <v>4</v>
      </c>
      <c r="E166" s="112">
        <v>1</v>
      </c>
      <c r="F166" s="112">
        <f>F165+1</f>
        <v>6</v>
      </c>
      <c r="G166" s="64">
        <v>1109527</v>
      </c>
      <c r="H166" s="67"/>
      <c r="I166" s="64" t="s">
        <v>506</v>
      </c>
      <c r="J166" s="64">
        <f t="shared" si="18"/>
        <v>0</v>
      </c>
      <c r="K166" s="112" t="s">
        <v>33</v>
      </c>
      <c r="L166" s="64" t="s">
        <v>387</v>
      </c>
      <c r="M166" s="130" t="s">
        <v>86</v>
      </c>
      <c r="N166" s="64">
        <v>5</v>
      </c>
      <c r="O166" s="64">
        <v>10</v>
      </c>
      <c r="P166" s="64">
        <v>20</v>
      </c>
      <c r="Q166" s="128"/>
      <c r="S166" s="152" t="s">
        <v>469</v>
      </c>
      <c r="W166" s="131">
        <v>7.0000000000000007E-2</v>
      </c>
      <c r="X166" s="128"/>
      <c r="AA166" s="112">
        <v>10000</v>
      </c>
      <c r="AB166" s="112">
        <v>0.15</v>
      </c>
      <c r="AC166" s="112">
        <v>750</v>
      </c>
      <c r="AD166" s="112">
        <v>1</v>
      </c>
      <c r="AE166" s="130">
        <v>32</v>
      </c>
      <c r="AF166" s="131">
        <v>0.56000000000000005</v>
      </c>
      <c r="AG166" s="132">
        <v>1</v>
      </c>
      <c r="AH166" s="132">
        <v>0.83</v>
      </c>
      <c r="AI166" s="132">
        <v>0.21</v>
      </c>
      <c r="AJ166" s="130">
        <v>500</v>
      </c>
      <c r="AK166" s="130">
        <v>17</v>
      </c>
      <c r="AL166" s="112">
        <v>50</v>
      </c>
      <c r="AM166" s="130">
        <v>10</v>
      </c>
      <c r="AN166" s="130" t="s">
        <v>251</v>
      </c>
      <c r="AO166" s="131">
        <v>0.31</v>
      </c>
      <c r="AP166" s="131">
        <v>1.32</v>
      </c>
      <c r="AQ166" s="131">
        <v>1.27</v>
      </c>
      <c r="AR166" s="129"/>
    </row>
    <row r="167" spans="1:45" s="64" customFormat="1" ht="15.75" thickBot="1" x14ac:dyDescent="0.3">
      <c r="A167" s="64" t="s">
        <v>482</v>
      </c>
      <c r="G167" s="64">
        <v>1120000</v>
      </c>
      <c r="H167" s="67"/>
      <c r="I167" s="64" t="s">
        <v>465</v>
      </c>
      <c r="Q167" s="128"/>
      <c r="S167" s="152" t="s">
        <v>469</v>
      </c>
      <c r="W167" s="131">
        <v>7.0000000000000007E-2</v>
      </c>
      <c r="X167" s="128"/>
      <c r="AA167" s="112">
        <v>10000</v>
      </c>
      <c r="AB167" s="112">
        <v>0.15</v>
      </c>
      <c r="AC167" s="112">
        <v>750</v>
      </c>
      <c r="AD167" s="112">
        <v>1</v>
      </c>
      <c r="AE167" s="130">
        <v>32</v>
      </c>
      <c r="AF167" s="131">
        <v>0.56000000000000005</v>
      </c>
      <c r="AG167" s="132">
        <v>1</v>
      </c>
      <c r="AH167" s="132">
        <v>0.83</v>
      </c>
      <c r="AI167" s="132">
        <v>0.21</v>
      </c>
      <c r="AJ167" s="130">
        <v>500</v>
      </c>
      <c r="AK167" s="130">
        <v>17</v>
      </c>
      <c r="AL167" s="112">
        <v>50</v>
      </c>
      <c r="AM167" s="130">
        <v>10</v>
      </c>
      <c r="AN167" s="130" t="s">
        <v>251</v>
      </c>
      <c r="AO167" s="131">
        <v>0.31</v>
      </c>
      <c r="AP167" s="131">
        <v>1.32</v>
      </c>
      <c r="AQ167" s="131">
        <v>1.27</v>
      </c>
      <c r="AR167" s="129"/>
    </row>
    <row r="168" spans="1:45" s="96" customFormat="1" x14ac:dyDescent="0.25">
      <c r="A168" s="96" t="s">
        <v>609</v>
      </c>
      <c r="B168" s="96">
        <v>2</v>
      </c>
      <c r="C168" s="96">
        <v>1112</v>
      </c>
      <c r="D168" s="143">
        <v>1</v>
      </c>
      <c r="E168" s="143">
        <v>1</v>
      </c>
      <c r="F168" s="143">
        <v>1</v>
      </c>
      <c r="G168" s="162">
        <v>1309501</v>
      </c>
      <c r="H168" s="97"/>
      <c r="I168" s="96" t="s">
        <v>632</v>
      </c>
      <c r="J168" s="96">
        <f>IF(K168="Inflow",1,IF(K168="Outflow",-1,IF(K168="Gage",0,IF(K168="Top",0,""))))</f>
        <v>0</v>
      </c>
      <c r="K168" s="143" t="s">
        <v>33</v>
      </c>
      <c r="L168" s="163" t="s">
        <v>607</v>
      </c>
      <c r="M168" s="162" t="s">
        <v>86</v>
      </c>
      <c r="N168" s="96">
        <v>5</v>
      </c>
      <c r="O168" s="96">
        <v>10</v>
      </c>
      <c r="P168" s="96">
        <v>20</v>
      </c>
      <c r="Q168" s="99"/>
      <c r="S168" s="100" t="s">
        <v>606</v>
      </c>
      <c r="W168" s="98">
        <v>7.0000000000000007E-2</v>
      </c>
      <c r="X168" s="99"/>
      <c r="AA168" s="96">
        <v>10000</v>
      </c>
      <c r="AB168" s="96">
        <v>0.15</v>
      </c>
      <c r="AC168" s="96">
        <v>750</v>
      </c>
      <c r="AD168" s="96">
        <v>1</v>
      </c>
      <c r="AE168" s="96">
        <v>32</v>
      </c>
      <c r="AF168" s="96">
        <v>0.56000000000000005</v>
      </c>
      <c r="AG168" s="99">
        <v>1</v>
      </c>
      <c r="AH168" s="99">
        <v>0.83</v>
      </c>
      <c r="AI168" s="99">
        <v>0.21</v>
      </c>
      <c r="AJ168" s="97">
        <v>500</v>
      </c>
      <c r="AK168" s="96">
        <v>17</v>
      </c>
      <c r="AL168" s="96">
        <v>50</v>
      </c>
      <c r="AM168" s="97">
        <v>10</v>
      </c>
      <c r="AN168" s="97" t="s">
        <v>251</v>
      </c>
      <c r="AO168" s="96">
        <v>0.31</v>
      </c>
      <c r="AP168" s="96">
        <v>1.32</v>
      </c>
      <c r="AQ168" s="98">
        <v>1.27</v>
      </c>
      <c r="AR168" s="101"/>
    </row>
    <row r="169" spans="1:45" x14ac:dyDescent="0.25">
      <c r="A169" s="61" t="s">
        <v>609</v>
      </c>
      <c r="B169" s="61">
        <v>2</v>
      </c>
      <c r="C169" s="61">
        <v>1112</v>
      </c>
      <c r="D169" s="64">
        <v>2</v>
      </c>
      <c r="E169" s="64">
        <v>1</v>
      </c>
      <c r="F169" s="64">
        <v>2</v>
      </c>
      <c r="G169" s="63">
        <v>1309503</v>
      </c>
      <c r="I169" s="61" t="s">
        <v>633</v>
      </c>
      <c r="J169" s="61">
        <f>IF(K169="Inflow",1,IF(K169="Outflow",-1,IF(K169="Gage",0,IF(K169="Top",0,""))))</f>
        <v>0</v>
      </c>
      <c r="K169" s="64" t="s">
        <v>33</v>
      </c>
      <c r="L169" s="122" t="s">
        <v>608</v>
      </c>
      <c r="M169" s="63" t="s">
        <v>86</v>
      </c>
      <c r="N169" s="61">
        <v>5</v>
      </c>
      <c r="O169" s="61">
        <v>10</v>
      </c>
      <c r="P169" s="61">
        <v>20</v>
      </c>
      <c r="S169" s="161" t="s">
        <v>606</v>
      </c>
      <c r="W169" s="65">
        <v>7.0000000000000007E-2</v>
      </c>
      <c r="AA169" s="61">
        <v>10000</v>
      </c>
      <c r="AB169" s="61">
        <v>0.15</v>
      </c>
      <c r="AC169" s="61">
        <v>750</v>
      </c>
      <c r="AD169" s="61">
        <v>1</v>
      </c>
      <c r="AE169" s="61">
        <v>32</v>
      </c>
      <c r="AF169" s="61">
        <v>0.56000000000000005</v>
      </c>
      <c r="AG169" s="79">
        <v>1</v>
      </c>
      <c r="AH169" s="79">
        <v>0.83</v>
      </c>
      <c r="AI169" s="79">
        <v>0.21</v>
      </c>
      <c r="AJ169" s="75">
        <v>500</v>
      </c>
      <c r="AK169" s="61">
        <v>17</v>
      </c>
      <c r="AL169" s="61">
        <v>50</v>
      </c>
      <c r="AM169" s="75">
        <v>10</v>
      </c>
      <c r="AN169" s="75" t="s">
        <v>251</v>
      </c>
      <c r="AO169" s="61">
        <v>0.31</v>
      </c>
      <c r="AP169" s="61">
        <v>1.32</v>
      </c>
      <c r="AQ169" s="65">
        <v>1.27</v>
      </c>
    </row>
    <row r="170" spans="1:45" ht="15.75" thickBot="1" x14ac:dyDescent="0.3">
      <c r="A170" s="61" t="s">
        <v>609</v>
      </c>
      <c r="D170" s="64"/>
      <c r="E170" s="64"/>
      <c r="F170" s="64"/>
      <c r="G170" s="63">
        <v>1303613</v>
      </c>
      <c r="I170" s="61" t="s">
        <v>634</v>
      </c>
      <c r="J170" s="61" t="str">
        <f>IF(K170="Inflow",1,IF(K170="Outflow",-1,IF(K170="Gage",0,IF(K170="Top",0,""))))</f>
        <v/>
      </c>
      <c r="S170" s="161" t="s">
        <v>606</v>
      </c>
      <c r="W170" s="65">
        <v>7.0000000000000007E-2</v>
      </c>
      <c r="AA170" s="61">
        <v>10000</v>
      </c>
      <c r="AB170" s="61">
        <v>0.15</v>
      </c>
      <c r="AC170" s="61">
        <v>750</v>
      </c>
      <c r="AD170" s="61">
        <v>1</v>
      </c>
      <c r="AE170" s="61">
        <v>32</v>
      </c>
      <c r="AF170" s="61">
        <v>0.56000000000000005</v>
      </c>
      <c r="AG170" s="79">
        <v>1</v>
      </c>
      <c r="AH170" s="79">
        <v>0.83</v>
      </c>
      <c r="AI170" s="79">
        <v>0.21</v>
      </c>
      <c r="AJ170" s="75">
        <v>500</v>
      </c>
      <c r="AK170" s="61">
        <v>17</v>
      </c>
      <c r="AL170" s="61">
        <v>50</v>
      </c>
      <c r="AM170" s="75">
        <v>10</v>
      </c>
      <c r="AN170" s="75" t="s">
        <v>251</v>
      </c>
      <c r="AO170" s="61">
        <v>0.31</v>
      </c>
      <c r="AP170" s="61">
        <v>1.32</v>
      </c>
      <c r="AQ170" s="65">
        <v>1.27</v>
      </c>
    </row>
    <row r="171" spans="1:45" s="96" customFormat="1" x14ac:dyDescent="0.25">
      <c r="A171" s="96" t="s">
        <v>636</v>
      </c>
      <c r="B171" s="96">
        <v>2</v>
      </c>
      <c r="C171" s="96">
        <v>1113</v>
      </c>
      <c r="D171" s="96">
        <v>1</v>
      </c>
      <c r="E171" s="96">
        <v>1</v>
      </c>
      <c r="F171" s="96">
        <v>1</v>
      </c>
      <c r="G171" s="162">
        <v>1303613</v>
      </c>
      <c r="H171" s="97"/>
      <c r="I171" s="96" t="s">
        <v>634</v>
      </c>
      <c r="J171" s="96">
        <f>IF(K171="Inflow",1,IF(K171="Outflow",-1,IF(K171="Gage",0,IF(K171="Top",0,""))))</f>
        <v>0</v>
      </c>
      <c r="K171" s="96" t="s">
        <v>233</v>
      </c>
      <c r="N171" s="96">
        <v>5</v>
      </c>
      <c r="O171" s="96">
        <v>10</v>
      </c>
      <c r="P171" s="96">
        <v>20</v>
      </c>
      <c r="Q171" s="99"/>
      <c r="S171" s="100" t="s">
        <v>606</v>
      </c>
      <c r="W171" s="98">
        <v>7.0000000000000007E-2</v>
      </c>
      <c r="X171" s="99"/>
      <c r="AA171" s="96">
        <v>10000</v>
      </c>
      <c r="AB171" s="96">
        <v>0.15</v>
      </c>
      <c r="AC171" s="96">
        <v>750</v>
      </c>
      <c r="AD171" s="96">
        <v>1</v>
      </c>
      <c r="AE171" s="96">
        <v>32</v>
      </c>
      <c r="AF171" s="96">
        <v>0.56000000000000005</v>
      </c>
      <c r="AG171" s="99">
        <v>1</v>
      </c>
      <c r="AH171" s="99">
        <v>0.83</v>
      </c>
      <c r="AI171" s="99">
        <v>0.21</v>
      </c>
      <c r="AJ171" s="97">
        <v>500</v>
      </c>
      <c r="AK171" s="96">
        <v>17</v>
      </c>
      <c r="AL171" s="96">
        <v>50</v>
      </c>
      <c r="AM171" s="97">
        <v>10</v>
      </c>
      <c r="AN171" s="97" t="s">
        <v>251</v>
      </c>
      <c r="AO171" s="96">
        <v>0.31</v>
      </c>
      <c r="AP171" s="96">
        <v>1.32</v>
      </c>
      <c r="AQ171" s="98">
        <v>1.27</v>
      </c>
      <c r="AR171" s="101"/>
    </row>
    <row r="172" spans="1:45" x14ac:dyDescent="0.25">
      <c r="A172" s="61" t="s">
        <v>636</v>
      </c>
      <c r="B172" s="61">
        <v>2</v>
      </c>
      <c r="C172" s="61">
        <v>1113</v>
      </c>
      <c r="D172" s="61">
        <v>2</v>
      </c>
      <c r="E172" s="61">
        <v>1</v>
      </c>
      <c r="F172" s="61">
        <v>2</v>
      </c>
      <c r="G172" s="63">
        <v>1309502</v>
      </c>
      <c r="I172" s="61" t="s">
        <v>635</v>
      </c>
      <c r="J172" s="61">
        <f>IF(K172="Inflow",1,IF(K172="Outflow",-1,IF(K172="Gage",0,IF(K172="Top",0,""))))</f>
        <v>0</v>
      </c>
      <c r="K172" s="64" t="s">
        <v>33</v>
      </c>
      <c r="L172" s="122" t="s">
        <v>610</v>
      </c>
      <c r="M172" s="63" t="s">
        <v>86</v>
      </c>
      <c r="S172" s="161" t="s">
        <v>606</v>
      </c>
      <c r="W172" s="65">
        <v>7.0000000000000007E-2</v>
      </c>
      <c r="AA172" s="61">
        <v>10000</v>
      </c>
      <c r="AB172" s="61">
        <v>0.15</v>
      </c>
      <c r="AC172" s="61">
        <v>750</v>
      </c>
      <c r="AD172" s="61">
        <v>1</v>
      </c>
      <c r="AE172" s="61">
        <v>32</v>
      </c>
      <c r="AF172" s="61">
        <v>0.56000000000000005</v>
      </c>
      <c r="AG172" s="79">
        <v>1</v>
      </c>
      <c r="AH172" s="79">
        <v>0.83</v>
      </c>
      <c r="AI172" s="79">
        <v>0.21</v>
      </c>
      <c r="AJ172" s="75">
        <v>500</v>
      </c>
      <c r="AK172" s="61">
        <v>17</v>
      </c>
      <c r="AL172" s="61">
        <v>50</v>
      </c>
      <c r="AM172" s="75">
        <v>10</v>
      </c>
      <c r="AN172" s="75" t="s">
        <v>251</v>
      </c>
      <c r="AO172" s="61">
        <v>0.31</v>
      </c>
      <c r="AP172" s="61">
        <v>1.32</v>
      </c>
      <c r="AQ172" s="65">
        <v>1.27</v>
      </c>
    </row>
    <row r="173" spans="1:45" ht="15.75" thickBot="1" x14ac:dyDescent="0.3">
      <c r="A173" s="61" t="s">
        <v>636</v>
      </c>
      <c r="G173" s="63">
        <v>1220000</v>
      </c>
      <c r="H173" s="75">
        <v>1572</v>
      </c>
      <c r="I173" s="61" t="s">
        <v>611</v>
      </c>
      <c r="S173" s="161" t="s">
        <v>606</v>
      </c>
      <c r="W173" s="65">
        <v>7.0000000000000007E-2</v>
      </c>
      <c r="AA173" s="61">
        <v>10000</v>
      </c>
      <c r="AB173" s="61">
        <v>0.15</v>
      </c>
      <c r="AC173" s="61">
        <v>750</v>
      </c>
      <c r="AD173" s="61">
        <v>1</v>
      </c>
      <c r="AE173" s="61">
        <v>32</v>
      </c>
      <c r="AF173" s="61">
        <v>0.56000000000000005</v>
      </c>
      <c r="AG173" s="79">
        <v>1</v>
      </c>
      <c r="AH173" s="79">
        <v>0.83</v>
      </c>
      <c r="AI173" s="79">
        <v>0.21</v>
      </c>
      <c r="AJ173" s="75">
        <v>500</v>
      </c>
      <c r="AK173" s="61">
        <v>17</v>
      </c>
      <c r="AL173" s="61">
        <v>50</v>
      </c>
      <c r="AM173" s="75">
        <v>10</v>
      </c>
      <c r="AN173" s="75" t="s">
        <v>251</v>
      </c>
      <c r="AO173" s="61">
        <v>0.31</v>
      </c>
      <c r="AP173" s="61">
        <v>1.32</v>
      </c>
      <c r="AQ173" s="65">
        <v>1.27</v>
      </c>
    </row>
    <row r="174" spans="1:45" s="96" customFormat="1" x14ac:dyDescent="0.25">
      <c r="A174" s="96" t="s">
        <v>562</v>
      </c>
      <c r="B174" s="96">
        <v>2</v>
      </c>
      <c r="C174" s="96">
        <v>19</v>
      </c>
      <c r="D174" s="96">
        <v>1</v>
      </c>
      <c r="E174" s="96">
        <v>1</v>
      </c>
      <c r="F174" s="96">
        <v>1</v>
      </c>
      <c r="G174" s="96">
        <v>1903935</v>
      </c>
      <c r="I174" s="97" t="s">
        <v>408</v>
      </c>
      <c r="J174" s="96">
        <f t="shared" ref="J174:J206" si="19">IF(K174="Inflow",1,IF(K174="Outflow",-1,IF(K174="Gage",0,IF(K174="Top",0,""))))</f>
        <v>0</v>
      </c>
      <c r="K174" s="143" t="s">
        <v>233</v>
      </c>
      <c r="N174" s="96">
        <v>50</v>
      </c>
      <c r="O174" s="96">
        <v>100</v>
      </c>
      <c r="P174" s="96">
        <v>200</v>
      </c>
      <c r="R174" s="99"/>
      <c r="S174" s="147" t="s">
        <v>560</v>
      </c>
      <c r="W174" s="96">
        <v>7.0000000000000007E-2</v>
      </c>
      <c r="X174" s="98"/>
      <c r="Y174" s="99"/>
      <c r="AA174" s="96">
        <v>10000</v>
      </c>
      <c r="AB174" s="96">
        <v>0.15</v>
      </c>
      <c r="AC174" s="96">
        <v>750</v>
      </c>
      <c r="AD174" s="96">
        <v>1</v>
      </c>
      <c r="AE174" s="96">
        <v>32</v>
      </c>
      <c r="AF174" s="96">
        <v>0.56000000000000005</v>
      </c>
      <c r="AG174" s="96">
        <v>6</v>
      </c>
      <c r="AH174" s="99">
        <v>0.63519999999999999</v>
      </c>
      <c r="AI174" s="99">
        <v>0.2797</v>
      </c>
      <c r="AJ174" s="99">
        <v>500</v>
      </c>
      <c r="AK174" s="97">
        <v>17</v>
      </c>
      <c r="AL174" s="96">
        <v>20</v>
      </c>
      <c r="AM174" s="96">
        <v>110</v>
      </c>
      <c r="AN174" s="97" t="s">
        <v>250</v>
      </c>
      <c r="AO174" s="97">
        <v>0.31</v>
      </c>
      <c r="AP174" s="96">
        <v>1.32</v>
      </c>
      <c r="AQ174" s="96">
        <v>1.17</v>
      </c>
      <c r="AS174" s="101"/>
    </row>
    <row r="175" spans="1:45" x14ac:dyDescent="0.25">
      <c r="A175" s="61" t="s">
        <v>562</v>
      </c>
      <c r="B175" s="61">
        <v>2</v>
      </c>
      <c r="C175" s="61">
        <v>19</v>
      </c>
      <c r="D175" s="61">
        <f>D174+1</f>
        <v>2</v>
      </c>
      <c r="E175" s="61">
        <v>1</v>
      </c>
      <c r="F175" s="61">
        <f t="shared" ref="F175:F189" si="20">F174+1</f>
        <v>2</v>
      </c>
      <c r="G175" s="61">
        <v>1909507</v>
      </c>
      <c r="H175" s="61"/>
      <c r="I175" s="75" t="s">
        <v>409</v>
      </c>
      <c r="J175" s="61">
        <f t="shared" si="19"/>
        <v>0</v>
      </c>
      <c r="K175" s="64" t="s">
        <v>33</v>
      </c>
      <c r="L175" s="61" t="s">
        <v>343</v>
      </c>
      <c r="M175" s="61" t="s">
        <v>86</v>
      </c>
      <c r="N175" s="61">
        <v>50</v>
      </c>
      <c r="O175" s="61">
        <v>100</v>
      </c>
      <c r="P175" s="61">
        <v>200</v>
      </c>
      <c r="Q175" s="61"/>
      <c r="R175" s="79"/>
      <c r="S175" s="152" t="s">
        <v>560</v>
      </c>
      <c r="W175" s="61">
        <v>7.0000000000000007E-2</v>
      </c>
      <c r="X175" s="65"/>
      <c r="Y175" s="79"/>
      <c r="AA175" s="61">
        <v>10000</v>
      </c>
      <c r="AB175" s="61">
        <v>0.15</v>
      </c>
      <c r="AC175" s="61">
        <v>750</v>
      </c>
      <c r="AD175" s="61">
        <v>1</v>
      </c>
      <c r="AE175" s="61">
        <v>32</v>
      </c>
      <c r="AF175" s="61">
        <v>0.56000000000000005</v>
      </c>
      <c r="AG175" s="61">
        <v>6</v>
      </c>
      <c r="AH175" s="79">
        <v>0.63519999999999999</v>
      </c>
      <c r="AI175" s="79">
        <v>0.2797</v>
      </c>
      <c r="AJ175" s="79">
        <v>500</v>
      </c>
      <c r="AK175" s="75">
        <v>17</v>
      </c>
      <c r="AL175" s="61">
        <v>20</v>
      </c>
      <c r="AM175" s="61">
        <v>110</v>
      </c>
      <c r="AN175" s="75" t="s">
        <v>250</v>
      </c>
      <c r="AO175" s="75">
        <v>0.31</v>
      </c>
      <c r="AP175" s="61">
        <v>1.32</v>
      </c>
      <c r="AQ175" s="61">
        <v>1.17</v>
      </c>
      <c r="AR175" s="61"/>
      <c r="AS175" s="80"/>
    </row>
    <row r="176" spans="1:45" x14ac:dyDescent="0.25">
      <c r="A176" s="61" t="s">
        <v>562</v>
      </c>
      <c r="B176" s="61">
        <v>2</v>
      </c>
      <c r="C176" s="61">
        <v>19</v>
      </c>
      <c r="D176" s="61">
        <f>D175</f>
        <v>2</v>
      </c>
      <c r="E176" s="61">
        <f>E175+1</f>
        <v>2</v>
      </c>
      <c r="F176" s="61">
        <f t="shared" si="20"/>
        <v>3</v>
      </c>
      <c r="G176" s="61">
        <v>1900583</v>
      </c>
      <c r="H176" s="61"/>
      <c r="I176" s="75" t="s">
        <v>410</v>
      </c>
      <c r="J176" s="61">
        <f t="shared" si="19"/>
        <v>-1</v>
      </c>
      <c r="K176" s="64" t="s">
        <v>32</v>
      </c>
      <c r="N176" s="64">
        <v>5</v>
      </c>
      <c r="O176" s="151">
        <v>10</v>
      </c>
      <c r="P176" s="151">
        <v>20</v>
      </c>
      <c r="Q176" s="61"/>
      <c r="R176" s="79"/>
      <c r="S176" s="152" t="s">
        <v>560</v>
      </c>
      <c r="W176" s="61">
        <v>7.0000000000000007E-2</v>
      </c>
      <c r="X176" s="65"/>
      <c r="Y176" s="79"/>
      <c r="AA176" s="61">
        <v>10000</v>
      </c>
      <c r="AB176" s="61">
        <v>0.15</v>
      </c>
      <c r="AC176" s="61">
        <v>750</v>
      </c>
      <c r="AD176" s="61">
        <v>1</v>
      </c>
      <c r="AE176" s="61">
        <v>32</v>
      </c>
      <c r="AF176" s="61">
        <v>0.56000000000000005</v>
      </c>
      <c r="AG176" s="61">
        <v>6</v>
      </c>
      <c r="AH176" s="79">
        <v>0.63519999999999999</v>
      </c>
      <c r="AI176" s="79">
        <v>0.2797</v>
      </c>
      <c r="AJ176" s="79">
        <v>500</v>
      </c>
      <c r="AK176" s="75">
        <v>17</v>
      </c>
      <c r="AL176" s="61">
        <v>20</v>
      </c>
      <c r="AM176" s="61">
        <v>110</v>
      </c>
      <c r="AN176" s="75" t="s">
        <v>250</v>
      </c>
      <c r="AO176" s="75">
        <v>0.31</v>
      </c>
      <c r="AP176" s="61">
        <v>1.32</v>
      </c>
      <c r="AQ176" s="61">
        <v>1.17</v>
      </c>
      <c r="AR176" s="61"/>
      <c r="AS176" s="80"/>
    </row>
    <row r="177" spans="1:45" x14ac:dyDescent="0.25">
      <c r="A177" s="61" t="s">
        <v>562</v>
      </c>
      <c r="B177" s="61">
        <v>2</v>
      </c>
      <c r="C177" s="61">
        <v>19</v>
      </c>
      <c r="D177" s="61">
        <f>D176</f>
        <v>2</v>
      </c>
      <c r="E177" s="61">
        <f>E176+1</f>
        <v>3</v>
      </c>
      <c r="F177" s="61">
        <f t="shared" si="20"/>
        <v>4</v>
      </c>
      <c r="G177" s="61">
        <v>1909509</v>
      </c>
      <c r="H177" s="61">
        <v>981</v>
      </c>
      <c r="I177" s="75" t="s">
        <v>411</v>
      </c>
      <c r="J177" s="61">
        <f t="shared" si="19"/>
        <v>1</v>
      </c>
      <c r="K177" s="64" t="s">
        <v>31</v>
      </c>
      <c r="L177" s="61" t="s">
        <v>345</v>
      </c>
      <c r="M177" s="61" t="s">
        <v>86</v>
      </c>
      <c r="N177" s="64">
        <v>5</v>
      </c>
      <c r="O177" s="151">
        <v>10</v>
      </c>
      <c r="P177" s="151">
        <v>20</v>
      </c>
      <c r="Q177" s="61"/>
      <c r="R177" s="79"/>
      <c r="S177" s="152" t="s">
        <v>560</v>
      </c>
      <c r="W177" s="61">
        <v>7.0000000000000007E-2</v>
      </c>
      <c r="X177" s="65"/>
      <c r="Y177" s="79"/>
      <c r="AA177" s="61">
        <v>10000</v>
      </c>
      <c r="AB177" s="61">
        <v>0.15</v>
      </c>
      <c r="AC177" s="61">
        <v>750</v>
      </c>
      <c r="AD177" s="61">
        <v>1</v>
      </c>
      <c r="AE177" s="61">
        <v>32</v>
      </c>
      <c r="AF177" s="61">
        <v>0.56000000000000005</v>
      </c>
      <c r="AG177" s="61">
        <v>6</v>
      </c>
      <c r="AH177" s="79">
        <v>0.63519999999999999</v>
      </c>
      <c r="AI177" s="79">
        <v>0.2797</v>
      </c>
      <c r="AJ177" s="79">
        <v>500</v>
      </c>
      <c r="AK177" s="75">
        <v>17</v>
      </c>
      <c r="AL177" s="61">
        <v>20</v>
      </c>
      <c r="AM177" s="61">
        <v>110</v>
      </c>
      <c r="AN177" s="75" t="s">
        <v>250</v>
      </c>
      <c r="AO177" s="75">
        <v>0.31</v>
      </c>
      <c r="AP177" s="61">
        <v>1.32</v>
      </c>
      <c r="AQ177" s="61">
        <v>1.17</v>
      </c>
      <c r="AR177" s="61" t="s">
        <v>344</v>
      </c>
      <c r="AS177" s="80"/>
    </row>
    <row r="178" spans="1:45" x14ac:dyDescent="0.25">
      <c r="A178" s="61" t="s">
        <v>562</v>
      </c>
      <c r="B178" s="61">
        <v>2</v>
      </c>
      <c r="C178" s="61">
        <v>19</v>
      </c>
      <c r="D178" s="61">
        <f>D177+1</f>
        <v>3</v>
      </c>
      <c r="E178" s="61">
        <v>1</v>
      </c>
      <c r="F178" s="61">
        <f t="shared" si="20"/>
        <v>5</v>
      </c>
      <c r="G178" s="61">
        <v>1909506</v>
      </c>
      <c r="H178" s="61"/>
      <c r="I178" s="75" t="s">
        <v>412</v>
      </c>
      <c r="J178" s="61">
        <f t="shared" si="19"/>
        <v>0</v>
      </c>
      <c r="K178" s="64" t="s">
        <v>33</v>
      </c>
      <c r="L178" s="61" t="s">
        <v>354</v>
      </c>
      <c r="M178" s="61" t="s">
        <v>86</v>
      </c>
      <c r="N178" s="61">
        <v>50</v>
      </c>
      <c r="O178" s="61">
        <v>100</v>
      </c>
      <c r="P178" s="61">
        <v>200</v>
      </c>
      <c r="Q178" s="61"/>
      <c r="R178" s="79"/>
      <c r="S178" s="152" t="s">
        <v>560</v>
      </c>
      <c r="W178" s="61">
        <v>7.0000000000000007E-2</v>
      </c>
      <c r="X178" s="65"/>
      <c r="Y178" s="79"/>
      <c r="AA178" s="61">
        <v>10000</v>
      </c>
      <c r="AB178" s="61">
        <v>0.15</v>
      </c>
      <c r="AC178" s="61">
        <v>750</v>
      </c>
      <c r="AD178" s="61">
        <v>1</v>
      </c>
      <c r="AE178" s="61">
        <v>32</v>
      </c>
      <c r="AF178" s="61">
        <v>0.56000000000000005</v>
      </c>
      <c r="AG178" s="61">
        <v>6</v>
      </c>
      <c r="AH178" s="79">
        <v>0.63519999999999999</v>
      </c>
      <c r="AI178" s="79">
        <v>0.2797</v>
      </c>
      <c r="AJ178" s="79">
        <v>500</v>
      </c>
      <c r="AK178" s="75">
        <v>17</v>
      </c>
      <c r="AL178" s="61">
        <v>20</v>
      </c>
      <c r="AM178" s="61">
        <v>110</v>
      </c>
      <c r="AN178" s="75" t="s">
        <v>250</v>
      </c>
      <c r="AO178" s="75">
        <v>0.31</v>
      </c>
      <c r="AP178" s="61">
        <v>1.32</v>
      </c>
      <c r="AQ178" s="61">
        <v>1.17</v>
      </c>
      <c r="AR178" s="61"/>
      <c r="AS178" s="80"/>
    </row>
    <row r="179" spans="1:45" x14ac:dyDescent="0.25">
      <c r="A179" s="61" t="s">
        <v>562</v>
      </c>
      <c r="B179" s="61">
        <v>2</v>
      </c>
      <c r="C179" s="61">
        <v>19</v>
      </c>
      <c r="D179" s="61">
        <f t="shared" ref="D179:D187" si="21">D178</f>
        <v>3</v>
      </c>
      <c r="E179" s="61">
        <f t="shared" ref="E179:E187" si="22">E178+1</f>
        <v>2</v>
      </c>
      <c r="F179" s="61">
        <f t="shared" si="20"/>
        <v>6</v>
      </c>
      <c r="G179" s="61">
        <v>1900783</v>
      </c>
      <c r="H179" s="61"/>
      <c r="I179" s="75" t="s">
        <v>413</v>
      </c>
      <c r="J179" s="61">
        <f t="shared" si="19"/>
        <v>-1</v>
      </c>
      <c r="K179" s="64" t="s">
        <v>32</v>
      </c>
      <c r="N179" s="64">
        <v>5</v>
      </c>
      <c r="O179" s="151">
        <v>10</v>
      </c>
      <c r="P179" s="151">
        <v>20</v>
      </c>
      <c r="Q179" s="61"/>
      <c r="R179" s="79"/>
      <c r="S179" s="152" t="s">
        <v>560</v>
      </c>
      <c r="W179" s="61">
        <v>7.0000000000000007E-2</v>
      </c>
      <c r="X179" s="65"/>
      <c r="Y179" s="79"/>
      <c r="AA179" s="61">
        <v>10000</v>
      </c>
      <c r="AB179" s="61">
        <v>0.15</v>
      </c>
      <c r="AC179" s="61">
        <v>750</v>
      </c>
      <c r="AD179" s="61">
        <v>1</v>
      </c>
      <c r="AE179" s="61">
        <v>32</v>
      </c>
      <c r="AF179" s="61">
        <v>0.56000000000000005</v>
      </c>
      <c r="AG179" s="61">
        <v>6</v>
      </c>
      <c r="AH179" s="79">
        <v>0.63519999999999999</v>
      </c>
      <c r="AI179" s="79">
        <v>0.2797</v>
      </c>
      <c r="AJ179" s="79">
        <v>500</v>
      </c>
      <c r="AK179" s="75">
        <v>17</v>
      </c>
      <c r="AL179" s="61">
        <v>20</v>
      </c>
      <c r="AM179" s="61">
        <v>110</v>
      </c>
      <c r="AN179" s="75" t="s">
        <v>250</v>
      </c>
      <c r="AO179" s="75">
        <v>0.31</v>
      </c>
      <c r="AP179" s="61">
        <v>1.32</v>
      </c>
      <c r="AQ179" s="61">
        <v>1.17</v>
      </c>
      <c r="AR179" s="61"/>
      <c r="AS179" s="80"/>
    </row>
    <row r="180" spans="1:45" x14ac:dyDescent="0.25">
      <c r="A180" s="61" t="s">
        <v>562</v>
      </c>
      <c r="B180" s="61">
        <v>2</v>
      </c>
      <c r="C180" s="61">
        <v>19</v>
      </c>
      <c r="D180" s="61">
        <f t="shared" si="21"/>
        <v>3</v>
      </c>
      <c r="E180" s="61">
        <f t="shared" si="22"/>
        <v>3</v>
      </c>
      <c r="F180" s="61">
        <f t="shared" si="20"/>
        <v>7</v>
      </c>
      <c r="G180" s="61">
        <v>1900584</v>
      </c>
      <c r="H180" s="61"/>
      <c r="I180" s="75" t="s">
        <v>414</v>
      </c>
      <c r="J180" s="61">
        <f t="shared" si="19"/>
        <v>-1</v>
      </c>
      <c r="K180" s="64" t="s">
        <v>32</v>
      </c>
      <c r="L180" s="61" t="s">
        <v>346</v>
      </c>
      <c r="M180" s="61" t="s">
        <v>86</v>
      </c>
      <c r="N180" s="64">
        <v>5</v>
      </c>
      <c r="O180" s="151">
        <v>10</v>
      </c>
      <c r="P180" s="151">
        <v>20</v>
      </c>
      <c r="Q180" s="61"/>
      <c r="R180" s="79"/>
      <c r="S180" s="152" t="s">
        <v>560</v>
      </c>
      <c r="W180" s="61">
        <v>7.0000000000000007E-2</v>
      </c>
      <c r="X180" s="65"/>
      <c r="Y180" s="79"/>
      <c r="AA180" s="61">
        <v>10000</v>
      </c>
      <c r="AB180" s="61">
        <v>0.15</v>
      </c>
      <c r="AC180" s="61">
        <v>750</v>
      </c>
      <c r="AD180" s="61">
        <v>1</v>
      </c>
      <c r="AE180" s="61">
        <v>32</v>
      </c>
      <c r="AF180" s="61">
        <v>0.56000000000000005</v>
      </c>
      <c r="AG180" s="61">
        <v>6</v>
      </c>
      <c r="AH180" s="79">
        <v>0.63519999999999999</v>
      </c>
      <c r="AI180" s="79">
        <v>0.2797</v>
      </c>
      <c r="AJ180" s="79">
        <v>500</v>
      </c>
      <c r="AK180" s="75">
        <v>17</v>
      </c>
      <c r="AL180" s="61">
        <v>20</v>
      </c>
      <c r="AM180" s="61">
        <v>110</v>
      </c>
      <c r="AN180" s="75" t="s">
        <v>250</v>
      </c>
      <c r="AO180" s="75">
        <v>0.31</v>
      </c>
      <c r="AP180" s="61">
        <v>1.32</v>
      </c>
      <c r="AQ180" s="61">
        <v>1.17</v>
      </c>
      <c r="AR180" s="61"/>
      <c r="AS180" s="80"/>
    </row>
    <row r="181" spans="1:45" x14ac:dyDescent="0.25">
      <c r="A181" s="61" t="s">
        <v>562</v>
      </c>
      <c r="B181" s="61">
        <v>2</v>
      </c>
      <c r="C181" s="61">
        <v>19</v>
      </c>
      <c r="D181" s="61">
        <f t="shared" si="21"/>
        <v>3</v>
      </c>
      <c r="E181" s="61">
        <f t="shared" si="22"/>
        <v>4</v>
      </c>
      <c r="F181" s="61">
        <f t="shared" si="20"/>
        <v>8</v>
      </c>
      <c r="G181" s="61">
        <v>1900596</v>
      </c>
      <c r="H181" s="61"/>
      <c r="I181" s="75" t="s">
        <v>415</v>
      </c>
      <c r="J181" s="61">
        <f t="shared" si="19"/>
        <v>-1</v>
      </c>
      <c r="K181" s="64" t="s">
        <v>32</v>
      </c>
      <c r="N181" s="64">
        <v>5</v>
      </c>
      <c r="O181" s="151">
        <v>10</v>
      </c>
      <c r="P181" s="151">
        <v>20</v>
      </c>
      <c r="Q181" s="61"/>
      <c r="R181" s="79"/>
      <c r="S181" s="152" t="s">
        <v>560</v>
      </c>
      <c r="W181" s="61">
        <v>7.0000000000000007E-2</v>
      </c>
      <c r="X181" s="65"/>
      <c r="Y181" s="79"/>
      <c r="AA181" s="61">
        <v>10000</v>
      </c>
      <c r="AB181" s="61">
        <v>0.15</v>
      </c>
      <c r="AC181" s="61">
        <v>750</v>
      </c>
      <c r="AD181" s="61">
        <v>1</v>
      </c>
      <c r="AE181" s="61">
        <v>32</v>
      </c>
      <c r="AF181" s="61">
        <v>0.56000000000000005</v>
      </c>
      <c r="AG181" s="61">
        <v>6</v>
      </c>
      <c r="AH181" s="79">
        <v>0.63519999999999999</v>
      </c>
      <c r="AI181" s="79">
        <v>0.2797</v>
      </c>
      <c r="AJ181" s="79">
        <v>500</v>
      </c>
      <c r="AK181" s="75">
        <v>17</v>
      </c>
      <c r="AL181" s="61">
        <v>20</v>
      </c>
      <c r="AM181" s="61">
        <v>110</v>
      </c>
      <c r="AN181" s="75" t="s">
        <v>250</v>
      </c>
      <c r="AO181" s="75">
        <v>0.31</v>
      </c>
      <c r="AP181" s="61">
        <v>1.32</v>
      </c>
      <c r="AQ181" s="61">
        <v>1.17</v>
      </c>
      <c r="AR181" s="61"/>
      <c r="AS181" s="80"/>
    </row>
    <row r="182" spans="1:45" x14ac:dyDescent="0.25">
      <c r="A182" s="61" t="s">
        <v>562</v>
      </c>
      <c r="B182" s="61">
        <v>2</v>
      </c>
      <c r="C182" s="61">
        <v>19</v>
      </c>
      <c r="D182" s="61">
        <f t="shared" si="21"/>
        <v>3</v>
      </c>
      <c r="E182" s="61">
        <f t="shared" si="22"/>
        <v>5</v>
      </c>
      <c r="F182" s="61">
        <f t="shared" si="20"/>
        <v>9</v>
      </c>
      <c r="G182" s="61">
        <v>1900590</v>
      </c>
      <c r="H182" s="61"/>
      <c r="I182" s="75" t="s">
        <v>416</v>
      </c>
      <c r="J182" s="61">
        <f t="shared" si="19"/>
        <v>-1</v>
      </c>
      <c r="K182" s="64" t="s">
        <v>32</v>
      </c>
      <c r="L182" s="61" t="s">
        <v>347</v>
      </c>
      <c r="M182" s="61" t="s">
        <v>86</v>
      </c>
      <c r="N182" s="64">
        <v>5</v>
      </c>
      <c r="O182" s="151">
        <v>10</v>
      </c>
      <c r="P182" s="151">
        <v>20</v>
      </c>
      <c r="Q182" s="61"/>
      <c r="R182" s="79"/>
      <c r="S182" s="152" t="s">
        <v>560</v>
      </c>
      <c r="W182" s="61">
        <v>7.0000000000000007E-2</v>
      </c>
      <c r="X182" s="65"/>
      <c r="Y182" s="79"/>
      <c r="AA182" s="61">
        <v>10000</v>
      </c>
      <c r="AB182" s="61">
        <v>0.15</v>
      </c>
      <c r="AC182" s="61">
        <v>750</v>
      </c>
      <c r="AD182" s="61">
        <v>1</v>
      </c>
      <c r="AE182" s="61">
        <v>32</v>
      </c>
      <c r="AF182" s="61">
        <v>0.56000000000000005</v>
      </c>
      <c r="AG182" s="61">
        <v>6</v>
      </c>
      <c r="AH182" s="79">
        <v>0.63519999999999999</v>
      </c>
      <c r="AI182" s="79">
        <v>0.2797</v>
      </c>
      <c r="AJ182" s="79">
        <v>500</v>
      </c>
      <c r="AK182" s="75">
        <v>17</v>
      </c>
      <c r="AL182" s="61">
        <v>20</v>
      </c>
      <c r="AM182" s="61">
        <v>110</v>
      </c>
      <c r="AN182" s="75" t="s">
        <v>250</v>
      </c>
      <c r="AO182" s="75">
        <v>0.31</v>
      </c>
      <c r="AP182" s="61">
        <v>1.32</v>
      </c>
      <c r="AQ182" s="61">
        <v>1.17</v>
      </c>
      <c r="AR182" s="61"/>
      <c r="AS182" s="80"/>
    </row>
    <row r="183" spans="1:45" x14ac:dyDescent="0.25">
      <c r="A183" s="61" t="s">
        <v>562</v>
      </c>
      <c r="B183" s="61">
        <v>2</v>
      </c>
      <c r="C183" s="61">
        <v>19</v>
      </c>
      <c r="D183" s="61">
        <f t="shared" si="21"/>
        <v>3</v>
      </c>
      <c r="E183" s="61">
        <f t="shared" si="22"/>
        <v>6</v>
      </c>
      <c r="F183" s="61">
        <f t="shared" si="20"/>
        <v>10</v>
      </c>
      <c r="G183" s="61">
        <v>1900557</v>
      </c>
      <c r="H183" s="61"/>
      <c r="I183" s="75" t="s">
        <v>580</v>
      </c>
      <c r="J183" s="61">
        <f t="shared" si="19"/>
        <v>-1</v>
      </c>
      <c r="K183" s="64" t="s">
        <v>32</v>
      </c>
      <c r="N183" s="64">
        <v>5</v>
      </c>
      <c r="O183" s="151">
        <v>10</v>
      </c>
      <c r="P183" s="151">
        <v>20</v>
      </c>
      <c r="Q183" s="61"/>
      <c r="R183" s="79"/>
      <c r="S183" s="152" t="s">
        <v>560</v>
      </c>
      <c r="W183" s="61">
        <v>7.0000000000000007E-2</v>
      </c>
      <c r="X183" s="65"/>
      <c r="Y183" s="79"/>
      <c r="AA183" s="61">
        <v>10000</v>
      </c>
      <c r="AB183" s="61">
        <v>0.15</v>
      </c>
      <c r="AC183" s="61">
        <v>750</v>
      </c>
      <c r="AD183" s="61">
        <v>1</v>
      </c>
      <c r="AE183" s="61">
        <v>32</v>
      </c>
      <c r="AF183" s="61">
        <v>0.56000000000000005</v>
      </c>
      <c r="AG183" s="61">
        <v>6</v>
      </c>
      <c r="AH183" s="79">
        <v>0.63519999999999999</v>
      </c>
      <c r="AI183" s="79">
        <v>0.2797</v>
      </c>
      <c r="AJ183" s="79">
        <v>500</v>
      </c>
      <c r="AK183" s="75">
        <v>17</v>
      </c>
      <c r="AL183" s="61">
        <v>20</v>
      </c>
      <c r="AM183" s="61">
        <v>110</v>
      </c>
      <c r="AN183" s="75" t="s">
        <v>250</v>
      </c>
      <c r="AO183" s="75">
        <v>0.31</v>
      </c>
      <c r="AP183" s="61">
        <v>1.32</v>
      </c>
      <c r="AQ183" s="61">
        <v>1.17</v>
      </c>
      <c r="AR183" s="61"/>
      <c r="AS183" s="80"/>
    </row>
    <row r="184" spans="1:45" x14ac:dyDescent="0.25">
      <c r="A184" s="61" t="s">
        <v>562</v>
      </c>
      <c r="B184" s="61">
        <v>2</v>
      </c>
      <c r="C184" s="61">
        <v>19</v>
      </c>
      <c r="D184" s="61">
        <f t="shared" si="21"/>
        <v>3</v>
      </c>
      <c r="E184" s="61">
        <f t="shared" si="22"/>
        <v>7</v>
      </c>
      <c r="F184" s="61">
        <f t="shared" si="20"/>
        <v>11</v>
      </c>
      <c r="G184" s="61">
        <v>1900598</v>
      </c>
      <c r="H184" s="61"/>
      <c r="I184" s="75" t="s">
        <v>417</v>
      </c>
      <c r="J184" s="61">
        <f t="shared" si="19"/>
        <v>-1</v>
      </c>
      <c r="K184" s="64" t="s">
        <v>32</v>
      </c>
      <c r="L184" s="61" t="s">
        <v>348</v>
      </c>
      <c r="M184" s="61" t="s">
        <v>86</v>
      </c>
      <c r="N184" s="64">
        <v>5</v>
      </c>
      <c r="O184" s="151">
        <v>10</v>
      </c>
      <c r="P184" s="151">
        <v>20</v>
      </c>
      <c r="Q184" s="61"/>
      <c r="R184" s="79"/>
      <c r="S184" s="152" t="s">
        <v>560</v>
      </c>
      <c r="W184" s="61">
        <v>7.0000000000000007E-2</v>
      </c>
      <c r="X184" s="65"/>
      <c r="Y184" s="79"/>
      <c r="AA184" s="61">
        <v>10000</v>
      </c>
      <c r="AB184" s="61">
        <v>0.15</v>
      </c>
      <c r="AC184" s="61">
        <v>750</v>
      </c>
      <c r="AD184" s="61">
        <v>1</v>
      </c>
      <c r="AE184" s="61">
        <v>32</v>
      </c>
      <c r="AF184" s="61">
        <v>0.56000000000000005</v>
      </c>
      <c r="AG184" s="61">
        <v>6</v>
      </c>
      <c r="AH184" s="79">
        <v>0.63519999999999999</v>
      </c>
      <c r="AI184" s="79">
        <v>0.2797</v>
      </c>
      <c r="AJ184" s="79">
        <v>500</v>
      </c>
      <c r="AK184" s="75">
        <v>17</v>
      </c>
      <c r="AL184" s="61">
        <v>20</v>
      </c>
      <c r="AM184" s="61">
        <v>110</v>
      </c>
      <c r="AN184" s="75" t="s">
        <v>250</v>
      </c>
      <c r="AO184" s="75">
        <v>0.31</v>
      </c>
      <c r="AP184" s="61">
        <v>1.32</v>
      </c>
      <c r="AQ184" s="61">
        <v>1.17</v>
      </c>
      <c r="AR184" s="61"/>
      <c r="AS184" s="80"/>
    </row>
    <row r="185" spans="1:45" x14ac:dyDescent="0.25">
      <c r="A185" s="61" t="s">
        <v>562</v>
      </c>
      <c r="B185" s="61">
        <v>2</v>
      </c>
      <c r="C185" s="61">
        <v>19</v>
      </c>
      <c r="D185" s="61">
        <f t="shared" si="21"/>
        <v>3</v>
      </c>
      <c r="E185" s="61">
        <f t="shared" si="22"/>
        <v>8</v>
      </c>
      <c r="F185" s="61">
        <f t="shared" si="20"/>
        <v>12</v>
      </c>
      <c r="G185" s="61">
        <v>1900552</v>
      </c>
      <c r="H185" s="61"/>
      <c r="I185" s="75" t="s">
        <v>418</v>
      </c>
      <c r="J185" s="61">
        <f t="shared" si="19"/>
        <v>-1</v>
      </c>
      <c r="K185" s="64" t="s">
        <v>32</v>
      </c>
      <c r="L185" s="61" t="s">
        <v>349</v>
      </c>
      <c r="M185" s="61" t="s">
        <v>86</v>
      </c>
      <c r="N185" s="64">
        <v>5</v>
      </c>
      <c r="O185" s="151">
        <v>10</v>
      </c>
      <c r="P185" s="151">
        <v>20</v>
      </c>
      <c r="Q185" s="61"/>
      <c r="R185" s="79"/>
      <c r="S185" s="152" t="s">
        <v>560</v>
      </c>
      <c r="W185" s="61">
        <v>7.0000000000000007E-2</v>
      </c>
      <c r="X185" s="65"/>
      <c r="Y185" s="79"/>
      <c r="AA185" s="61">
        <v>10000</v>
      </c>
      <c r="AB185" s="61">
        <v>0.15</v>
      </c>
      <c r="AC185" s="61">
        <v>750</v>
      </c>
      <c r="AD185" s="61">
        <v>1</v>
      </c>
      <c r="AE185" s="61">
        <v>32</v>
      </c>
      <c r="AF185" s="61">
        <v>0.56000000000000005</v>
      </c>
      <c r="AG185" s="61">
        <v>6</v>
      </c>
      <c r="AH185" s="79">
        <v>0.63519999999999999</v>
      </c>
      <c r="AI185" s="79">
        <v>0.2797</v>
      </c>
      <c r="AJ185" s="79">
        <v>500</v>
      </c>
      <c r="AK185" s="75">
        <v>17</v>
      </c>
      <c r="AL185" s="61">
        <v>20</v>
      </c>
      <c r="AM185" s="61">
        <v>110</v>
      </c>
      <c r="AN185" s="75" t="s">
        <v>250</v>
      </c>
      <c r="AO185" s="75">
        <v>0.31</v>
      </c>
      <c r="AP185" s="61">
        <v>1.32</v>
      </c>
      <c r="AQ185" s="61">
        <v>1.17</v>
      </c>
      <c r="AR185" s="61"/>
      <c r="AS185" s="80"/>
    </row>
    <row r="186" spans="1:45" x14ac:dyDescent="0.25">
      <c r="A186" s="61" t="s">
        <v>562</v>
      </c>
      <c r="B186" s="61">
        <v>2</v>
      </c>
      <c r="C186" s="61">
        <v>19</v>
      </c>
      <c r="D186" s="61">
        <f t="shared" si="21"/>
        <v>3</v>
      </c>
      <c r="E186" s="61">
        <f t="shared" si="22"/>
        <v>9</v>
      </c>
      <c r="F186" s="61">
        <f t="shared" si="20"/>
        <v>13</v>
      </c>
      <c r="G186" s="61">
        <v>1900572</v>
      </c>
      <c r="H186" s="61"/>
      <c r="I186" s="75" t="s">
        <v>419</v>
      </c>
      <c r="J186" s="61">
        <f t="shared" si="19"/>
        <v>-1</v>
      </c>
      <c r="K186" s="64" t="s">
        <v>32</v>
      </c>
      <c r="L186" s="61" t="s">
        <v>350</v>
      </c>
      <c r="M186" s="61" t="s">
        <v>86</v>
      </c>
      <c r="N186" s="64">
        <v>5</v>
      </c>
      <c r="O186" s="151">
        <v>10</v>
      </c>
      <c r="P186" s="151">
        <v>20</v>
      </c>
      <c r="Q186" s="61"/>
      <c r="R186" s="79"/>
      <c r="S186" s="152" t="s">
        <v>560</v>
      </c>
      <c r="W186" s="61">
        <v>7.0000000000000007E-2</v>
      </c>
      <c r="X186" s="65"/>
      <c r="Y186" s="79"/>
      <c r="AA186" s="61">
        <v>10000</v>
      </c>
      <c r="AB186" s="61">
        <v>0.15</v>
      </c>
      <c r="AC186" s="61">
        <v>750</v>
      </c>
      <c r="AD186" s="61">
        <v>1</v>
      </c>
      <c r="AE186" s="61">
        <v>32</v>
      </c>
      <c r="AF186" s="61">
        <v>0.56000000000000005</v>
      </c>
      <c r="AG186" s="61">
        <v>6</v>
      </c>
      <c r="AH186" s="79">
        <v>0.63519999999999999</v>
      </c>
      <c r="AI186" s="79">
        <v>0.2797</v>
      </c>
      <c r="AJ186" s="79">
        <v>500</v>
      </c>
      <c r="AK186" s="75">
        <v>17</v>
      </c>
      <c r="AL186" s="61">
        <v>20</v>
      </c>
      <c r="AM186" s="61">
        <v>110</v>
      </c>
      <c r="AN186" s="75" t="s">
        <v>250</v>
      </c>
      <c r="AO186" s="75">
        <v>0.31</v>
      </c>
      <c r="AP186" s="61">
        <v>1.32</v>
      </c>
      <c r="AQ186" s="61">
        <v>1.17</v>
      </c>
      <c r="AR186" s="61" t="s">
        <v>351</v>
      </c>
      <c r="AS186" s="80"/>
    </row>
    <row r="187" spans="1:45" x14ac:dyDescent="0.25">
      <c r="A187" s="61" t="s">
        <v>562</v>
      </c>
      <c r="B187" s="61">
        <v>2</v>
      </c>
      <c r="C187" s="61">
        <v>19</v>
      </c>
      <c r="D187" s="61">
        <f t="shared" si="21"/>
        <v>3</v>
      </c>
      <c r="E187" s="61">
        <f t="shared" si="22"/>
        <v>10</v>
      </c>
      <c r="F187" s="61">
        <f t="shared" si="20"/>
        <v>14</v>
      </c>
      <c r="G187" s="61">
        <v>1900571</v>
      </c>
      <c r="H187" s="61"/>
      <c r="I187" s="75" t="s">
        <v>420</v>
      </c>
      <c r="J187" s="61">
        <f t="shared" si="19"/>
        <v>-1</v>
      </c>
      <c r="K187" s="64" t="s">
        <v>32</v>
      </c>
      <c r="L187" s="61" t="s">
        <v>352</v>
      </c>
      <c r="M187" s="61" t="s">
        <v>86</v>
      </c>
      <c r="N187" s="64">
        <v>5</v>
      </c>
      <c r="O187" s="151">
        <v>10</v>
      </c>
      <c r="P187" s="151">
        <v>20</v>
      </c>
      <c r="Q187" s="61"/>
      <c r="R187" s="79"/>
      <c r="S187" s="152" t="s">
        <v>560</v>
      </c>
      <c r="W187" s="61">
        <v>7.0000000000000007E-2</v>
      </c>
      <c r="X187" s="65"/>
      <c r="Y187" s="79"/>
      <c r="AA187" s="61">
        <v>10000</v>
      </c>
      <c r="AB187" s="61">
        <v>0.15</v>
      </c>
      <c r="AC187" s="61">
        <v>750</v>
      </c>
      <c r="AD187" s="61">
        <v>1</v>
      </c>
      <c r="AE187" s="61">
        <v>32</v>
      </c>
      <c r="AF187" s="61">
        <v>0.56000000000000005</v>
      </c>
      <c r="AG187" s="61">
        <v>6</v>
      </c>
      <c r="AH187" s="79">
        <v>0.63519999999999999</v>
      </c>
      <c r="AI187" s="79">
        <v>0.2797</v>
      </c>
      <c r="AJ187" s="79">
        <v>500</v>
      </c>
      <c r="AK187" s="75">
        <v>17</v>
      </c>
      <c r="AL187" s="61">
        <v>20</v>
      </c>
      <c r="AM187" s="61">
        <v>110</v>
      </c>
      <c r="AN187" s="75" t="s">
        <v>250</v>
      </c>
      <c r="AO187" s="75">
        <v>0.31</v>
      </c>
      <c r="AP187" s="61">
        <v>1.32</v>
      </c>
      <c r="AQ187" s="61">
        <v>1.17</v>
      </c>
      <c r="AR187" s="61"/>
      <c r="AS187" s="80"/>
    </row>
    <row r="188" spans="1:45" x14ac:dyDescent="0.25">
      <c r="A188" s="61" t="s">
        <v>562</v>
      </c>
      <c r="B188" s="61">
        <v>2</v>
      </c>
      <c r="C188" s="61">
        <v>19</v>
      </c>
      <c r="D188" s="61">
        <f>D187+1</f>
        <v>4</v>
      </c>
      <c r="E188" s="61">
        <v>1</v>
      </c>
      <c r="F188" s="61">
        <f t="shared" si="20"/>
        <v>15</v>
      </c>
      <c r="G188" s="61">
        <v>1909513</v>
      </c>
      <c r="H188" s="61"/>
      <c r="I188" s="164" t="s">
        <v>421</v>
      </c>
      <c r="J188" s="61">
        <f t="shared" si="19"/>
        <v>0</v>
      </c>
      <c r="K188" s="64" t="s">
        <v>33</v>
      </c>
      <c r="L188" s="61" t="s">
        <v>353</v>
      </c>
      <c r="M188" s="61" t="s">
        <v>86</v>
      </c>
      <c r="N188" s="61">
        <v>50</v>
      </c>
      <c r="O188" s="61">
        <v>100</v>
      </c>
      <c r="P188" s="61">
        <v>200</v>
      </c>
      <c r="Q188" s="61"/>
      <c r="R188" s="79"/>
      <c r="S188" s="152" t="s">
        <v>560</v>
      </c>
      <c r="W188" s="61">
        <v>7.0000000000000007E-2</v>
      </c>
      <c r="X188" s="65"/>
      <c r="Y188" s="79"/>
      <c r="AA188" s="61">
        <v>10000</v>
      </c>
      <c r="AB188" s="61">
        <v>0.15</v>
      </c>
      <c r="AC188" s="61">
        <v>750</v>
      </c>
      <c r="AD188" s="61">
        <v>1</v>
      </c>
      <c r="AE188" s="61">
        <v>32</v>
      </c>
      <c r="AF188" s="61">
        <v>0.56000000000000005</v>
      </c>
      <c r="AG188" s="61">
        <v>6</v>
      </c>
      <c r="AH188" s="79">
        <v>0.63519999999999999</v>
      </c>
      <c r="AI188" s="79">
        <v>0.2797</v>
      </c>
      <c r="AJ188" s="79">
        <v>500</v>
      </c>
      <c r="AK188" s="75">
        <v>17</v>
      </c>
      <c r="AL188" s="61">
        <v>20</v>
      </c>
      <c r="AM188" s="61">
        <v>110</v>
      </c>
      <c r="AN188" s="75" t="s">
        <v>250</v>
      </c>
      <c r="AO188" s="75">
        <v>0.31</v>
      </c>
      <c r="AP188" s="61">
        <v>1.32</v>
      </c>
      <c r="AQ188" s="61">
        <v>1.17</v>
      </c>
      <c r="AR188" s="61" t="s">
        <v>573</v>
      </c>
      <c r="AS188" s="80"/>
    </row>
    <row r="189" spans="1:45" x14ac:dyDescent="0.25">
      <c r="A189" s="61" t="s">
        <v>562</v>
      </c>
      <c r="B189" s="61">
        <v>2</v>
      </c>
      <c r="C189" s="61">
        <v>19</v>
      </c>
      <c r="D189" s="61">
        <f>D188</f>
        <v>4</v>
      </c>
      <c r="E189" s="61">
        <f>E188+1</f>
        <v>2</v>
      </c>
      <c r="F189" s="61">
        <f t="shared" si="20"/>
        <v>16</v>
      </c>
      <c r="G189" s="61">
        <v>1900586</v>
      </c>
      <c r="H189" s="61"/>
      <c r="I189" s="75" t="s">
        <v>422</v>
      </c>
      <c r="J189" s="61">
        <f t="shared" si="19"/>
        <v>-1</v>
      </c>
      <c r="K189" s="64" t="s">
        <v>32</v>
      </c>
      <c r="N189" s="64">
        <v>5</v>
      </c>
      <c r="O189" s="151">
        <v>10</v>
      </c>
      <c r="P189" s="151">
        <v>20</v>
      </c>
      <c r="Q189" s="61"/>
      <c r="R189" s="79"/>
      <c r="S189" s="152" t="s">
        <v>560</v>
      </c>
      <c r="W189" s="61">
        <v>7.0000000000000007E-2</v>
      </c>
      <c r="X189" s="65"/>
      <c r="Y189" s="79"/>
      <c r="AA189" s="61">
        <v>10000</v>
      </c>
      <c r="AB189" s="61">
        <v>0.15</v>
      </c>
      <c r="AC189" s="61">
        <v>750</v>
      </c>
      <c r="AD189" s="61">
        <v>1</v>
      </c>
      <c r="AE189" s="61">
        <v>32</v>
      </c>
      <c r="AF189" s="61">
        <v>0.56000000000000005</v>
      </c>
      <c r="AG189" s="61">
        <v>6</v>
      </c>
      <c r="AH189" s="79">
        <v>0.63519999999999999</v>
      </c>
      <c r="AI189" s="79">
        <v>0.2797</v>
      </c>
      <c r="AJ189" s="79">
        <v>500</v>
      </c>
      <c r="AK189" s="75">
        <v>17</v>
      </c>
      <c r="AL189" s="61">
        <v>20</v>
      </c>
      <c r="AM189" s="61">
        <v>110</v>
      </c>
      <c r="AN189" s="75" t="s">
        <v>250</v>
      </c>
      <c r="AO189" s="75">
        <v>0.31</v>
      </c>
      <c r="AP189" s="61">
        <v>1.32</v>
      </c>
      <c r="AQ189" s="61">
        <v>1.17</v>
      </c>
      <c r="AR189" s="61"/>
      <c r="AS189" s="80"/>
    </row>
    <row r="190" spans="1:45" x14ac:dyDescent="0.25">
      <c r="A190" s="61" t="s">
        <v>562</v>
      </c>
      <c r="B190" s="61">
        <v>2</v>
      </c>
      <c r="C190" s="61">
        <v>19</v>
      </c>
      <c r="D190" s="61">
        <f>D188</f>
        <v>4</v>
      </c>
      <c r="E190" s="61">
        <f>E188+1</f>
        <v>2</v>
      </c>
      <c r="F190" s="61">
        <f>F188+1</f>
        <v>16</v>
      </c>
      <c r="G190" s="61">
        <v>1900575</v>
      </c>
      <c r="H190" s="61"/>
      <c r="I190" s="75" t="s">
        <v>424</v>
      </c>
      <c r="J190" s="61">
        <f t="shared" si="19"/>
        <v>-1</v>
      </c>
      <c r="K190" s="64" t="s">
        <v>32</v>
      </c>
      <c r="L190" s="61" t="s">
        <v>355</v>
      </c>
      <c r="M190" s="61" t="s">
        <v>86</v>
      </c>
      <c r="N190" s="64">
        <v>5</v>
      </c>
      <c r="O190" s="151">
        <v>10</v>
      </c>
      <c r="P190" s="151">
        <v>20</v>
      </c>
      <c r="Q190" s="61"/>
      <c r="R190" s="79"/>
      <c r="S190" s="152" t="s">
        <v>560</v>
      </c>
      <c r="W190" s="61">
        <v>7.0000000000000007E-2</v>
      </c>
      <c r="X190" s="65"/>
      <c r="Y190" s="79"/>
      <c r="AA190" s="61">
        <v>10000</v>
      </c>
      <c r="AB190" s="61">
        <v>0.15</v>
      </c>
      <c r="AC190" s="61">
        <v>750</v>
      </c>
      <c r="AD190" s="61">
        <v>1</v>
      </c>
      <c r="AE190" s="61">
        <v>32</v>
      </c>
      <c r="AF190" s="61">
        <v>0.56000000000000005</v>
      </c>
      <c r="AG190" s="61">
        <v>6</v>
      </c>
      <c r="AH190" s="79">
        <v>0.63519999999999999</v>
      </c>
      <c r="AI190" s="79">
        <v>0.2797</v>
      </c>
      <c r="AJ190" s="79">
        <v>500</v>
      </c>
      <c r="AK190" s="75">
        <v>17</v>
      </c>
      <c r="AL190" s="61">
        <v>20</v>
      </c>
      <c r="AM190" s="61">
        <v>110</v>
      </c>
      <c r="AN190" s="75" t="s">
        <v>250</v>
      </c>
      <c r="AO190" s="75">
        <v>0.31</v>
      </c>
      <c r="AP190" s="61">
        <v>1.32</v>
      </c>
      <c r="AQ190" s="61">
        <v>1.17</v>
      </c>
      <c r="AR190" s="61"/>
      <c r="AS190" s="80"/>
    </row>
    <row r="191" spans="1:45" x14ac:dyDescent="0.25">
      <c r="A191" s="61" t="s">
        <v>562</v>
      </c>
      <c r="B191" s="61">
        <v>2</v>
      </c>
      <c r="C191" s="61">
        <v>19</v>
      </c>
      <c r="D191" s="61">
        <f>D190</f>
        <v>4</v>
      </c>
      <c r="E191" s="61">
        <f>E190+1</f>
        <v>3</v>
      </c>
      <c r="F191" s="61">
        <f>F190+1</f>
        <v>17</v>
      </c>
      <c r="G191" s="61">
        <v>1900585</v>
      </c>
      <c r="H191" s="61"/>
      <c r="I191" s="75" t="s">
        <v>423</v>
      </c>
      <c r="J191" s="61">
        <f t="shared" si="19"/>
        <v>-1</v>
      </c>
      <c r="K191" s="64" t="s">
        <v>32</v>
      </c>
      <c r="N191" s="64">
        <v>5</v>
      </c>
      <c r="O191" s="151">
        <v>10</v>
      </c>
      <c r="P191" s="151">
        <v>20</v>
      </c>
      <c r="Q191" s="61"/>
      <c r="R191" s="79"/>
      <c r="S191" s="152" t="s">
        <v>560</v>
      </c>
      <c r="W191" s="61">
        <v>7.0000000000000007E-2</v>
      </c>
      <c r="X191" s="65"/>
      <c r="Y191" s="79"/>
      <c r="AA191" s="61">
        <v>10000</v>
      </c>
      <c r="AB191" s="61">
        <v>0.15</v>
      </c>
      <c r="AC191" s="61">
        <v>750</v>
      </c>
      <c r="AD191" s="61">
        <v>1</v>
      </c>
      <c r="AE191" s="61">
        <v>32</v>
      </c>
      <c r="AF191" s="61">
        <v>0.56000000000000005</v>
      </c>
      <c r="AG191" s="61">
        <v>6</v>
      </c>
      <c r="AH191" s="79">
        <v>0.63519999999999999</v>
      </c>
      <c r="AI191" s="79">
        <v>0.2797</v>
      </c>
      <c r="AJ191" s="79">
        <v>500</v>
      </c>
      <c r="AK191" s="75">
        <v>17</v>
      </c>
      <c r="AL191" s="61">
        <v>20</v>
      </c>
      <c r="AM191" s="61">
        <v>110</v>
      </c>
      <c r="AN191" s="75" t="s">
        <v>250</v>
      </c>
      <c r="AO191" s="75">
        <v>0.31</v>
      </c>
      <c r="AP191" s="61">
        <v>1.32</v>
      </c>
      <c r="AQ191" s="61">
        <v>1.17</v>
      </c>
      <c r="AR191" s="61"/>
      <c r="AS191" s="80"/>
    </row>
    <row r="192" spans="1:45" x14ac:dyDescent="0.25">
      <c r="A192" s="61" t="s">
        <v>562</v>
      </c>
      <c r="B192" s="61">
        <v>2</v>
      </c>
      <c r="C192" s="61">
        <v>19</v>
      </c>
      <c r="D192" s="61">
        <f>D191+1</f>
        <v>5</v>
      </c>
      <c r="E192" s="61">
        <v>1</v>
      </c>
      <c r="F192" s="61">
        <f t="shared" ref="F192:F206" si="23">F191+1</f>
        <v>18</v>
      </c>
      <c r="G192" s="61">
        <v>1909503</v>
      </c>
      <c r="H192" s="61"/>
      <c r="I192" s="75" t="s">
        <v>425</v>
      </c>
      <c r="J192" s="61">
        <f t="shared" si="19"/>
        <v>0</v>
      </c>
      <c r="K192" s="64" t="s">
        <v>33</v>
      </c>
      <c r="L192" s="61" t="s">
        <v>356</v>
      </c>
      <c r="M192" s="61" t="s">
        <v>86</v>
      </c>
      <c r="N192" s="61">
        <v>50</v>
      </c>
      <c r="O192" s="61">
        <v>100</v>
      </c>
      <c r="P192" s="61">
        <v>200</v>
      </c>
      <c r="Q192" s="61"/>
      <c r="R192" s="79"/>
      <c r="S192" s="152" t="s">
        <v>560</v>
      </c>
      <c r="W192" s="61">
        <v>7.0000000000000007E-2</v>
      </c>
      <c r="X192" s="65"/>
      <c r="Y192" s="79"/>
      <c r="AA192" s="61">
        <v>10000</v>
      </c>
      <c r="AB192" s="61">
        <v>0.15</v>
      </c>
      <c r="AC192" s="61">
        <v>750</v>
      </c>
      <c r="AD192" s="61">
        <v>1</v>
      </c>
      <c r="AE192" s="61">
        <v>32</v>
      </c>
      <c r="AF192" s="61">
        <v>0.56000000000000005</v>
      </c>
      <c r="AG192" s="61">
        <v>6</v>
      </c>
      <c r="AH192" s="79">
        <v>0.63519999999999999</v>
      </c>
      <c r="AI192" s="79">
        <v>0.2797</v>
      </c>
      <c r="AJ192" s="79">
        <v>500</v>
      </c>
      <c r="AK192" s="75">
        <v>17</v>
      </c>
      <c r="AL192" s="61">
        <v>20</v>
      </c>
      <c r="AM192" s="61">
        <v>110</v>
      </c>
      <c r="AN192" s="75" t="s">
        <v>250</v>
      </c>
      <c r="AO192" s="75">
        <v>0.31</v>
      </c>
      <c r="AP192" s="61">
        <v>1.32</v>
      </c>
      <c r="AQ192" s="61">
        <v>1.17</v>
      </c>
      <c r="AR192" s="61"/>
      <c r="AS192" s="80"/>
    </row>
    <row r="193" spans="1:45" x14ac:dyDescent="0.25">
      <c r="A193" s="61" t="s">
        <v>562</v>
      </c>
      <c r="B193" s="61">
        <v>2</v>
      </c>
      <c r="C193" s="61">
        <v>19</v>
      </c>
      <c r="D193" s="61">
        <f>D192</f>
        <v>5</v>
      </c>
      <c r="E193" s="61">
        <f>E192+1</f>
        <v>2</v>
      </c>
      <c r="F193" s="61">
        <f t="shared" si="23"/>
        <v>19</v>
      </c>
      <c r="G193" s="61">
        <v>1900559</v>
      </c>
      <c r="H193" s="61"/>
      <c r="I193" s="75" t="s">
        <v>426</v>
      </c>
      <c r="J193" s="61">
        <f t="shared" si="19"/>
        <v>-1</v>
      </c>
      <c r="K193" s="64" t="s">
        <v>32</v>
      </c>
      <c r="N193" s="64">
        <v>5</v>
      </c>
      <c r="O193" s="151">
        <v>10</v>
      </c>
      <c r="P193" s="151">
        <v>20</v>
      </c>
      <c r="Q193" s="61"/>
      <c r="R193" s="79"/>
      <c r="S193" s="152" t="s">
        <v>560</v>
      </c>
      <c r="W193" s="61">
        <v>7.0000000000000007E-2</v>
      </c>
      <c r="X193" s="65"/>
      <c r="Y193" s="79"/>
      <c r="AA193" s="61">
        <v>10000</v>
      </c>
      <c r="AB193" s="61">
        <v>0.15</v>
      </c>
      <c r="AC193" s="61">
        <v>750</v>
      </c>
      <c r="AD193" s="61">
        <v>1</v>
      </c>
      <c r="AE193" s="61">
        <v>32</v>
      </c>
      <c r="AF193" s="61">
        <v>0.56000000000000005</v>
      </c>
      <c r="AG193" s="61">
        <v>6</v>
      </c>
      <c r="AH193" s="79">
        <v>0.63519999999999999</v>
      </c>
      <c r="AI193" s="79">
        <v>0.2797</v>
      </c>
      <c r="AJ193" s="79">
        <v>500</v>
      </c>
      <c r="AK193" s="75">
        <v>17</v>
      </c>
      <c r="AL193" s="61">
        <v>20</v>
      </c>
      <c r="AM193" s="61">
        <v>110</v>
      </c>
      <c r="AN193" s="75" t="s">
        <v>250</v>
      </c>
      <c r="AO193" s="75">
        <v>0.31</v>
      </c>
      <c r="AP193" s="61">
        <v>1.32</v>
      </c>
      <c r="AQ193" s="61">
        <v>1.17</v>
      </c>
      <c r="AR193" s="61"/>
      <c r="AS193" s="80"/>
    </row>
    <row r="194" spans="1:45" x14ac:dyDescent="0.25">
      <c r="A194" s="61" t="s">
        <v>562</v>
      </c>
      <c r="B194" s="61">
        <v>2</v>
      </c>
      <c r="C194" s="61">
        <v>19</v>
      </c>
      <c r="D194" s="61">
        <f>D193</f>
        <v>5</v>
      </c>
      <c r="E194" s="61">
        <f>E193+1</f>
        <v>3</v>
      </c>
      <c r="F194" s="61">
        <f t="shared" si="23"/>
        <v>20</v>
      </c>
      <c r="G194" s="61">
        <v>1909502</v>
      </c>
      <c r="H194" s="61">
        <v>1079</v>
      </c>
      <c r="I194" s="75" t="s">
        <v>427</v>
      </c>
      <c r="J194" s="61">
        <f t="shared" si="19"/>
        <v>1</v>
      </c>
      <c r="K194" s="64" t="s">
        <v>31</v>
      </c>
      <c r="L194" s="61" t="s">
        <v>358</v>
      </c>
      <c r="M194" s="61" t="s">
        <v>86</v>
      </c>
      <c r="N194" s="64">
        <v>5</v>
      </c>
      <c r="O194" s="151">
        <v>10</v>
      </c>
      <c r="P194" s="151">
        <v>20</v>
      </c>
      <c r="Q194" s="61"/>
      <c r="R194" s="79"/>
      <c r="S194" s="152" t="s">
        <v>560</v>
      </c>
      <c r="W194" s="61">
        <v>7.0000000000000007E-2</v>
      </c>
      <c r="X194" s="65"/>
      <c r="Y194" s="79"/>
      <c r="AA194" s="61">
        <v>10000</v>
      </c>
      <c r="AB194" s="61">
        <v>0.15</v>
      </c>
      <c r="AC194" s="61">
        <v>750</v>
      </c>
      <c r="AD194" s="61">
        <v>1</v>
      </c>
      <c r="AE194" s="61">
        <v>32</v>
      </c>
      <c r="AF194" s="61">
        <v>0.56000000000000005</v>
      </c>
      <c r="AG194" s="61">
        <v>6</v>
      </c>
      <c r="AH194" s="79">
        <v>0.63519999999999999</v>
      </c>
      <c r="AI194" s="79">
        <v>0.2797</v>
      </c>
      <c r="AJ194" s="79">
        <v>500</v>
      </c>
      <c r="AK194" s="75">
        <v>17</v>
      </c>
      <c r="AL194" s="61">
        <v>20</v>
      </c>
      <c r="AM194" s="61">
        <v>110</v>
      </c>
      <c r="AN194" s="75" t="s">
        <v>250</v>
      </c>
      <c r="AO194" s="75">
        <v>0.31</v>
      </c>
      <c r="AP194" s="61">
        <v>1.32</v>
      </c>
      <c r="AQ194" s="61">
        <v>1.17</v>
      </c>
      <c r="AR194" s="61" t="s">
        <v>357</v>
      </c>
      <c r="AS194" s="80"/>
    </row>
    <row r="195" spans="1:45" x14ac:dyDescent="0.25">
      <c r="A195" s="61" t="s">
        <v>562</v>
      </c>
      <c r="B195" s="61">
        <v>2</v>
      </c>
      <c r="C195" s="61">
        <v>19</v>
      </c>
      <c r="D195" s="61">
        <f>D194</f>
        <v>5</v>
      </c>
      <c r="E195" s="61">
        <f>E194+1</f>
        <v>4</v>
      </c>
      <c r="F195" s="61">
        <f t="shared" si="23"/>
        <v>21</v>
      </c>
      <c r="G195" s="61">
        <v>1909512</v>
      </c>
      <c r="H195" s="61">
        <v>1078</v>
      </c>
      <c r="I195" s="75" t="s">
        <v>428</v>
      </c>
      <c r="J195" s="61">
        <f t="shared" si="19"/>
        <v>1</v>
      </c>
      <c r="K195" s="64" t="s">
        <v>31</v>
      </c>
      <c r="L195" s="61" t="s">
        <v>360</v>
      </c>
      <c r="M195" s="61" t="s">
        <v>86</v>
      </c>
      <c r="N195" s="64">
        <v>5</v>
      </c>
      <c r="O195" s="151">
        <v>10</v>
      </c>
      <c r="P195" s="151">
        <v>20</v>
      </c>
      <c r="Q195" s="61"/>
      <c r="R195" s="79"/>
      <c r="S195" s="152" t="s">
        <v>560</v>
      </c>
      <c r="W195" s="61">
        <v>7.0000000000000007E-2</v>
      </c>
      <c r="X195" s="65"/>
      <c r="Y195" s="79"/>
      <c r="AA195" s="61">
        <v>10000</v>
      </c>
      <c r="AB195" s="61">
        <v>0.15</v>
      </c>
      <c r="AC195" s="61">
        <v>750</v>
      </c>
      <c r="AD195" s="61">
        <v>1</v>
      </c>
      <c r="AE195" s="61">
        <v>32</v>
      </c>
      <c r="AF195" s="61">
        <v>0.56000000000000005</v>
      </c>
      <c r="AG195" s="61">
        <v>6</v>
      </c>
      <c r="AH195" s="79">
        <v>0.63519999999999999</v>
      </c>
      <c r="AI195" s="79">
        <v>0.2797</v>
      </c>
      <c r="AJ195" s="79">
        <v>500</v>
      </c>
      <c r="AK195" s="75">
        <v>17</v>
      </c>
      <c r="AL195" s="61">
        <v>20</v>
      </c>
      <c r="AM195" s="61">
        <v>110</v>
      </c>
      <c r="AN195" s="75" t="s">
        <v>250</v>
      </c>
      <c r="AO195" s="75">
        <v>0.31</v>
      </c>
      <c r="AP195" s="61">
        <v>1.32</v>
      </c>
      <c r="AQ195" s="61">
        <v>1.17</v>
      </c>
      <c r="AR195" s="61" t="s">
        <v>359</v>
      </c>
      <c r="AS195" s="80"/>
    </row>
    <row r="196" spans="1:45" x14ac:dyDescent="0.25">
      <c r="A196" s="61" t="s">
        <v>562</v>
      </c>
      <c r="B196" s="61">
        <v>2</v>
      </c>
      <c r="C196" s="61">
        <v>19</v>
      </c>
      <c r="D196" s="61">
        <f>D195+1</f>
        <v>6</v>
      </c>
      <c r="E196" s="61">
        <v>1</v>
      </c>
      <c r="F196" s="61">
        <f t="shared" si="23"/>
        <v>22</v>
      </c>
      <c r="G196" s="61">
        <v>1909508</v>
      </c>
      <c r="H196" s="61"/>
      <c r="I196" s="75" t="s">
        <v>429</v>
      </c>
      <c r="J196" s="61">
        <f t="shared" si="19"/>
        <v>0</v>
      </c>
      <c r="K196" s="64" t="s">
        <v>33</v>
      </c>
      <c r="L196" s="122" t="s">
        <v>561</v>
      </c>
      <c r="M196" s="61" t="s">
        <v>86</v>
      </c>
      <c r="N196" s="61">
        <v>50</v>
      </c>
      <c r="O196" s="61">
        <v>100</v>
      </c>
      <c r="P196" s="61">
        <v>200</v>
      </c>
      <c r="Q196" s="61"/>
      <c r="R196" s="79"/>
      <c r="S196" s="152" t="s">
        <v>560</v>
      </c>
      <c r="W196" s="61">
        <v>7.0000000000000007E-2</v>
      </c>
      <c r="X196" s="65"/>
      <c r="Y196" s="79"/>
      <c r="AA196" s="61">
        <v>10000</v>
      </c>
      <c r="AB196" s="61">
        <v>0.15</v>
      </c>
      <c r="AC196" s="61">
        <v>750</v>
      </c>
      <c r="AD196" s="61">
        <v>1</v>
      </c>
      <c r="AE196" s="61">
        <v>32</v>
      </c>
      <c r="AF196" s="61">
        <v>0.56000000000000005</v>
      </c>
      <c r="AG196" s="61">
        <v>6</v>
      </c>
      <c r="AH196" s="79">
        <v>0.63519999999999999</v>
      </c>
      <c r="AI196" s="79">
        <v>0.2797</v>
      </c>
      <c r="AJ196" s="79">
        <v>500</v>
      </c>
      <c r="AK196" s="75">
        <v>17</v>
      </c>
      <c r="AL196" s="61">
        <v>20</v>
      </c>
      <c r="AM196" s="61">
        <v>110</v>
      </c>
      <c r="AN196" s="75" t="s">
        <v>250</v>
      </c>
      <c r="AO196" s="75">
        <v>0.31</v>
      </c>
      <c r="AP196" s="61">
        <v>1.32</v>
      </c>
      <c r="AQ196" s="61">
        <v>1.17</v>
      </c>
      <c r="AR196" s="61"/>
      <c r="AS196" s="80"/>
    </row>
    <row r="197" spans="1:45" x14ac:dyDescent="0.25">
      <c r="A197" s="61" t="s">
        <v>562</v>
      </c>
      <c r="B197" s="61">
        <v>2</v>
      </c>
      <c r="C197" s="61">
        <v>19</v>
      </c>
      <c r="D197" s="61">
        <f>D196</f>
        <v>6</v>
      </c>
      <c r="E197" s="61">
        <f>E196+1</f>
        <v>2</v>
      </c>
      <c r="F197" s="61">
        <f t="shared" si="23"/>
        <v>23</v>
      </c>
      <c r="G197" s="61">
        <v>1909511</v>
      </c>
      <c r="H197" s="61">
        <v>1075</v>
      </c>
      <c r="I197" s="75" t="s">
        <v>430</v>
      </c>
      <c r="J197" s="61">
        <f t="shared" si="19"/>
        <v>1</v>
      </c>
      <c r="K197" s="64" t="s">
        <v>31</v>
      </c>
      <c r="L197" s="61" t="s">
        <v>361</v>
      </c>
      <c r="M197" s="61" t="s">
        <v>86</v>
      </c>
      <c r="N197" s="64">
        <v>5</v>
      </c>
      <c r="O197" s="151">
        <v>10</v>
      </c>
      <c r="P197" s="151">
        <v>20</v>
      </c>
      <c r="Q197" s="61"/>
      <c r="R197" s="79"/>
      <c r="S197" s="152" t="s">
        <v>560</v>
      </c>
      <c r="W197" s="61">
        <v>7.0000000000000007E-2</v>
      </c>
      <c r="X197" s="65"/>
      <c r="Y197" s="79"/>
      <c r="AA197" s="61">
        <v>10000</v>
      </c>
      <c r="AB197" s="61">
        <v>0.15</v>
      </c>
      <c r="AC197" s="61">
        <v>750</v>
      </c>
      <c r="AD197" s="61">
        <v>1</v>
      </c>
      <c r="AE197" s="61">
        <v>32</v>
      </c>
      <c r="AF197" s="61">
        <v>0.56000000000000005</v>
      </c>
      <c r="AG197" s="61">
        <v>6</v>
      </c>
      <c r="AH197" s="79">
        <v>0.63519999999999999</v>
      </c>
      <c r="AI197" s="79">
        <v>0.2797</v>
      </c>
      <c r="AJ197" s="79">
        <v>500</v>
      </c>
      <c r="AK197" s="75">
        <v>17</v>
      </c>
      <c r="AL197" s="61">
        <v>20</v>
      </c>
      <c r="AM197" s="61">
        <v>110</v>
      </c>
      <c r="AN197" s="75" t="s">
        <v>250</v>
      </c>
      <c r="AO197" s="75">
        <v>0.31</v>
      </c>
      <c r="AP197" s="61">
        <v>1.32</v>
      </c>
      <c r="AQ197" s="61">
        <v>1.17</v>
      </c>
      <c r="AR197" s="61" t="s">
        <v>362</v>
      </c>
      <c r="AS197" s="80"/>
    </row>
    <row r="198" spans="1:45" x14ac:dyDescent="0.25">
      <c r="A198" s="61" t="s">
        <v>562</v>
      </c>
      <c r="B198" s="61">
        <v>2</v>
      </c>
      <c r="C198" s="61">
        <v>19</v>
      </c>
      <c r="D198" s="61">
        <f>D197</f>
        <v>6</v>
      </c>
      <c r="E198" s="61">
        <f>E197+1</f>
        <v>3</v>
      </c>
      <c r="F198" s="61">
        <f t="shared" si="23"/>
        <v>24</v>
      </c>
      <c r="G198" s="61">
        <v>1909501</v>
      </c>
      <c r="H198" s="61">
        <v>906</v>
      </c>
      <c r="I198" s="75" t="s">
        <v>431</v>
      </c>
      <c r="J198" s="61">
        <f t="shared" si="19"/>
        <v>1</v>
      </c>
      <c r="K198" s="64" t="s">
        <v>31</v>
      </c>
      <c r="L198" s="61" t="s">
        <v>364</v>
      </c>
      <c r="M198" s="61" t="s">
        <v>86</v>
      </c>
      <c r="N198" s="64">
        <v>5</v>
      </c>
      <c r="O198" s="151">
        <v>10</v>
      </c>
      <c r="P198" s="151">
        <v>20</v>
      </c>
      <c r="Q198" s="61"/>
      <c r="R198" s="79"/>
      <c r="S198" s="152" t="s">
        <v>560</v>
      </c>
      <c r="W198" s="61">
        <v>7.0000000000000007E-2</v>
      </c>
      <c r="X198" s="65"/>
      <c r="Y198" s="79"/>
      <c r="AA198" s="61">
        <v>10000</v>
      </c>
      <c r="AB198" s="61">
        <v>0.15</v>
      </c>
      <c r="AC198" s="61">
        <v>750</v>
      </c>
      <c r="AD198" s="61">
        <v>1</v>
      </c>
      <c r="AE198" s="61">
        <v>32</v>
      </c>
      <c r="AF198" s="61">
        <v>0.56000000000000005</v>
      </c>
      <c r="AG198" s="61">
        <v>6</v>
      </c>
      <c r="AH198" s="79">
        <v>0.63519999999999999</v>
      </c>
      <c r="AI198" s="79">
        <v>0.2797</v>
      </c>
      <c r="AJ198" s="79">
        <v>500</v>
      </c>
      <c r="AK198" s="75">
        <v>17</v>
      </c>
      <c r="AL198" s="61">
        <v>20</v>
      </c>
      <c r="AM198" s="61">
        <v>110</v>
      </c>
      <c r="AN198" s="75" t="s">
        <v>250</v>
      </c>
      <c r="AO198" s="75">
        <v>0.31</v>
      </c>
      <c r="AP198" s="61">
        <v>1.32</v>
      </c>
      <c r="AQ198" s="61">
        <v>1.17</v>
      </c>
      <c r="AR198" s="61" t="s">
        <v>363</v>
      </c>
      <c r="AS198" s="80"/>
    </row>
    <row r="199" spans="1:45" x14ac:dyDescent="0.25">
      <c r="A199" s="61" t="s">
        <v>562</v>
      </c>
      <c r="B199" s="61">
        <v>2</v>
      </c>
      <c r="C199" s="61">
        <v>19</v>
      </c>
      <c r="D199" s="61">
        <f>D198</f>
        <v>6</v>
      </c>
      <c r="E199" s="61">
        <f>E198+1</f>
        <v>4</v>
      </c>
      <c r="F199" s="61">
        <f t="shared" si="23"/>
        <v>25</v>
      </c>
      <c r="G199" s="61">
        <v>1909510</v>
      </c>
      <c r="H199" s="61">
        <v>6402</v>
      </c>
      <c r="I199" s="75" t="s">
        <v>432</v>
      </c>
      <c r="J199" s="61">
        <f t="shared" si="19"/>
        <v>1</v>
      </c>
      <c r="K199" s="64" t="s">
        <v>31</v>
      </c>
      <c r="L199" s="61" t="s">
        <v>366</v>
      </c>
      <c r="M199" s="61" t="s">
        <v>86</v>
      </c>
      <c r="N199" s="64">
        <v>5</v>
      </c>
      <c r="O199" s="151">
        <v>10</v>
      </c>
      <c r="P199" s="151">
        <v>20</v>
      </c>
      <c r="Q199" s="61"/>
      <c r="R199" s="79"/>
      <c r="S199" s="152" t="s">
        <v>560</v>
      </c>
      <c r="W199" s="61">
        <v>7.0000000000000007E-2</v>
      </c>
      <c r="X199" s="65"/>
      <c r="Y199" s="79"/>
      <c r="AA199" s="61">
        <v>10000</v>
      </c>
      <c r="AB199" s="61">
        <v>0.15</v>
      </c>
      <c r="AC199" s="61">
        <v>750</v>
      </c>
      <c r="AD199" s="61">
        <v>1</v>
      </c>
      <c r="AE199" s="61">
        <v>32</v>
      </c>
      <c r="AF199" s="61">
        <v>0.56000000000000005</v>
      </c>
      <c r="AG199" s="61">
        <v>6</v>
      </c>
      <c r="AH199" s="79">
        <v>0.63519999999999999</v>
      </c>
      <c r="AI199" s="79">
        <v>0.2797</v>
      </c>
      <c r="AJ199" s="79">
        <v>500</v>
      </c>
      <c r="AK199" s="75">
        <v>17</v>
      </c>
      <c r="AL199" s="61">
        <v>20</v>
      </c>
      <c r="AM199" s="61">
        <v>110</v>
      </c>
      <c r="AN199" s="75" t="s">
        <v>250</v>
      </c>
      <c r="AO199" s="75">
        <v>0.31</v>
      </c>
      <c r="AP199" s="61">
        <v>1.32</v>
      </c>
      <c r="AQ199" s="61">
        <v>1.17</v>
      </c>
      <c r="AR199" s="61" t="s">
        <v>365</v>
      </c>
      <c r="AS199" s="80"/>
    </row>
    <row r="200" spans="1:45" x14ac:dyDescent="0.25">
      <c r="A200" s="61" t="s">
        <v>562</v>
      </c>
      <c r="B200" s="61">
        <v>2</v>
      </c>
      <c r="C200" s="61">
        <v>19</v>
      </c>
      <c r="D200" s="61">
        <f>D199</f>
        <v>6</v>
      </c>
      <c r="E200" s="61">
        <f>E199+1</f>
        <v>5</v>
      </c>
      <c r="F200" s="61">
        <f t="shared" si="23"/>
        <v>26</v>
      </c>
      <c r="G200" s="61">
        <v>1909500</v>
      </c>
      <c r="H200" s="61">
        <v>5909</v>
      </c>
      <c r="I200" s="75" t="s">
        <v>433</v>
      </c>
      <c r="J200" s="61">
        <f t="shared" si="19"/>
        <v>1</v>
      </c>
      <c r="K200" s="64" t="s">
        <v>31</v>
      </c>
      <c r="L200" s="61" t="s">
        <v>368</v>
      </c>
      <c r="M200" s="61" t="s">
        <v>86</v>
      </c>
      <c r="N200" s="64">
        <v>5</v>
      </c>
      <c r="O200" s="151">
        <v>10</v>
      </c>
      <c r="P200" s="151">
        <v>20</v>
      </c>
      <c r="Q200" s="61"/>
      <c r="R200" s="79"/>
      <c r="S200" s="152" t="s">
        <v>560</v>
      </c>
      <c r="W200" s="61">
        <v>7.0000000000000007E-2</v>
      </c>
      <c r="X200" s="65"/>
      <c r="Y200" s="79"/>
      <c r="AA200" s="61">
        <v>10000</v>
      </c>
      <c r="AB200" s="61">
        <v>0.15</v>
      </c>
      <c r="AC200" s="61">
        <v>750</v>
      </c>
      <c r="AD200" s="61">
        <v>1</v>
      </c>
      <c r="AE200" s="61">
        <v>32</v>
      </c>
      <c r="AF200" s="61">
        <v>0.56000000000000005</v>
      </c>
      <c r="AG200" s="61">
        <v>6</v>
      </c>
      <c r="AH200" s="79">
        <v>0.63519999999999999</v>
      </c>
      <c r="AI200" s="79">
        <v>0.2797</v>
      </c>
      <c r="AJ200" s="79">
        <v>500</v>
      </c>
      <c r="AK200" s="75">
        <v>17</v>
      </c>
      <c r="AL200" s="61">
        <v>20</v>
      </c>
      <c r="AM200" s="61">
        <v>110</v>
      </c>
      <c r="AN200" s="75" t="s">
        <v>250</v>
      </c>
      <c r="AO200" s="75">
        <v>0.31</v>
      </c>
      <c r="AP200" s="61">
        <v>1.32</v>
      </c>
      <c r="AQ200" s="61">
        <v>1.17</v>
      </c>
      <c r="AR200" s="61" t="s">
        <v>367</v>
      </c>
      <c r="AS200" s="80"/>
    </row>
    <row r="201" spans="1:45" x14ac:dyDescent="0.25">
      <c r="A201" s="61" t="s">
        <v>562</v>
      </c>
      <c r="B201" s="61">
        <v>2</v>
      </c>
      <c r="C201" s="61">
        <v>19</v>
      </c>
      <c r="D201" s="61">
        <f>D200+1</f>
        <v>7</v>
      </c>
      <c r="E201" s="61">
        <v>1</v>
      </c>
      <c r="F201" s="61">
        <f t="shared" si="23"/>
        <v>27</v>
      </c>
      <c r="G201" s="61">
        <v>1909505</v>
      </c>
      <c r="H201" s="61"/>
      <c r="I201" s="75" t="s">
        <v>434</v>
      </c>
      <c r="J201" s="61">
        <f t="shared" si="19"/>
        <v>0</v>
      </c>
      <c r="K201" s="64" t="s">
        <v>33</v>
      </c>
      <c r="L201" s="61" t="s">
        <v>369</v>
      </c>
      <c r="M201" s="61" t="s">
        <v>86</v>
      </c>
      <c r="N201" s="61">
        <v>50</v>
      </c>
      <c r="O201" s="61">
        <v>100</v>
      </c>
      <c r="P201" s="61">
        <v>200</v>
      </c>
      <c r="Q201" s="61"/>
      <c r="R201" s="79"/>
      <c r="S201" s="152" t="s">
        <v>560</v>
      </c>
      <c r="W201" s="61">
        <v>7.0000000000000007E-2</v>
      </c>
      <c r="X201" s="65"/>
      <c r="Y201" s="79"/>
      <c r="AA201" s="61">
        <v>10000</v>
      </c>
      <c r="AB201" s="61">
        <v>0.15</v>
      </c>
      <c r="AC201" s="61">
        <v>750</v>
      </c>
      <c r="AD201" s="61">
        <v>1</v>
      </c>
      <c r="AE201" s="61">
        <v>32</v>
      </c>
      <c r="AF201" s="61">
        <v>0.56000000000000005</v>
      </c>
      <c r="AG201" s="61">
        <v>6</v>
      </c>
      <c r="AH201" s="79">
        <v>0.63519999999999999</v>
      </c>
      <c r="AI201" s="79">
        <v>0.2797</v>
      </c>
      <c r="AJ201" s="79">
        <v>500</v>
      </c>
      <c r="AK201" s="75">
        <v>17</v>
      </c>
      <c r="AL201" s="61">
        <v>20</v>
      </c>
      <c r="AM201" s="61">
        <v>110</v>
      </c>
      <c r="AN201" s="75" t="s">
        <v>250</v>
      </c>
      <c r="AO201" s="75">
        <v>0.31</v>
      </c>
      <c r="AP201" s="61">
        <v>1.32</v>
      </c>
      <c r="AQ201" s="61">
        <v>1.17</v>
      </c>
      <c r="AR201" s="61"/>
      <c r="AS201" s="80"/>
    </row>
    <row r="202" spans="1:45" x14ac:dyDescent="0.25">
      <c r="A202" s="61" t="s">
        <v>562</v>
      </c>
      <c r="B202" s="61">
        <v>2</v>
      </c>
      <c r="C202" s="61">
        <v>19</v>
      </c>
      <c r="D202" s="61">
        <f>D201</f>
        <v>7</v>
      </c>
      <c r="E202" s="61">
        <f>E201+1</f>
        <v>2</v>
      </c>
      <c r="F202" s="61">
        <f t="shared" si="23"/>
        <v>28</v>
      </c>
      <c r="G202" s="61">
        <v>1700604</v>
      </c>
      <c r="H202" s="61"/>
      <c r="I202" s="75" t="s">
        <v>435</v>
      </c>
      <c r="J202" s="61">
        <f t="shared" si="19"/>
        <v>-1</v>
      </c>
      <c r="K202" s="64" t="s">
        <v>32</v>
      </c>
      <c r="L202" s="61" t="s">
        <v>370</v>
      </c>
      <c r="M202" s="61" t="s">
        <v>86</v>
      </c>
      <c r="N202" s="64">
        <v>5</v>
      </c>
      <c r="O202" s="151">
        <v>10</v>
      </c>
      <c r="P202" s="151">
        <v>20</v>
      </c>
      <c r="Q202" s="61"/>
      <c r="R202" s="79"/>
      <c r="S202" s="152" t="s">
        <v>560</v>
      </c>
      <c r="W202" s="61">
        <v>7.0000000000000007E-2</v>
      </c>
      <c r="X202" s="65"/>
      <c r="Y202" s="79"/>
      <c r="AA202" s="61">
        <v>10000</v>
      </c>
      <c r="AB202" s="61">
        <v>0.15</v>
      </c>
      <c r="AC202" s="61">
        <v>750</v>
      </c>
      <c r="AD202" s="61">
        <v>1</v>
      </c>
      <c r="AE202" s="61">
        <v>32</v>
      </c>
      <c r="AF202" s="61">
        <v>0.56000000000000005</v>
      </c>
      <c r="AG202" s="61">
        <v>6</v>
      </c>
      <c r="AH202" s="79">
        <v>0.63519999999999999</v>
      </c>
      <c r="AI202" s="79">
        <v>0.2797</v>
      </c>
      <c r="AJ202" s="79">
        <v>500</v>
      </c>
      <c r="AK202" s="75">
        <v>17</v>
      </c>
      <c r="AL202" s="61">
        <v>20</v>
      </c>
      <c r="AM202" s="61">
        <v>110</v>
      </c>
      <c r="AN202" s="75" t="s">
        <v>250</v>
      </c>
      <c r="AO202" s="75">
        <v>0.31</v>
      </c>
      <c r="AP202" s="61">
        <v>1.32</v>
      </c>
      <c r="AQ202" s="61">
        <v>1.17</v>
      </c>
      <c r="AR202" s="61"/>
      <c r="AS202" s="80"/>
    </row>
    <row r="203" spans="1:45" x14ac:dyDescent="0.25">
      <c r="A203" s="61" t="s">
        <v>562</v>
      </c>
      <c r="B203" s="61">
        <v>2</v>
      </c>
      <c r="C203" s="61">
        <v>19</v>
      </c>
      <c r="D203" s="61">
        <f>D202+1</f>
        <v>8</v>
      </c>
      <c r="E203" s="61">
        <v>1</v>
      </c>
      <c r="F203" s="61">
        <f t="shared" si="23"/>
        <v>29</v>
      </c>
      <c r="G203" s="61">
        <v>1709517</v>
      </c>
      <c r="H203" s="61"/>
      <c r="I203" s="75" t="s">
        <v>436</v>
      </c>
      <c r="J203" s="61">
        <f t="shared" si="19"/>
        <v>0</v>
      </c>
      <c r="K203" s="64" t="s">
        <v>33</v>
      </c>
      <c r="L203" s="61" t="s">
        <v>371</v>
      </c>
      <c r="M203" s="61" t="s">
        <v>86</v>
      </c>
      <c r="N203" s="61">
        <v>50</v>
      </c>
      <c r="O203" s="61">
        <v>100</v>
      </c>
      <c r="P203" s="61">
        <v>200</v>
      </c>
      <c r="Q203" s="61"/>
      <c r="R203" s="79"/>
      <c r="S203" s="152" t="s">
        <v>560</v>
      </c>
      <c r="W203" s="61">
        <v>7.0000000000000007E-2</v>
      </c>
      <c r="X203" s="65"/>
      <c r="Y203" s="79"/>
      <c r="AA203" s="61">
        <v>10000</v>
      </c>
      <c r="AB203" s="61">
        <v>0.15</v>
      </c>
      <c r="AC203" s="61">
        <v>750</v>
      </c>
      <c r="AD203" s="61">
        <v>1</v>
      </c>
      <c r="AE203" s="61">
        <v>32</v>
      </c>
      <c r="AF203" s="61">
        <v>0.56000000000000005</v>
      </c>
      <c r="AG203" s="61">
        <v>6</v>
      </c>
      <c r="AH203" s="79">
        <v>0.63519999999999999</v>
      </c>
      <c r="AI203" s="79">
        <v>0.2797</v>
      </c>
      <c r="AJ203" s="79">
        <v>500</v>
      </c>
      <c r="AK203" s="75">
        <v>17</v>
      </c>
      <c r="AL203" s="61">
        <v>20</v>
      </c>
      <c r="AM203" s="61">
        <v>110</v>
      </c>
      <c r="AN203" s="75" t="s">
        <v>250</v>
      </c>
      <c r="AO203" s="75">
        <v>0.31</v>
      </c>
      <c r="AP203" s="61">
        <v>1.32</v>
      </c>
      <c r="AQ203" s="61">
        <v>1.17</v>
      </c>
      <c r="AR203" s="61"/>
      <c r="AS203" s="80"/>
    </row>
    <row r="204" spans="1:45" x14ac:dyDescent="0.25">
      <c r="A204" s="61" t="s">
        <v>562</v>
      </c>
      <c r="B204" s="61">
        <v>2</v>
      </c>
      <c r="C204" s="61">
        <v>19</v>
      </c>
      <c r="D204" s="61">
        <f>D203</f>
        <v>8</v>
      </c>
      <c r="E204" s="61">
        <f>E203+1</f>
        <v>2</v>
      </c>
      <c r="F204" s="61">
        <f t="shared" si="23"/>
        <v>30</v>
      </c>
      <c r="G204" s="61">
        <v>1700615</v>
      </c>
      <c r="H204" s="61"/>
      <c r="I204" s="75" t="s">
        <v>437</v>
      </c>
      <c r="J204" s="61">
        <f t="shared" si="19"/>
        <v>-1</v>
      </c>
      <c r="K204" s="64" t="s">
        <v>32</v>
      </c>
      <c r="L204" s="61" t="s">
        <v>373</v>
      </c>
      <c r="M204" s="61" t="s">
        <v>86</v>
      </c>
      <c r="N204" s="64">
        <v>5</v>
      </c>
      <c r="O204" s="151">
        <v>10</v>
      </c>
      <c r="P204" s="151">
        <v>20</v>
      </c>
      <c r="Q204" s="61"/>
      <c r="R204" s="79"/>
      <c r="S204" s="152" t="s">
        <v>560</v>
      </c>
      <c r="W204" s="61">
        <v>7.0000000000000007E-2</v>
      </c>
      <c r="X204" s="65"/>
      <c r="Y204" s="79"/>
      <c r="AA204" s="61">
        <v>10000</v>
      </c>
      <c r="AB204" s="61">
        <v>0.15</v>
      </c>
      <c r="AC204" s="61">
        <v>750</v>
      </c>
      <c r="AD204" s="61">
        <v>1</v>
      </c>
      <c r="AE204" s="61">
        <v>32</v>
      </c>
      <c r="AF204" s="61">
        <v>0.56000000000000005</v>
      </c>
      <c r="AG204" s="61">
        <v>6</v>
      </c>
      <c r="AH204" s="79">
        <v>0.63519999999999999</v>
      </c>
      <c r="AI204" s="79">
        <v>0.2797</v>
      </c>
      <c r="AJ204" s="79">
        <v>500</v>
      </c>
      <c r="AK204" s="75">
        <v>17</v>
      </c>
      <c r="AL204" s="61">
        <v>20</v>
      </c>
      <c r="AM204" s="61">
        <v>110</v>
      </c>
      <c r="AN204" s="75" t="s">
        <v>250</v>
      </c>
      <c r="AO204" s="75">
        <v>0.31</v>
      </c>
      <c r="AP204" s="61">
        <v>1.32</v>
      </c>
      <c r="AQ204" s="61">
        <v>1.17</v>
      </c>
      <c r="AR204" s="61"/>
      <c r="AS204" s="80"/>
    </row>
    <row r="205" spans="1:45" x14ac:dyDescent="0.25">
      <c r="A205" s="61" t="s">
        <v>562</v>
      </c>
      <c r="B205" s="61">
        <v>2</v>
      </c>
      <c r="C205" s="61">
        <v>19</v>
      </c>
      <c r="D205" s="61">
        <f>D204+1</f>
        <v>9</v>
      </c>
      <c r="E205" s="61">
        <v>1</v>
      </c>
      <c r="F205" s="61">
        <f t="shared" si="23"/>
        <v>31</v>
      </c>
      <c r="G205" s="61">
        <v>1700900</v>
      </c>
      <c r="H205" s="61"/>
      <c r="I205" s="75" t="s">
        <v>438</v>
      </c>
      <c r="J205" s="61">
        <f t="shared" si="19"/>
        <v>0</v>
      </c>
      <c r="K205" s="64" t="s">
        <v>33</v>
      </c>
      <c r="L205" s="61" t="s">
        <v>372</v>
      </c>
      <c r="M205" s="61" t="s">
        <v>86</v>
      </c>
      <c r="N205" s="61">
        <v>50</v>
      </c>
      <c r="O205" s="61">
        <v>100</v>
      </c>
      <c r="P205" s="61">
        <v>200</v>
      </c>
      <c r="Q205" s="61"/>
      <c r="R205" s="79"/>
      <c r="S205" s="152" t="s">
        <v>560</v>
      </c>
      <c r="W205" s="61">
        <v>7.0000000000000007E-2</v>
      </c>
      <c r="X205" s="65"/>
      <c r="Y205" s="79"/>
      <c r="AA205" s="61">
        <v>10000</v>
      </c>
      <c r="AB205" s="61">
        <v>0.15</v>
      </c>
      <c r="AC205" s="61">
        <v>750</v>
      </c>
      <c r="AD205" s="61">
        <v>1</v>
      </c>
      <c r="AE205" s="61">
        <v>32</v>
      </c>
      <c r="AF205" s="61">
        <v>0.56000000000000005</v>
      </c>
      <c r="AG205" s="61">
        <v>6</v>
      </c>
      <c r="AH205" s="79">
        <v>0.63519999999999999</v>
      </c>
      <c r="AI205" s="79">
        <v>0.2797</v>
      </c>
      <c r="AJ205" s="79">
        <v>500</v>
      </c>
      <c r="AK205" s="75">
        <v>17</v>
      </c>
      <c r="AL205" s="61">
        <v>20</v>
      </c>
      <c r="AM205" s="61">
        <v>110</v>
      </c>
      <c r="AN205" s="75" t="s">
        <v>250</v>
      </c>
      <c r="AO205" s="75">
        <v>0.31</v>
      </c>
      <c r="AP205" s="61">
        <v>1.32</v>
      </c>
      <c r="AQ205" s="61">
        <v>1.17</v>
      </c>
      <c r="AR205" s="61"/>
      <c r="AS205" s="80"/>
    </row>
    <row r="206" spans="1:45" x14ac:dyDescent="0.25">
      <c r="A206" s="61" t="s">
        <v>562</v>
      </c>
      <c r="B206" s="61">
        <v>2</v>
      </c>
      <c r="C206" s="61">
        <v>19</v>
      </c>
      <c r="D206" s="61">
        <f>D205+1</f>
        <v>10</v>
      </c>
      <c r="E206" s="61">
        <v>1</v>
      </c>
      <c r="F206" s="61">
        <f t="shared" si="23"/>
        <v>32</v>
      </c>
      <c r="G206" s="61">
        <v>1709518</v>
      </c>
      <c r="H206" s="61"/>
      <c r="I206" s="75" t="s">
        <v>439</v>
      </c>
      <c r="J206" s="61">
        <f t="shared" si="19"/>
        <v>0</v>
      </c>
      <c r="K206" s="64" t="s">
        <v>33</v>
      </c>
      <c r="L206" s="61" t="s">
        <v>70</v>
      </c>
      <c r="M206" s="61" t="s">
        <v>86</v>
      </c>
      <c r="N206" s="61">
        <v>50</v>
      </c>
      <c r="O206" s="61">
        <v>100</v>
      </c>
      <c r="P206" s="61">
        <v>200</v>
      </c>
      <c r="Q206" s="61"/>
      <c r="R206" s="79"/>
      <c r="S206" s="152" t="s">
        <v>560</v>
      </c>
      <c r="W206" s="61">
        <v>7.0000000000000007E-2</v>
      </c>
      <c r="X206" s="65"/>
      <c r="Y206" s="79"/>
      <c r="AA206" s="61">
        <v>10000</v>
      </c>
      <c r="AB206" s="61">
        <v>0.15</v>
      </c>
      <c r="AC206" s="61">
        <v>750</v>
      </c>
      <c r="AD206" s="61">
        <v>1</v>
      </c>
      <c r="AE206" s="61">
        <v>32</v>
      </c>
      <c r="AF206" s="61">
        <v>0.56000000000000005</v>
      </c>
      <c r="AG206" s="61">
        <v>6</v>
      </c>
      <c r="AH206" s="79">
        <v>0.63519999999999999</v>
      </c>
      <c r="AI206" s="79">
        <v>0.2797</v>
      </c>
      <c r="AJ206" s="79">
        <v>500</v>
      </c>
      <c r="AK206" s="75">
        <v>17</v>
      </c>
      <c r="AL206" s="61">
        <v>20</v>
      </c>
      <c r="AM206" s="61">
        <v>110</v>
      </c>
      <c r="AN206" s="75" t="s">
        <v>250</v>
      </c>
      <c r="AO206" s="75">
        <v>0.31</v>
      </c>
      <c r="AP206" s="61">
        <v>1.32</v>
      </c>
      <c r="AQ206" s="61">
        <v>1.17</v>
      </c>
      <c r="AR206" s="61"/>
      <c r="AS206" s="80"/>
    </row>
    <row r="207" spans="1:45" ht="15.75" thickBot="1" x14ac:dyDescent="0.3">
      <c r="A207" s="61" t="s">
        <v>562</v>
      </c>
      <c r="B207" s="61">
        <v>2</v>
      </c>
      <c r="C207" s="61">
        <v>19</v>
      </c>
      <c r="G207" s="61">
        <v>1720000</v>
      </c>
      <c r="H207" s="75">
        <v>1011</v>
      </c>
      <c r="I207" s="75" t="s">
        <v>590</v>
      </c>
      <c r="Q207" s="61"/>
      <c r="R207" s="79"/>
      <c r="S207" s="152" t="s">
        <v>560</v>
      </c>
      <c r="W207" s="61">
        <v>7.0000000000000007E-2</v>
      </c>
      <c r="X207" s="65"/>
      <c r="Y207" s="79"/>
      <c r="AA207" s="61">
        <v>10000</v>
      </c>
      <c r="AB207" s="61">
        <v>0.15</v>
      </c>
      <c r="AC207" s="61">
        <v>750</v>
      </c>
      <c r="AD207" s="61">
        <v>1</v>
      </c>
      <c r="AE207" s="61">
        <v>32</v>
      </c>
      <c r="AF207" s="61">
        <v>0.56000000000000005</v>
      </c>
      <c r="AG207" s="61">
        <v>6</v>
      </c>
      <c r="AH207" s="79">
        <v>0.63519999999999999</v>
      </c>
      <c r="AI207" s="79">
        <v>0.2797</v>
      </c>
      <c r="AJ207" s="79">
        <v>500</v>
      </c>
      <c r="AK207" s="75">
        <v>17</v>
      </c>
      <c r="AL207" s="61">
        <v>20</v>
      </c>
      <c r="AM207" s="61">
        <v>110</v>
      </c>
      <c r="AN207" s="75" t="s">
        <v>250</v>
      </c>
      <c r="AO207" s="75">
        <v>0.31</v>
      </c>
      <c r="AP207" s="61">
        <v>1.32</v>
      </c>
      <c r="AQ207" s="61">
        <v>1.17</v>
      </c>
      <c r="AR207" s="61"/>
      <c r="AS207" s="80"/>
    </row>
    <row r="208" spans="1:45" s="96" customFormat="1" x14ac:dyDescent="0.25">
      <c r="A208" s="96" t="s">
        <v>37</v>
      </c>
      <c r="B208" s="96">
        <v>2</v>
      </c>
      <c r="C208" s="96">
        <v>79</v>
      </c>
      <c r="D208" s="96">
        <v>1</v>
      </c>
      <c r="E208" s="96">
        <v>1</v>
      </c>
      <c r="F208" s="96">
        <v>1</v>
      </c>
      <c r="G208" s="162">
        <v>7909500</v>
      </c>
      <c r="H208" s="97"/>
      <c r="I208" s="96" t="s">
        <v>612</v>
      </c>
      <c r="J208" s="96">
        <f t="shared" ref="J208:J215" si="24">IF(K208="Inflow",1,IF(K208="Outflow",-1,IF(K208="Gage",0,IF(K208="Top",0,""))))</f>
        <v>0</v>
      </c>
      <c r="K208" s="143" t="s">
        <v>33</v>
      </c>
      <c r="L208" s="163" t="s">
        <v>582</v>
      </c>
      <c r="M208" s="96" t="s">
        <v>86</v>
      </c>
      <c r="N208" s="96">
        <v>5</v>
      </c>
      <c r="O208" s="96">
        <v>10</v>
      </c>
      <c r="P208" s="96">
        <v>20</v>
      </c>
      <c r="Q208" s="99"/>
      <c r="S208" s="147" t="s">
        <v>581</v>
      </c>
      <c r="W208" s="96">
        <v>7.0000000000000007E-2</v>
      </c>
      <c r="X208" s="98"/>
      <c r="Y208" s="99"/>
      <c r="AA208" s="96">
        <v>10000</v>
      </c>
      <c r="AB208" s="96">
        <v>0.15</v>
      </c>
      <c r="AC208" s="96">
        <v>750</v>
      </c>
      <c r="AD208" s="96">
        <v>1</v>
      </c>
      <c r="AE208" s="96">
        <v>32</v>
      </c>
      <c r="AF208" s="96">
        <v>0.56000000000000005</v>
      </c>
      <c r="AG208" s="96">
        <v>6</v>
      </c>
      <c r="AH208" s="99">
        <v>0.63519999999999999</v>
      </c>
      <c r="AI208" s="99">
        <v>0.2797</v>
      </c>
      <c r="AJ208" s="99">
        <v>500</v>
      </c>
      <c r="AK208" s="97">
        <v>17</v>
      </c>
      <c r="AL208" s="96">
        <v>20</v>
      </c>
      <c r="AM208" s="96">
        <v>110</v>
      </c>
      <c r="AN208" s="97" t="s">
        <v>250</v>
      </c>
      <c r="AO208" s="97">
        <v>0.31</v>
      </c>
      <c r="AP208" s="96">
        <v>1.32</v>
      </c>
      <c r="AQ208" s="96">
        <v>1.17</v>
      </c>
      <c r="AR208" s="101"/>
    </row>
    <row r="209" spans="1:44" x14ac:dyDescent="0.25">
      <c r="A209" s="61" t="s">
        <v>37</v>
      </c>
      <c r="B209" s="61">
        <v>2</v>
      </c>
      <c r="C209" s="61">
        <v>79</v>
      </c>
      <c r="D209" s="61">
        <f>D208+1</f>
        <v>2</v>
      </c>
      <c r="E209" s="61">
        <v>1</v>
      </c>
      <c r="F209" s="61">
        <f t="shared" ref="F209:F215" si="25">F208+1</f>
        <v>2</v>
      </c>
      <c r="G209" s="63">
        <v>7909501</v>
      </c>
      <c r="I209" s="61" t="s">
        <v>613</v>
      </c>
      <c r="J209" s="61">
        <f t="shared" si="24"/>
        <v>0</v>
      </c>
      <c r="K209" s="64" t="s">
        <v>33</v>
      </c>
      <c r="L209" s="122" t="s">
        <v>583</v>
      </c>
      <c r="M209" s="61" t="s">
        <v>86</v>
      </c>
      <c r="N209" s="61">
        <v>5</v>
      </c>
      <c r="O209" s="61">
        <v>10</v>
      </c>
      <c r="P209" s="61">
        <v>20</v>
      </c>
      <c r="S209" s="152" t="s">
        <v>581</v>
      </c>
      <c r="W209" s="61">
        <v>7.0000000000000007E-2</v>
      </c>
      <c r="X209" s="65"/>
      <c r="Y209" s="79"/>
      <c r="AA209" s="61">
        <v>10000</v>
      </c>
      <c r="AB209" s="61">
        <v>0.15</v>
      </c>
      <c r="AC209" s="61">
        <v>750</v>
      </c>
      <c r="AD209" s="61">
        <v>1</v>
      </c>
      <c r="AE209" s="61">
        <v>32</v>
      </c>
      <c r="AF209" s="61">
        <v>0.56000000000000005</v>
      </c>
      <c r="AG209" s="61">
        <v>6</v>
      </c>
      <c r="AH209" s="79">
        <v>0.63519999999999999</v>
      </c>
      <c r="AI209" s="79">
        <v>0.2797</v>
      </c>
      <c r="AJ209" s="79">
        <v>500</v>
      </c>
      <c r="AK209" s="75">
        <v>17</v>
      </c>
      <c r="AL209" s="61">
        <v>20</v>
      </c>
      <c r="AM209" s="61">
        <v>110</v>
      </c>
      <c r="AN209" s="75" t="s">
        <v>250</v>
      </c>
      <c r="AO209" s="75">
        <v>0.31</v>
      </c>
      <c r="AP209" s="61">
        <v>1.32</v>
      </c>
      <c r="AQ209" s="61">
        <v>1.17</v>
      </c>
    </row>
    <row r="210" spans="1:44" x14ac:dyDescent="0.25">
      <c r="A210" s="61" t="s">
        <v>37</v>
      </c>
      <c r="B210" s="61">
        <v>2</v>
      </c>
      <c r="C210" s="61">
        <v>79</v>
      </c>
      <c r="D210" s="61">
        <f>D209+1</f>
        <v>3</v>
      </c>
      <c r="E210" s="61">
        <v>1</v>
      </c>
      <c r="F210" s="61">
        <f t="shared" si="25"/>
        <v>3</v>
      </c>
      <c r="G210" s="63">
        <v>7909502</v>
      </c>
      <c r="I210" s="61" t="s">
        <v>615</v>
      </c>
      <c r="J210" s="61">
        <f t="shared" si="24"/>
        <v>0</v>
      </c>
      <c r="K210" s="64" t="s">
        <v>33</v>
      </c>
      <c r="L210" s="122" t="s">
        <v>585</v>
      </c>
      <c r="M210" s="61" t="s">
        <v>86</v>
      </c>
      <c r="N210" s="61">
        <v>5</v>
      </c>
      <c r="O210" s="61">
        <v>10</v>
      </c>
      <c r="P210" s="61">
        <v>20</v>
      </c>
      <c r="S210" s="152" t="s">
        <v>581</v>
      </c>
      <c r="W210" s="61">
        <v>7.0000000000000007E-2</v>
      </c>
      <c r="X210" s="65"/>
      <c r="Y210" s="79"/>
      <c r="AA210" s="61">
        <v>10000</v>
      </c>
      <c r="AB210" s="61">
        <v>0.15</v>
      </c>
      <c r="AC210" s="61">
        <v>750</v>
      </c>
      <c r="AD210" s="61">
        <v>1</v>
      </c>
      <c r="AE210" s="61">
        <v>32</v>
      </c>
      <c r="AF210" s="61">
        <v>0.56000000000000005</v>
      </c>
      <c r="AG210" s="61">
        <v>6</v>
      </c>
      <c r="AH210" s="79">
        <v>0.63519999999999999</v>
      </c>
      <c r="AI210" s="79">
        <v>0.2797</v>
      </c>
      <c r="AJ210" s="79">
        <v>500</v>
      </c>
      <c r="AK210" s="75">
        <v>17</v>
      </c>
      <c r="AL210" s="61">
        <v>20</v>
      </c>
      <c r="AM210" s="61">
        <v>110</v>
      </c>
      <c r="AN210" s="75" t="s">
        <v>250</v>
      </c>
      <c r="AO210" s="75">
        <v>0.31</v>
      </c>
      <c r="AP210" s="61">
        <v>1.32</v>
      </c>
      <c r="AQ210" s="61">
        <v>1.17</v>
      </c>
    </row>
    <row r="211" spans="1:44" x14ac:dyDescent="0.25">
      <c r="A211" s="61" t="s">
        <v>37</v>
      </c>
      <c r="B211" s="61">
        <v>2</v>
      </c>
      <c r="C211" s="61">
        <v>79</v>
      </c>
      <c r="D211" s="61">
        <f>D210</f>
        <v>3</v>
      </c>
      <c r="E211" s="61">
        <f>E210+1</f>
        <v>2</v>
      </c>
      <c r="F211" s="61">
        <f t="shared" si="25"/>
        <v>4</v>
      </c>
      <c r="G211" s="63">
        <v>1420024</v>
      </c>
      <c r="I211" s="61" t="s">
        <v>586</v>
      </c>
      <c r="J211" s="61">
        <f t="shared" si="24"/>
        <v>1</v>
      </c>
      <c r="K211" s="64" t="s">
        <v>31</v>
      </c>
      <c r="N211" s="61">
        <v>5</v>
      </c>
      <c r="O211" s="61">
        <v>10</v>
      </c>
      <c r="P211" s="61">
        <v>20</v>
      </c>
      <c r="S211" s="152" t="s">
        <v>581</v>
      </c>
      <c r="W211" s="61">
        <v>7.0000000000000007E-2</v>
      </c>
      <c r="X211" s="65"/>
      <c r="Y211" s="79"/>
      <c r="AA211" s="61">
        <v>10000</v>
      </c>
      <c r="AB211" s="61">
        <v>0.15</v>
      </c>
      <c r="AC211" s="61">
        <v>750</v>
      </c>
      <c r="AD211" s="61">
        <v>1</v>
      </c>
      <c r="AE211" s="61">
        <v>32</v>
      </c>
      <c r="AF211" s="61">
        <v>0.56000000000000005</v>
      </c>
      <c r="AG211" s="61">
        <v>6</v>
      </c>
      <c r="AH211" s="79">
        <v>0.63519999999999999</v>
      </c>
      <c r="AI211" s="79">
        <v>0.2797</v>
      </c>
      <c r="AJ211" s="79">
        <v>500</v>
      </c>
      <c r="AK211" s="75">
        <v>17</v>
      </c>
      <c r="AL211" s="61">
        <v>20</v>
      </c>
      <c r="AM211" s="61">
        <v>110</v>
      </c>
      <c r="AN211" s="75" t="s">
        <v>250</v>
      </c>
      <c r="AO211" s="75">
        <v>0.31</v>
      </c>
      <c r="AP211" s="61">
        <v>1.32</v>
      </c>
      <c r="AQ211" s="61">
        <v>1.17</v>
      </c>
    </row>
    <row r="212" spans="1:44" x14ac:dyDescent="0.25">
      <c r="A212" s="61" t="s">
        <v>37</v>
      </c>
      <c r="B212" s="61">
        <v>2</v>
      </c>
      <c r="C212" s="61">
        <v>79</v>
      </c>
      <c r="D212" s="61">
        <f>D211</f>
        <v>3</v>
      </c>
      <c r="E212" s="61">
        <f>E211+1</f>
        <v>3</v>
      </c>
      <c r="F212" s="61">
        <f t="shared" si="25"/>
        <v>5</v>
      </c>
      <c r="G212" s="63">
        <v>1400657</v>
      </c>
      <c r="I212" s="61" t="s">
        <v>616</v>
      </c>
      <c r="J212" s="61">
        <f t="shared" si="24"/>
        <v>-1</v>
      </c>
      <c r="K212" s="64" t="s">
        <v>32</v>
      </c>
      <c r="L212" s="122" t="s">
        <v>587</v>
      </c>
      <c r="M212" s="61" t="s">
        <v>87</v>
      </c>
      <c r="N212" s="61">
        <v>5</v>
      </c>
      <c r="O212" s="61">
        <v>10</v>
      </c>
      <c r="P212" s="61">
        <v>20</v>
      </c>
      <c r="S212" s="152" t="s">
        <v>581</v>
      </c>
      <c r="W212" s="61">
        <v>7.0000000000000007E-2</v>
      </c>
      <c r="X212" s="65"/>
      <c r="Y212" s="79"/>
      <c r="AA212" s="61">
        <v>10000</v>
      </c>
      <c r="AB212" s="61">
        <v>0.15</v>
      </c>
      <c r="AC212" s="61">
        <v>750</v>
      </c>
      <c r="AD212" s="61">
        <v>1</v>
      </c>
      <c r="AE212" s="61">
        <v>32</v>
      </c>
      <c r="AF212" s="61">
        <v>0.56000000000000005</v>
      </c>
      <c r="AG212" s="61">
        <v>6</v>
      </c>
      <c r="AH212" s="79">
        <v>0.63519999999999999</v>
      </c>
      <c r="AI212" s="79">
        <v>0.2797</v>
      </c>
      <c r="AJ212" s="79">
        <v>500</v>
      </c>
      <c r="AK212" s="75">
        <v>17</v>
      </c>
      <c r="AL212" s="61">
        <v>20</v>
      </c>
      <c r="AM212" s="61">
        <v>110</v>
      </c>
      <c r="AN212" s="75" t="s">
        <v>250</v>
      </c>
      <c r="AO212" s="75">
        <v>0.31</v>
      </c>
      <c r="AP212" s="61">
        <v>1.32</v>
      </c>
      <c r="AQ212" s="61">
        <v>1.17</v>
      </c>
    </row>
    <row r="213" spans="1:44" x14ac:dyDescent="0.25">
      <c r="A213" s="61" t="s">
        <v>37</v>
      </c>
      <c r="B213" s="61">
        <v>2</v>
      </c>
      <c r="C213" s="61">
        <v>79</v>
      </c>
      <c r="D213" s="61">
        <f>D212+1</f>
        <v>4</v>
      </c>
      <c r="E213" s="61">
        <v>1</v>
      </c>
      <c r="F213" s="61">
        <f t="shared" si="25"/>
        <v>6</v>
      </c>
      <c r="G213" s="63">
        <v>1409509</v>
      </c>
      <c r="I213" s="61" t="s">
        <v>617</v>
      </c>
      <c r="J213" s="61">
        <f t="shared" si="24"/>
        <v>0</v>
      </c>
      <c r="K213" s="64" t="s">
        <v>33</v>
      </c>
      <c r="L213" s="122" t="s">
        <v>588</v>
      </c>
      <c r="M213" s="61" t="s">
        <v>86</v>
      </c>
      <c r="N213" s="61">
        <v>5</v>
      </c>
      <c r="O213" s="61">
        <v>10</v>
      </c>
      <c r="P213" s="61">
        <v>20</v>
      </c>
      <c r="S213" s="152" t="s">
        <v>581</v>
      </c>
      <c r="W213" s="61">
        <v>7.0000000000000007E-2</v>
      </c>
      <c r="X213" s="65"/>
      <c r="Y213" s="79"/>
      <c r="AA213" s="61">
        <v>10000</v>
      </c>
      <c r="AB213" s="61">
        <v>0.15</v>
      </c>
      <c r="AC213" s="61">
        <v>750</v>
      </c>
      <c r="AD213" s="61">
        <v>1</v>
      </c>
      <c r="AE213" s="61">
        <v>32</v>
      </c>
      <c r="AF213" s="61">
        <v>0.56000000000000005</v>
      </c>
      <c r="AG213" s="61">
        <v>6</v>
      </c>
      <c r="AH213" s="79">
        <v>0.63519999999999999</v>
      </c>
      <c r="AI213" s="79">
        <v>0.2797</v>
      </c>
      <c r="AJ213" s="79">
        <v>500</v>
      </c>
      <c r="AK213" s="75">
        <v>17</v>
      </c>
      <c r="AL213" s="61">
        <v>20</v>
      </c>
      <c r="AM213" s="61">
        <v>110</v>
      </c>
      <c r="AN213" s="75" t="s">
        <v>250</v>
      </c>
      <c r="AO213" s="75">
        <v>0.31</v>
      </c>
      <c r="AP213" s="61">
        <v>1.32</v>
      </c>
      <c r="AQ213" s="61">
        <v>1.17</v>
      </c>
    </row>
    <row r="214" spans="1:44" x14ac:dyDescent="0.25">
      <c r="A214" s="61" t="s">
        <v>37</v>
      </c>
      <c r="B214" s="61">
        <v>2</v>
      </c>
      <c r="C214" s="61">
        <v>79</v>
      </c>
      <c r="D214" s="61">
        <f>D213</f>
        <v>4</v>
      </c>
      <c r="E214" s="61">
        <f>E213+1</f>
        <v>2</v>
      </c>
      <c r="F214" s="61">
        <f t="shared" si="25"/>
        <v>7</v>
      </c>
      <c r="G214" s="63">
        <v>1400661</v>
      </c>
      <c r="I214" s="61" t="s">
        <v>618</v>
      </c>
      <c r="J214" s="61">
        <f t="shared" si="24"/>
        <v>-1</v>
      </c>
      <c r="K214" s="64" t="s">
        <v>32</v>
      </c>
      <c r="L214" s="122" t="s">
        <v>589</v>
      </c>
      <c r="M214" s="61" t="s">
        <v>86</v>
      </c>
      <c r="N214" s="61">
        <v>5</v>
      </c>
      <c r="O214" s="61">
        <v>10</v>
      </c>
      <c r="P214" s="61">
        <v>20</v>
      </c>
      <c r="S214" s="152" t="s">
        <v>581</v>
      </c>
      <c r="W214" s="61">
        <v>7.0000000000000007E-2</v>
      </c>
      <c r="X214" s="65"/>
      <c r="Y214" s="79"/>
      <c r="AA214" s="61">
        <v>10000</v>
      </c>
      <c r="AB214" s="61">
        <v>0.15</v>
      </c>
      <c r="AC214" s="61">
        <v>750</v>
      </c>
      <c r="AD214" s="61">
        <v>1</v>
      </c>
      <c r="AE214" s="61">
        <v>32</v>
      </c>
      <c r="AF214" s="61">
        <v>0.56000000000000005</v>
      </c>
      <c r="AG214" s="61">
        <v>6</v>
      </c>
      <c r="AH214" s="79">
        <v>0.63519999999999999</v>
      </c>
      <c r="AI214" s="79">
        <v>0.2797</v>
      </c>
      <c r="AJ214" s="79">
        <v>500</v>
      </c>
      <c r="AK214" s="75">
        <v>17</v>
      </c>
      <c r="AL214" s="61">
        <v>20</v>
      </c>
      <c r="AM214" s="61">
        <v>110</v>
      </c>
      <c r="AN214" s="75" t="s">
        <v>250</v>
      </c>
      <c r="AO214" s="75">
        <v>0.31</v>
      </c>
      <c r="AP214" s="61">
        <v>1.32</v>
      </c>
      <c r="AQ214" s="61">
        <v>1.17</v>
      </c>
    </row>
    <row r="215" spans="1:44" x14ac:dyDescent="0.25">
      <c r="A215" s="61" t="s">
        <v>37</v>
      </c>
      <c r="B215" s="61">
        <v>2</v>
      </c>
      <c r="C215" s="61">
        <v>79</v>
      </c>
      <c r="D215" s="61">
        <f>D214+1</f>
        <v>5</v>
      </c>
      <c r="E215" s="61">
        <v>1</v>
      </c>
      <c r="F215" s="61">
        <f t="shared" si="25"/>
        <v>8</v>
      </c>
      <c r="G215" s="63">
        <v>1409506</v>
      </c>
      <c r="I215" s="61" t="s">
        <v>619</v>
      </c>
      <c r="J215" s="61">
        <f t="shared" si="24"/>
        <v>0</v>
      </c>
      <c r="K215" s="64" t="s">
        <v>33</v>
      </c>
      <c r="L215" s="122" t="s">
        <v>40</v>
      </c>
      <c r="M215" s="61" t="s">
        <v>86</v>
      </c>
      <c r="N215" s="61">
        <v>5</v>
      </c>
      <c r="O215" s="61">
        <v>10</v>
      </c>
      <c r="P215" s="61">
        <v>20</v>
      </c>
      <c r="S215" s="152" t="s">
        <v>581</v>
      </c>
      <c r="W215" s="61">
        <v>7.0000000000000007E-2</v>
      </c>
      <c r="X215" s="65"/>
      <c r="Y215" s="79"/>
      <c r="AA215" s="61">
        <v>10000</v>
      </c>
      <c r="AB215" s="61">
        <v>0.15</v>
      </c>
      <c r="AC215" s="61">
        <v>750</v>
      </c>
      <c r="AD215" s="61">
        <v>1</v>
      </c>
      <c r="AE215" s="61">
        <v>32</v>
      </c>
      <c r="AF215" s="61">
        <v>0.56000000000000005</v>
      </c>
      <c r="AG215" s="61">
        <v>6</v>
      </c>
      <c r="AH215" s="79">
        <v>0.63519999999999999</v>
      </c>
      <c r="AI215" s="79">
        <v>0.2797</v>
      </c>
      <c r="AJ215" s="79">
        <v>500</v>
      </c>
      <c r="AK215" s="75">
        <v>17</v>
      </c>
      <c r="AL215" s="61">
        <v>20</v>
      </c>
      <c r="AM215" s="61">
        <v>110</v>
      </c>
      <c r="AN215" s="75" t="s">
        <v>250</v>
      </c>
      <c r="AO215" s="75">
        <v>0.31</v>
      </c>
      <c r="AP215" s="61">
        <v>1.32</v>
      </c>
      <c r="AQ215" s="61">
        <v>1.17</v>
      </c>
    </row>
    <row r="216" spans="1:44" ht="15.75" thickBot="1" x14ac:dyDescent="0.3">
      <c r="A216" s="61" t="s">
        <v>37</v>
      </c>
      <c r="B216" s="61">
        <v>2</v>
      </c>
      <c r="C216" s="61">
        <v>79</v>
      </c>
      <c r="G216" s="61">
        <v>1420022</v>
      </c>
      <c r="H216" s="75">
        <v>937</v>
      </c>
      <c r="I216" s="61" t="s">
        <v>591</v>
      </c>
      <c r="S216" s="152" t="s">
        <v>581</v>
      </c>
      <c r="W216" s="61">
        <v>7.0000000000000007E-2</v>
      </c>
      <c r="X216" s="65"/>
      <c r="Y216" s="79"/>
      <c r="AA216" s="61">
        <v>10000</v>
      </c>
      <c r="AB216" s="61">
        <v>0.15</v>
      </c>
      <c r="AC216" s="61">
        <v>750</v>
      </c>
      <c r="AD216" s="61">
        <v>1</v>
      </c>
      <c r="AE216" s="61">
        <v>32</v>
      </c>
      <c r="AF216" s="61">
        <v>0.56000000000000005</v>
      </c>
      <c r="AG216" s="61">
        <v>6</v>
      </c>
      <c r="AH216" s="79">
        <v>0.63519999999999999</v>
      </c>
      <c r="AI216" s="79">
        <v>0.2797</v>
      </c>
      <c r="AJ216" s="79">
        <v>500</v>
      </c>
      <c r="AK216" s="75">
        <v>17</v>
      </c>
      <c r="AL216" s="61">
        <v>20</v>
      </c>
      <c r="AM216" s="61">
        <v>110</v>
      </c>
      <c r="AN216" s="75" t="s">
        <v>250</v>
      </c>
      <c r="AO216" s="75">
        <v>0.31</v>
      </c>
      <c r="AP216" s="61">
        <v>1.32</v>
      </c>
      <c r="AQ216" s="61">
        <v>1.17</v>
      </c>
    </row>
    <row r="217" spans="1:44" s="96" customFormat="1" x14ac:dyDescent="0.25">
      <c r="A217" s="96" t="s">
        <v>592</v>
      </c>
      <c r="B217" s="96">
        <v>2</v>
      </c>
      <c r="C217" s="96">
        <v>16</v>
      </c>
      <c r="D217" s="96">
        <v>1</v>
      </c>
      <c r="E217" s="96">
        <v>1</v>
      </c>
      <c r="F217" s="96">
        <v>1</v>
      </c>
      <c r="G217" s="162">
        <v>1609501</v>
      </c>
      <c r="H217" s="97"/>
      <c r="I217" s="96" t="s">
        <v>620</v>
      </c>
      <c r="J217" s="96">
        <f>IF(K217="Inflow",1,IF(K217="Outflow",-1,IF(K217="Gage",0,IF(K217="Top",0,""))))</f>
        <v>0</v>
      </c>
      <c r="K217" s="143" t="s">
        <v>33</v>
      </c>
      <c r="L217" s="163" t="s">
        <v>593</v>
      </c>
      <c r="M217" s="96" t="s">
        <v>86</v>
      </c>
      <c r="N217" s="96">
        <v>5</v>
      </c>
      <c r="O217" s="96">
        <v>10</v>
      </c>
      <c r="P217" s="96">
        <v>20</v>
      </c>
      <c r="Q217" s="99"/>
      <c r="S217" s="147" t="s">
        <v>594</v>
      </c>
      <c r="W217" s="96">
        <v>7.0000000000000007E-2</v>
      </c>
      <c r="X217" s="98"/>
      <c r="Y217" s="99"/>
      <c r="AA217" s="96">
        <v>10000</v>
      </c>
      <c r="AB217" s="96">
        <v>0.15</v>
      </c>
      <c r="AC217" s="96">
        <v>750</v>
      </c>
      <c r="AD217" s="96">
        <v>1</v>
      </c>
      <c r="AE217" s="96">
        <v>32</v>
      </c>
      <c r="AF217" s="96">
        <v>0.56000000000000005</v>
      </c>
      <c r="AG217" s="96">
        <v>6</v>
      </c>
      <c r="AH217" s="99">
        <v>0.63519999999999999</v>
      </c>
      <c r="AI217" s="99">
        <v>0.2797</v>
      </c>
      <c r="AJ217" s="99">
        <v>500</v>
      </c>
      <c r="AK217" s="97">
        <v>17</v>
      </c>
      <c r="AL217" s="96">
        <v>20</v>
      </c>
      <c r="AM217" s="96">
        <v>110</v>
      </c>
      <c r="AN217" s="97" t="s">
        <v>250</v>
      </c>
      <c r="AO217" s="97">
        <v>0.31</v>
      </c>
      <c r="AP217" s="96">
        <v>1.32</v>
      </c>
      <c r="AQ217" s="96">
        <v>1.17</v>
      </c>
      <c r="AR217" s="101"/>
    </row>
    <row r="218" spans="1:44" x14ac:dyDescent="0.25">
      <c r="A218" s="61" t="s">
        <v>592</v>
      </c>
      <c r="B218" s="61">
        <v>2</v>
      </c>
      <c r="C218" s="61">
        <v>16</v>
      </c>
      <c r="D218" s="61">
        <f>D217+1</f>
        <v>2</v>
      </c>
      <c r="E218" s="61">
        <v>1</v>
      </c>
      <c r="F218" s="61">
        <f t="shared" ref="F218:F220" si="26">F217+1</f>
        <v>2</v>
      </c>
      <c r="G218" s="63">
        <v>1609502</v>
      </c>
      <c r="I218" s="61" t="s">
        <v>623</v>
      </c>
      <c r="J218" s="61">
        <f>IF(K218="Inflow",1,IF(K218="Outflow",-1,IF(K218="Gage",0,IF(K218="Top",0,""))))</f>
        <v>0</v>
      </c>
      <c r="K218" s="64" t="s">
        <v>33</v>
      </c>
      <c r="L218" s="122" t="s">
        <v>597</v>
      </c>
      <c r="M218" s="63" t="s">
        <v>86</v>
      </c>
      <c r="N218" s="61">
        <v>5</v>
      </c>
      <c r="O218" s="61">
        <v>10</v>
      </c>
      <c r="P218" s="61">
        <v>20</v>
      </c>
      <c r="S218" s="152" t="s">
        <v>594</v>
      </c>
      <c r="W218" s="61">
        <v>7.0000000000000007E-2</v>
      </c>
      <c r="X218" s="65"/>
      <c r="Y218" s="79"/>
      <c r="AA218" s="61">
        <v>10000</v>
      </c>
      <c r="AB218" s="61">
        <v>0.15</v>
      </c>
      <c r="AC218" s="61">
        <v>750</v>
      </c>
      <c r="AD218" s="61">
        <v>1</v>
      </c>
      <c r="AE218" s="61">
        <v>32</v>
      </c>
      <c r="AF218" s="61">
        <v>0.56000000000000005</v>
      </c>
      <c r="AG218" s="61">
        <v>6</v>
      </c>
      <c r="AH218" s="79">
        <v>0.63519999999999999</v>
      </c>
      <c r="AI218" s="79">
        <v>0.2797</v>
      </c>
      <c r="AJ218" s="79">
        <v>500</v>
      </c>
      <c r="AK218" s="75">
        <v>17</v>
      </c>
      <c r="AL218" s="61">
        <v>20</v>
      </c>
      <c r="AM218" s="61">
        <v>110</v>
      </c>
      <c r="AN218" s="75" t="s">
        <v>250</v>
      </c>
      <c r="AO218" s="75">
        <v>0.31</v>
      </c>
      <c r="AP218" s="61">
        <v>1.32</v>
      </c>
      <c r="AQ218" s="61">
        <v>1.17</v>
      </c>
    </row>
    <row r="219" spans="1:44" x14ac:dyDescent="0.25">
      <c r="A219" s="61" t="s">
        <v>592</v>
      </c>
      <c r="B219" s="61">
        <v>2</v>
      </c>
      <c r="C219" s="61">
        <v>16</v>
      </c>
      <c r="D219" s="61">
        <f t="shared" ref="D219:D220" si="27">D218+1</f>
        <v>3</v>
      </c>
      <c r="E219" s="61">
        <v>1</v>
      </c>
      <c r="F219" s="61">
        <f t="shared" si="26"/>
        <v>3</v>
      </c>
      <c r="G219" s="63">
        <v>1609506</v>
      </c>
      <c r="I219" s="61" t="s">
        <v>630</v>
      </c>
      <c r="J219" s="61">
        <f>IF(K219="Inflow",1,IF(K219="Outflow",-1,IF(K219="Gage",0,IF(K219="Top",0,""))))</f>
        <v>0</v>
      </c>
      <c r="K219" s="64" t="s">
        <v>33</v>
      </c>
      <c r="L219" s="122" t="s">
        <v>604</v>
      </c>
      <c r="M219" s="63" t="s">
        <v>86</v>
      </c>
      <c r="N219" s="61">
        <v>5</v>
      </c>
      <c r="O219" s="61">
        <v>10</v>
      </c>
      <c r="P219" s="61">
        <v>20</v>
      </c>
      <c r="S219" s="152" t="s">
        <v>594</v>
      </c>
      <c r="W219" s="61">
        <v>7.0000000000000007E-2</v>
      </c>
      <c r="X219" s="65"/>
      <c r="Y219" s="79"/>
      <c r="AA219" s="61">
        <v>10000</v>
      </c>
      <c r="AB219" s="61">
        <v>0.15</v>
      </c>
      <c r="AC219" s="61">
        <v>750</v>
      </c>
      <c r="AD219" s="61">
        <v>1</v>
      </c>
      <c r="AE219" s="61">
        <v>32</v>
      </c>
      <c r="AF219" s="61">
        <v>0.56000000000000005</v>
      </c>
      <c r="AG219" s="61">
        <v>6</v>
      </c>
      <c r="AH219" s="79">
        <v>0.63519999999999999</v>
      </c>
      <c r="AI219" s="79">
        <v>0.2797</v>
      </c>
      <c r="AJ219" s="79">
        <v>500</v>
      </c>
      <c r="AK219" s="75">
        <v>17</v>
      </c>
      <c r="AL219" s="61">
        <v>20</v>
      </c>
      <c r="AM219" s="61">
        <v>110</v>
      </c>
      <c r="AN219" s="75" t="s">
        <v>250</v>
      </c>
      <c r="AO219" s="75">
        <v>0.31</v>
      </c>
      <c r="AP219" s="61">
        <v>1.32</v>
      </c>
      <c r="AQ219" s="61">
        <v>1.17</v>
      </c>
    </row>
    <row r="220" spans="1:44" x14ac:dyDescent="0.25">
      <c r="A220" s="61" t="s">
        <v>592</v>
      </c>
      <c r="B220" s="61">
        <v>2</v>
      </c>
      <c r="C220" s="61">
        <v>16</v>
      </c>
      <c r="D220" s="61">
        <f t="shared" si="27"/>
        <v>4</v>
      </c>
      <c r="E220" s="61">
        <v>1</v>
      </c>
      <c r="F220" s="61">
        <f t="shared" si="26"/>
        <v>4</v>
      </c>
      <c r="G220" s="63">
        <v>1609503</v>
      </c>
      <c r="I220" s="61" t="s">
        <v>631</v>
      </c>
      <c r="J220" s="61">
        <f>IF(K220="Inflow",1,IF(K220="Outflow",-1,IF(K220="Gage",0,IF(K220="Top",0,""))))</f>
        <v>0</v>
      </c>
      <c r="K220" s="64" t="s">
        <v>33</v>
      </c>
      <c r="L220" s="122" t="s">
        <v>605</v>
      </c>
      <c r="M220" s="63" t="s">
        <v>86</v>
      </c>
      <c r="N220" s="61">
        <v>5</v>
      </c>
      <c r="O220" s="61">
        <v>10</v>
      </c>
      <c r="P220" s="61">
        <v>20</v>
      </c>
      <c r="S220" s="152" t="s">
        <v>594</v>
      </c>
      <c r="W220" s="61">
        <v>7.0000000000000007E-2</v>
      </c>
      <c r="X220" s="65"/>
      <c r="Y220" s="79"/>
      <c r="AA220" s="61">
        <v>10000</v>
      </c>
      <c r="AB220" s="61">
        <v>0.15</v>
      </c>
      <c r="AC220" s="61">
        <v>750</v>
      </c>
      <c r="AD220" s="61">
        <v>1</v>
      </c>
      <c r="AE220" s="61">
        <v>32</v>
      </c>
      <c r="AF220" s="61">
        <v>0.56000000000000005</v>
      </c>
      <c r="AG220" s="61">
        <v>6</v>
      </c>
      <c r="AH220" s="79">
        <v>0.63519999999999999</v>
      </c>
      <c r="AI220" s="79">
        <v>0.2797</v>
      </c>
      <c r="AJ220" s="79">
        <v>500</v>
      </c>
      <c r="AK220" s="75">
        <v>17</v>
      </c>
      <c r="AL220" s="61">
        <v>20</v>
      </c>
      <c r="AM220" s="61">
        <v>110</v>
      </c>
      <c r="AN220" s="75" t="s">
        <v>250</v>
      </c>
      <c r="AO220" s="75">
        <v>0.31</v>
      </c>
      <c r="AP220" s="61">
        <v>1.32</v>
      </c>
      <c r="AQ220" s="61">
        <v>1.17</v>
      </c>
    </row>
    <row r="221" spans="1:44" x14ac:dyDescent="0.25">
      <c r="A221" s="61" t="s">
        <v>592</v>
      </c>
      <c r="B221" s="61">
        <v>2</v>
      </c>
      <c r="C221" s="61">
        <v>16</v>
      </c>
      <c r="G221" s="63">
        <v>1420024</v>
      </c>
      <c r="I221" s="61" t="s">
        <v>586</v>
      </c>
      <c r="S221" s="152" t="s">
        <v>594</v>
      </c>
      <c r="W221" s="61">
        <v>7.0000000000000007E-2</v>
      </c>
      <c r="X221" s="65"/>
      <c r="Y221" s="79"/>
      <c r="AA221" s="61">
        <v>10000</v>
      </c>
      <c r="AB221" s="61">
        <v>0.15</v>
      </c>
      <c r="AC221" s="61">
        <v>750</v>
      </c>
      <c r="AD221" s="61">
        <v>1</v>
      </c>
      <c r="AE221" s="61">
        <v>32</v>
      </c>
      <c r="AF221" s="61">
        <v>0.56000000000000005</v>
      </c>
      <c r="AG221" s="61">
        <v>6</v>
      </c>
      <c r="AH221" s="79">
        <v>0.63519999999999999</v>
      </c>
      <c r="AI221" s="79">
        <v>0.2797</v>
      </c>
      <c r="AJ221" s="79">
        <v>500</v>
      </c>
      <c r="AK221" s="75">
        <v>17</v>
      </c>
      <c r="AL221" s="61">
        <v>20</v>
      </c>
      <c r="AM221" s="61">
        <v>110</v>
      </c>
      <c r="AN221" s="75" t="s">
        <v>250</v>
      </c>
      <c r="AO221" s="75">
        <v>0.31</v>
      </c>
      <c r="AP221" s="61">
        <v>1.32</v>
      </c>
      <c r="AQ221" s="61">
        <v>1.17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C7" sqref="C7"/>
    </sheetView>
  </sheetViews>
  <sheetFormatPr defaultRowHeight="15" x14ac:dyDescent="0.25"/>
  <cols>
    <col min="1" max="1" width="28.5703125" style="61" bestFit="1" customWidth="1"/>
    <col min="2" max="2" width="2.5703125" style="61" customWidth="1"/>
    <col min="3" max="3" width="5" style="61" bestFit="1" customWidth="1"/>
    <col min="4" max="4" width="3.85546875" style="61" customWidth="1"/>
    <col min="5" max="5" width="4.28515625" style="61" customWidth="1"/>
    <col min="6" max="6" width="5.28515625" style="61" customWidth="1"/>
    <col min="7" max="7" width="9.140625" style="61"/>
    <col min="8" max="8" width="8" style="75" bestFit="1" customWidth="1"/>
    <col min="9" max="9" width="40.85546875" style="61" customWidth="1"/>
    <col min="10" max="10" width="7.5703125" style="61" bestFit="1" customWidth="1"/>
    <col min="11" max="11" width="9" style="61" customWidth="1"/>
    <col min="12" max="12" width="11.28515625" style="61" bestFit="1" customWidth="1"/>
    <col min="13" max="13" width="11.28515625" style="61" customWidth="1"/>
    <col min="14" max="16" width="5.85546875" style="61" customWidth="1"/>
    <col min="17" max="17" width="4.28515625" style="79" customWidth="1"/>
    <col min="18" max="18" width="5.28515625" style="61" customWidth="1"/>
    <col min="19" max="19" width="8.7109375" style="61" customWidth="1"/>
    <col min="20" max="22" width="7.5703125" style="61" customWidth="1"/>
    <col min="23" max="23" width="11.5703125" style="65" bestFit="1" customWidth="1"/>
    <col min="24" max="24" width="7.5703125" style="79" customWidth="1"/>
    <col min="25" max="25" width="8.28515625" style="61" bestFit="1" customWidth="1"/>
    <col min="26" max="26" width="8.28515625" style="61" customWidth="1"/>
    <col min="27" max="27" width="12.28515625" style="61" bestFit="1" customWidth="1"/>
    <col min="28" max="28" width="7.140625" style="61" customWidth="1"/>
    <col min="29" max="29" width="13.140625" style="61" customWidth="1"/>
    <col min="30" max="30" width="5.85546875" style="61" customWidth="1"/>
    <col min="31" max="32" width="11.28515625" style="61" bestFit="1" customWidth="1"/>
    <col min="33" max="33" width="8.140625" style="79" customWidth="1"/>
    <col min="34" max="35" width="9" style="79" bestFit="1" customWidth="1"/>
    <col min="36" max="36" width="9" style="75" customWidth="1"/>
    <col min="37" max="37" width="4.7109375" style="61" customWidth="1"/>
    <col min="38" max="38" width="7.140625" style="61" bestFit="1" customWidth="1"/>
    <col min="39" max="39" width="9.28515625" style="75" bestFit="1" customWidth="1"/>
    <col min="40" max="40" width="9.28515625" style="75" customWidth="1"/>
    <col min="41" max="42" width="6.28515625" style="61" customWidth="1"/>
    <col min="43" max="43" width="6.28515625" style="65" customWidth="1"/>
    <col min="44" max="44" width="6.28515625" style="80" customWidth="1"/>
    <col min="45" max="16384" width="9.140625" style="61"/>
  </cols>
  <sheetData>
    <row r="1" spans="1:53" s="68" customFormat="1" x14ac:dyDescent="0.25">
      <c r="A1" s="68" t="s">
        <v>554</v>
      </c>
      <c r="B1" s="68" t="s">
        <v>6</v>
      </c>
      <c r="C1" s="68" t="s">
        <v>93</v>
      </c>
      <c r="D1" s="68" t="s">
        <v>0</v>
      </c>
      <c r="E1" s="68" t="s">
        <v>76</v>
      </c>
      <c r="F1" s="68" t="s">
        <v>91</v>
      </c>
      <c r="G1" s="69" t="s">
        <v>132</v>
      </c>
      <c r="H1" s="69" t="s">
        <v>245</v>
      </c>
      <c r="I1" s="69" t="s">
        <v>133</v>
      </c>
      <c r="J1" s="69" t="s">
        <v>131</v>
      </c>
      <c r="K1" s="69" t="s">
        <v>312</v>
      </c>
      <c r="L1" s="69" t="s">
        <v>128</v>
      </c>
      <c r="M1" s="69" t="s">
        <v>129</v>
      </c>
      <c r="N1" s="69" t="s">
        <v>125</v>
      </c>
      <c r="O1" s="69" t="s">
        <v>126</v>
      </c>
      <c r="P1" s="69" t="s">
        <v>127</v>
      </c>
      <c r="Q1" s="70" t="s">
        <v>120</v>
      </c>
      <c r="R1" s="68" t="s">
        <v>124</v>
      </c>
      <c r="S1" s="68" t="s">
        <v>246</v>
      </c>
      <c r="T1" s="68" t="s">
        <v>1</v>
      </c>
      <c r="U1" s="68" t="s">
        <v>2</v>
      </c>
      <c r="V1" s="71" t="s">
        <v>77</v>
      </c>
      <c r="W1" s="71" t="s">
        <v>94</v>
      </c>
      <c r="X1" s="70" t="s">
        <v>298</v>
      </c>
      <c r="Y1" s="71" t="s">
        <v>296</v>
      </c>
      <c r="Z1" s="71" t="s">
        <v>297</v>
      </c>
      <c r="AA1" s="68" t="s">
        <v>3</v>
      </c>
      <c r="AB1" s="68" t="s">
        <v>4</v>
      </c>
      <c r="AC1" s="68" t="s">
        <v>5</v>
      </c>
      <c r="AD1" s="68" t="s">
        <v>161</v>
      </c>
      <c r="AE1" s="69" t="s">
        <v>71</v>
      </c>
      <c r="AF1" s="69" t="s">
        <v>72</v>
      </c>
      <c r="AG1" s="70" t="s">
        <v>162</v>
      </c>
      <c r="AH1" s="70" t="s">
        <v>73</v>
      </c>
      <c r="AI1" s="70" t="s">
        <v>74</v>
      </c>
      <c r="AJ1" s="69" t="s">
        <v>203</v>
      </c>
      <c r="AK1" s="71" t="s">
        <v>121</v>
      </c>
      <c r="AL1" s="68" t="s">
        <v>75</v>
      </c>
      <c r="AM1" s="69" t="s">
        <v>84</v>
      </c>
      <c r="AN1" s="69" t="s">
        <v>248</v>
      </c>
      <c r="AO1" s="71" t="s">
        <v>82</v>
      </c>
      <c r="AP1" s="71" t="s">
        <v>83</v>
      </c>
      <c r="AQ1" s="71" t="s">
        <v>85</v>
      </c>
      <c r="AR1" s="72" t="s">
        <v>196</v>
      </c>
    </row>
    <row r="2" spans="1:53" s="73" customFormat="1" x14ac:dyDescent="0.25">
      <c r="A2" s="73" t="s">
        <v>547</v>
      </c>
      <c r="B2" s="73">
        <v>2</v>
      </c>
      <c r="C2" s="73">
        <v>17</v>
      </c>
      <c r="D2" s="73">
        <v>1</v>
      </c>
      <c r="E2" s="73">
        <v>1</v>
      </c>
      <c r="F2" s="73">
        <v>1</v>
      </c>
      <c r="G2" s="74">
        <v>1403526</v>
      </c>
      <c r="H2" s="74"/>
      <c r="I2" s="74" t="s">
        <v>92</v>
      </c>
      <c r="J2" s="74">
        <f t="shared" ref="J2:J46" si="0">IF(K2="Inflow",1,IF(K2="Outflow",-1,IF(K2="Gage",0,IF(K2="Top",0,""))))</f>
        <v>0</v>
      </c>
      <c r="K2" s="75" t="s">
        <v>233</v>
      </c>
      <c r="L2" s="74"/>
      <c r="M2" s="74"/>
      <c r="N2" s="74">
        <v>0</v>
      </c>
      <c r="O2" s="74">
        <v>0</v>
      </c>
      <c r="P2" s="74">
        <v>0</v>
      </c>
      <c r="Q2" s="76">
        <v>1</v>
      </c>
      <c r="S2" s="73" t="s">
        <v>106</v>
      </c>
      <c r="V2" s="77"/>
      <c r="W2" s="77">
        <v>0</v>
      </c>
      <c r="X2" s="76"/>
      <c r="Y2" s="77"/>
      <c r="Z2" s="77"/>
      <c r="AA2" s="73">
        <v>10000</v>
      </c>
      <c r="AB2" s="73">
        <v>0.15</v>
      </c>
      <c r="AC2" s="73">
        <v>750</v>
      </c>
      <c r="AD2" s="73">
        <v>1</v>
      </c>
      <c r="AE2" s="74">
        <v>32</v>
      </c>
      <c r="AF2" s="77">
        <v>0.56000000000000005</v>
      </c>
      <c r="AG2" s="76">
        <v>6</v>
      </c>
      <c r="AH2" s="76">
        <v>0.63519999999999999</v>
      </c>
      <c r="AI2" s="76">
        <v>0.2797</v>
      </c>
      <c r="AJ2" s="74">
        <v>500</v>
      </c>
      <c r="AK2" s="74">
        <v>17</v>
      </c>
      <c r="AL2" s="73">
        <v>10</v>
      </c>
      <c r="AM2" s="74">
        <v>0</v>
      </c>
      <c r="AN2" s="74" t="s">
        <v>249</v>
      </c>
      <c r="AO2" s="77">
        <v>0.31</v>
      </c>
      <c r="AP2" s="77">
        <v>1.32</v>
      </c>
      <c r="AQ2" s="77">
        <v>0</v>
      </c>
      <c r="AR2" s="78" t="s">
        <v>234</v>
      </c>
      <c r="BA2" s="73" t="s">
        <v>235</v>
      </c>
    </row>
    <row r="3" spans="1:53" s="68" customFormat="1" x14ac:dyDescent="0.25">
      <c r="A3" s="68" t="s">
        <v>547</v>
      </c>
      <c r="B3" s="68">
        <v>2</v>
      </c>
      <c r="C3" s="68">
        <v>17</v>
      </c>
      <c r="D3" s="68">
        <v>1</v>
      </c>
      <c r="E3" s="68">
        <v>2</v>
      </c>
      <c r="F3" s="68">
        <f t="shared" ref="F3:F11" si="1">F2+1</f>
        <v>2</v>
      </c>
      <c r="G3" s="69">
        <v>1400534</v>
      </c>
      <c r="H3" s="69"/>
      <c r="I3" s="69" t="s">
        <v>90</v>
      </c>
      <c r="J3" s="69">
        <f t="shared" si="0"/>
        <v>-1</v>
      </c>
      <c r="K3" s="69" t="s">
        <v>32</v>
      </c>
      <c r="L3" s="69"/>
      <c r="M3" s="69"/>
      <c r="N3" s="69">
        <v>0</v>
      </c>
      <c r="O3" s="69">
        <v>0</v>
      </c>
      <c r="P3" s="69">
        <v>0</v>
      </c>
      <c r="Q3" s="70">
        <v>1</v>
      </c>
      <c r="S3" s="68" t="s">
        <v>106</v>
      </c>
      <c r="V3" s="71"/>
      <c r="W3" s="71">
        <v>0</v>
      </c>
      <c r="X3" s="70"/>
      <c r="Y3" s="71"/>
      <c r="Z3" s="71"/>
      <c r="AA3" s="68">
        <v>10000</v>
      </c>
      <c r="AB3" s="68">
        <v>0.15</v>
      </c>
      <c r="AC3" s="68">
        <v>750</v>
      </c>
      <c r="AD3" s="68">
        <v>1</v>
      </c>
      <c r="AE3" s="69">
        <v>32</v>
      </c>
      <c r="AF3" s="71">
        <v>0.56000000000000005</v>
      </c>
      <c r="AG3" s="70">
        <v>6</v>
      </c>
      <c r="AH3" s="70">
        <v>0.63519999999999999</v>
      </c>
      <c r="AI3" s="70">
        <v>0.2797</v>
      </c>
      <c r="AJ3" s="69">
        <v>500</v>
      </c>
      <c r="AK3" s="69">
        <v>17</v>
      </c>
      <c r="AL3" s="68">
        <v>10</v>
      </c>
      <c r="AM3" s="69">
        <v>0</v>
      </c>
      <c r="AN3" s="69" t="s">
        <v>249</v>
      </c>
      <c r="AO3" s="71">
        <v>0.31</v>
      </c>
      <c r="AP3" s="71">
        <v>1.32</v>
      </c>
      <c r="AQ3" s="71">
        <v>0</v>
      </c>
      <c r="AR3" s="72" t="s">
        <v>205</v>
      </c>
      <c r="BA3" s="68" t="s">
        <v>237</v>
      </c>
    </row>
    <row r="4" spans="1:53" x14ac:dyDescent="0.25">
      <c r="A4" s="61" t="s">
        <v>547</v>
      </c>
      <c r="B4" s="61">
        <v>2</v>
      </c>
      <c r="C4" s="61">
        <v>17</v>
      </c>
      <c r="D4" s="61">
        <f>D3+1</f>
        <v>2</v>
      </c>
      <c r="E4" s="61">
        <v>1</v>
      </c>
      <c r="F4" s="61">
        <f t="shared" si="1"/>
        <v>3</v>
      </c>
      <c r="G4" s="75">
        <v>1409500</v>
      </c>
      <c r="I4" s="65" t="s">
        <v>14</v>
      </c>
      <c r="J4" s="75">
        <f t="shared" si="0"/>
        <v>0</v>
      </c>
      <c r="K4" s="75" t="s">
        <v>33</v>
      </c>
      <c r="L4" s="65" t="s">
        <v>7</v>
      </c>
      <c r="M4" s="65" t="s">
        <v>86</v>
      </c>
      <c r="N4" s="75">
        <v>161</v>
      </c>
      <c r="O4" s="75">
        <v>471</v>
      </c>
      <c r="P4" s="75">
        <v>656</v>
      </c>
      <c r="S4" s="80" t="s">
        <v>106</v>
      </c>
      <c r="T4" s="80"/>
      <c r="V4" s="65"/>
      <c r="W4" s="65">
        <v>0.1</v>
      </c>
      <c r="Y4" s="65"/>
      <c r="Z4" s="65"/>
      <c r="AA4" s="61">
        <v>10000</v>
      </c>
      <c r="AB4" s="61">
        <v>0.15</v>
      </c>
      <c r="AC4" s="61">
        <v>750</v>
      </c>
      <c r="AD4" s="61">
        <v>1</v>
      </c>
      <c r="AE4" s="75">
        <v>32</v>
      </c>
      <c r="AF4" s="65">
        <v>0.56000000000000005</v>
      </c>
      <c r="AG4" s="79">
        <v>6</v>
      </c>
      <c r="AH4" s="79">
        <v>0.63519999999999999</v>
      </c>
      <c r="AI4" s="79">
        <v>0.2797</v>
      </c>
      <c r="AJ4" s="75">
        <v>500</v>
      </c>
      <c r="AK4" s="75">
        <v>17</v>
      </c>
      <c r="AL4" s="61">
        <v>10</v>
      </c>
      <c r="AM4" s="75">
        <v>110</v>
      </c>
      <c r="AN4" s="75" t="s">
        <v>250</v>
      </c>
      <c r="AO4" s="65">
        <v>0.31</v>
      </c>
      <c r="AP4" s="65">
        <v>1.32</v>
      </c>
      <c r="AQ4" s="65">
        <v>1.17</v>
      </c>
      <c r="AR4" s="80" t="s">
        <v>204</v>
      </c>
    </row>
    <row r="5" spans="1:53" x14ac:dyDescent="0.25">
      <c r="A5" s="61" t="s">
        <v>547</v>
      </c>
      <c r="B5" s="61">
        <f>B4</f>
        <v>2</v>
      </c>
      <c r="C5" s="61">
        <v>17</v>
      </c>
      <c r="D5" s="61">
        <f>D4</f>
        <v>2</v>
      </c>
      <c r="E5" s="61">
        <f>E4+1</f>
        <v>2</v>
      </c>
      <c r="F5" s="61">
        <f t="shared" si="1"/>
        <v>4</v>
      </c>
      <c r="G5" s="75">
        <v>1400738</v>
      </c>
      <c r="H5" s="75">
        <v>6384</v>
      </c>
      <c r="I5" s="116" t="s">
        <v>508</v>
      </c>
      <c r="J5" s="75">
        <f t="shared" si="0"/>
        <v>1</v>
      </c>
      <c r="K5" s="75" t="s">
        <v>31</v>
      </c>
      <c r="L5" s="75" t="s">
        <v>509</v>
      </c>
      <c r="M5" s="75" t="s">
        <v>86</v>
      </c>
      <c r="N5" s="75">
        <v>35</v>
      </c>
      <c r="O5" s="75">
        <v>27</v>
      </c>
      <c r="P5" s="75">
        <v>21</v>
      </c>
      <c r="S5" s="61" t="s">
        <v>106</v>
      </c>
      <c r="V5" s="65"/>
      <c r="W5" s="65">
        <v>0.1</v>
      </c>
      <c r="Y5" s="65"/>
      <c r="Z5" s="65"/>
      <c r="AA5" s="61">
        <v>10000</v>
      </c>
      <c r="AB5" s="61">
        <v>0.15</v>
      </c>
      <c r="AC5" s="61">
        <v>750</v>
      </c>
      <c r="AD5" s="61">
        <v>1</v>
      </c>
      <c r="AE5" s="75">
        <v>32</v>
      </c>
      <c r="AF5" s="65">
        <v>0.56000000000000005</v>
      </c>
      <c r="AG5" s="79">
        <v>6</v>
      </c>
      <c r="AH5" s="79">
        <v>0.63519999999999999</v>
      </c>
      <c r="AI5" s="79">
        <v>0.2797</v>
      </c>
      <c r="AJ5" s="75">
        <v>500</v>
      </c>
      <c r="AK5" s="75">
        <v>17</v>
      </c>
      <c r="AL5" s="61">
        <v>20</v>
      </c>
      <c r="AM5" s="75">
        <v>110</v>
      </c>
      <c r="AN5" s="75" t="s">
        <v>250</v>
      </c>
      <c r="AO5" s="65">
        <v>0.31</v>
      </c>
      <c r="AP5" s="65">
        <v>1.32</v>
      </c>
      <c r="AQ5" s="65">
        <v>1.17</v>
      </c>
      <c r="AR5" s="80" t="s">
        <v>572</v>
      </c>
    </row>
    <row r="6" spans="1:53" x14ac:dyDescent="0.25">
      <c r="A6" s="61" t="s">
        <v>547</v>
      </c>
      <c r="B6" s="61">
        <f>B5</f>
        <v>2</v>
      </c>
      <c r="C6" s="61">
        <v>17</v>
      </c>
      <c r="D6" s="61">
        <f>D5</f>
        <v>2</v>
      </c>
      <c r="E6" s="61">
        <f>E5+1</f>
        <v>3</v>
      </c>
      <c r="F6" s="61">
        <f t="shared" si="1"/>
        <v>5</v>
      </c>
      <c r="G6" s="75">
        <v>1400618</v>
      </c>
      <c r="I6" s="65" t="s">
        <v>207</v>
      </c>
      <c r="J6" s="75">
        <f t="shared" si="0"/>
        <v>-1</v>
      </c>
      <c r="K6" s="75" t="s">
        <v>32</v>
      </c>
      <c r="L6" s="75"/>
      <c r="M6" s="75"/>
      <c r="N6" s="75">
        <v>15</v>
      </c>
      <c r="O6" s="75">
        <v>13</v>
      </c>
      <c r="P6" s="75">
        <v>14</v>
      </c>
      <c r="S6" s="61" t="s">
        <v>106</v>
      </c>
      <c r="V6" s="65"/>
      <c r="W6" s="65">
        <v>0.1</v>
      </c>
      <c r="Y6" s="65"/>
      <c r="Z6" s="65"/>
      <c r="AA6" s="61">
        <v>10000</v>
      </c>
      <c r="AB6" s="61">
        <v>0.15</v>
      </c>
      <c r="AC6" s="61">
        <v>750</v>
      </c>
      <c r="AD6" s="61">
        <v>1</v>
      </c>
      <c r="AE6" s="75">
        <v>32</v>
      </c>
      <c r="AF6" s="65">
        <v>0.56000000000000005</v>
      </c>
      <c r="AG6" s="79">
        <v>6</v>
      </c>
      <c r="AH6" s="79">
        <v>0.63519999999999999</v>
      </c>
      <c r="AI6" s="79">
        <v>0.2797</v>
      </c>
      <c r="AJ6" s="75">
        <v>500</v>
      </c>
      <c r="AK6" s="75">
        <v>17</v>
      </c>
      <c r="AL6" s="61">
        <v>20</v>
      </c>
      <c r="AM6" s="75">
        <v>110</v>
      </c>
      <c r="AN6" s="75" t="s">
        <v>250</v>
      </c>
      <c r="AO6" s="65">
        <v>0.31</v>
      </c>
      <c r="AP6" s="65">
        <v>1.32</v>
      </c>
      <c r="AQ6" s="65">
        <v>1.17</v>
      </c>
      <c r="AR6" s="61" t="s">
        <v>239</v>
      </c>
      <c r="BA6" s="61" t="s">
        <v>240</v>
      </c>
    </row>
    <row r="7" spans="1:53" x14ac:dyDescent="0.25">
      <c r="A7" s="61" t="s">
        <v>547</v>
      </c>
      <c r="B7" s="61">
        <f>B6</f>
        <v>2</v>
      </c>
      <c r="C7" s="61">
        <v>17</v>
      </c>
      <c r="D7" s="61">
        <f>D6</f>
        <v>2</v>
      </c>
      <c r="E7" s="61">
        <f>E6+1</f>
        <v>4</v>
      </c>
      <c r="F7" s="61">
        <f t="shared" si="1"/>
        <v>6</v>
      </c>
      <c r="G7" s="75">
        <v>1403694</v>
      </c>
      <c r="I7" s="65" t="s">
        <v>95</v>
      </c>
      <c r="J7" s="75">
        <f t="shared" si="0"/>
        <v>-1</v>
      </c>
      <c r="K7" s="75" t="s">
        <v>32</v>
      </c>
      <c r="L7" s="75"/>
      <c r="M7" s="75"/>
      <c r="N7" s="75">
        <v>0</v>
      </c>
      <c r="O7" s="75">
        <v>0</v>
      </c>
      <c r="P7" s="75">
        <v>0</v>
      </c>
      <c r="S7" s="61" t="s">
        <v>106</v>
      </c>
      <c r="V7" s="65"/>
      <c r="W7" s="65">
        <v>0.1</v>
      </c>
      <c r="Y7" s="65"/>
      <c r="Z7" s="65"/>
      <c r="AA7" s="61">
        <v>10000</v>
      </c>
      <c r="AB7" s="61">
        <v>0.15</v>
      </c>
      <c r="AC7" s="61">
        <v>750</v>
      </c>
      <c r="AD7" s="61">
        <v>1</v>
      </c>
      <c r="AE7" s="75">
        <v>32</v>
      </c>
      <c r="AF7" s="65">
        <v>0.56000000000000005</v>
      </c>
      <c r="AG7" s="79">
        <v>6</v>
      </c>
      <c r="AH7" s="79">
        <v>0.63519999999999999</v>
      </c>
      <c r="AI7" s="79">
        <v>0.2797</v>
      </c>
      <c r="AJ7" s="75">
        <v>500</v>
      </c>
      <c r="AK7" s="75">
        <v>17</v>
      </c>
      <c r="AL7" s="61">
        <v>20</v>
      </c>
      <c r="AM7" s="75">
        <v>110</v>
      </c>
      <c r="AN7" s="75" t="s">
        <v>250</v>
      </c>
      <c r="AO7" s="65">
        <v>0.31</v>
      </c>
      <c r="AP7" s="65">
        <v>1.32</v>
      </c>
      <c r="AQ7" s="65">
        <v>1.17</v>
      </c>
      <c r="AR7" s="80" t="s">
        <v>223</v>
      </c>
      <c r="BA7" s="61" t="s">
        <v>238</v>
      </c>
    </row>
    <row r="8" spans="1:53" x14ac:dyDescent="0.25">
      <c r="A8" s="61" t="s">
        <v>547</v>
      </c>
      <c r="B8" s="61">
        <f>B7</f>
        <v>2</v>
      </c>
      <c r="C8" s="61">
        <v>17</v>
      </c>
      <c r="D8" s="61">
        <f>D7</f>
        <v>2</v>
      </c>
      <c r="E8" s="61">
        <f>E7+1</f>
        <v>5</v>
      </c>
      <c r="F8" s="61">
        <f t="shared" si="1"/>
        <v>7</v>
      </c>
      <c r="G8" s="75">
        <v>1400589</v>
      </c>
      <c r="I8" s="65" t="s">
        <v>23</v>
      </c>
      <c r="J8" s="75">
        <f t="shared" si="0"/>
        <v>-1</v>
      </c>
      <c r="K8" s="65" t="s">
        <v>32</v>
      </c>
      <c r="L8" s="65"/>
      <c r="M8" s="65"/>
      <c r="N8" s="75">
        <v>51</v>
      </c>
      <c r="O8" s="75">
        <v>14</v>
      </c>
      <c r="P8" s="75">
        <v>26</v>
      </c>
      <c r="S8" s="61" t="s">
        <v>106</v>
      </c>
      <c r="V8" s="65"/>
      <c r="W8" s="65">
        <v>0.1</v>
      </c>
      <c r="Y8" s="65"/>
      <c r="Z8" s="65"/>
      <c r="AA8" s="61">
        <v>10000</v>
      </c>
      <c r="AB8" s="61">
        <v>0.15</v>
      </c>
      <c r="AC8" s="61">
        <v>750</v>
      </c>
      <c r="AD8" s="61">
        <v>1</v>
      </c>
      <c r="AE8" s="75">
        <v>32</v>
      </c>
      <c r="AF8" s="65">
        <v>0.56000000000000005</v>
      </c>
      <c r="AG8" s="79">
        <v>6</v>
      </c>
      <c r="AH8" s="79">
        <v>0.63519999999999999</v>
      </c>
      <c r="AI8" s="79">
        <v>0.2797</v>
      </c>
      <c r="AJ8" s="75">
        <v>500</v>
      </c>
      <c r="AK8" s="75">
        <v>17</v>
      </c>
      <c r="AL8" s="61">
        <v>20</v>
      </c>
      <c r="AM8" s="75">
        <v>110</v>
      </c>
      <c r="AN8" s="75" t="s">
        <v>250</v>
      </c>
      <c r="AO8" s="65">
        <v>0.31</v>
      </c>
      <c r="AP8" s="65">
        <v>1.32</v>
      </c>
      <c r="AQ8" s="65">
        <v>1.17</v>
      </c>
      <c r="AR8" s="61" t="s">
        <v>208</v>
      </c>
    </row>
    <row r="9" spans="1:53" x14ac:dyDescent="0.25">
      <c r="A9" s="61" t="s">
        <v>547</v>
      </c>
      <c r="B9" s="61">
        <f>B8</f>
        <v>2</v>
      </c>
      <c r="C9" s="61">
        <v>17</v>
      </c>
      <c r="D9" s="61">
        <f t="shared" ref="D9:D11" si="2">D8</f>
        <v>2</v>
      </c>
      <c r="E9" s="61">
        <f t="shared" ref="E9:E11" si="3">E8+1</f>
        <v>6</v>
      </c>
      <c r="F9" s="61">
        <f t="shared" si="1"/>
        <v>8</v>
      </c>
      <c r="G9" s="75">
        <v>1400536</v>
      </c>
      <c r="I9" s="65" t="s">
        <v>96</v>
      </c>
      <c r="J9" s="75">
        <f t="shared" si="0"/>
        <v>-1</v>
      </c>
      <c r="K9" s="75" t="s">
        <v>32</v>
      </c>
      <c r="L9" s="75"/>
      <c r="M9" s="75"/>
      <c r="N9" s="75">
        <v>0</v>
      </c>
      <c r="O9" s="75">
        <v>0</v>
      </c>
      <c r="P9" s="75">
        <v>0</v>
      </c>
      <c r="R9" s="75"/>
      <c r="S9" s="61" t="s">
        <v>106</v>
      </c>
      <c r="V9" s="65"/>
      <c r="W9" s="65">
        <v>0.1</v>
      </c>
      <c r="Y9" s="65"/>
      <c r="Z9" s="65"/>
      <c r="AA9" s="61">
        <v>10000</v>
      </c>
      <c r="AB9" s="61">
        <v>0.15</v>
      </c>
      <c r="AC9" s="61">
        <v>750</v>
      </c>
      <c r="AD9" s="61">
        <v>1</v>
      </c>
      <c r="AE9" s="75">
        <v>32</v>
      </c>
      <c r="AF9" s="65">
        <v>0.56000000000000005</v>
      </c>
      <c r="AG9" s="79">
        <v>6</v>
      </c>
      <c r="AH9" s="79">
        <v>0.63519999999999999</v>
      </c>
      <c r="AI9" s="79">
        <v>0.2797</v>
      </c>
      <c r="AJ9" s="75">
        <v>500</v>
      </c>
      <c r="AK9" s="75">
        <v>17</v>
      </c>
      <c r="AL9" s="61">
        <v>20</v>
      </c>
      <c r="AM9" s="75">
        <v>110</v>
      </c>
      <c r="AN9" s="75" t="s">
        <v>250</v>
      </c>
      <c r="AO9" s="65">
        <v>0.31</v>
      </c>
      <c r="AP9" s="65">
        <v>1.32</v>
      </c>
      <c r="AQ9" s="65">
        <v>1.17</v>
      </c>
      <c r="AR9" s="61" t="s">
        <v>208</v>
      </c>
    </row>
    <row r="10" spans="1:53" x14ac:dyDescent="0.25">
      <c r="A10" s="61" t="s">
        <v>547</v>
      </c>
      <c r="B10" s="61">
        <f>B9</f>
        <v>2</v>
      </c>
      <c r="C10" s="61">
        <v>17</v>
      </c>
      <c r="D10" s="61">
        <f t="shared" si="2"/>
        <v>2</v>
      </c>
      <c r="E10" s="61">
        <f t="shared" si="3"/>
        <v>7</v>
      </c>
      <c r="F10" s="61">
        <f t="shared" si="1"/>
        <v>9</v>
      </c>
      <c r="G10" s="75">
        <v>1409504</v>
      </c>
      <c r="H10" s="63"/>
      <c r="I10" s="65" t="s">
        <v>513</v>
      </c>
      <c r="J10" s="75">
        <f t="shared" si="0"/>
        <v>1</v>
      </c>
      <c r="K10" s="75" t="s">
        <v>31</v>
      </c>
      <c r="L10" s="75" t="s">
        <v>511</v>
      </c>
      <c r="M10" s="75" t="s">
        <v>86</v>
      </c>
      <c r="N10" s="75">
        <v>0</v>
      </c>
      <c r="O10" s="75">
        <v>0</v>
      </c>
      <c r="P10" s="75">
        <v>0</v>
      </c>
      <c r="R10" s="75"/>
      <c r="S10" s="61" t="s">
        <v>106</v>
      </c>
      <c r="V10" s="65"/>
      <c r="W10" s="65">
        <v>0.1</v>
      </c>
      <c r="Y10" s="65"/>
      <c r="Z10" s="65"/>
      <c r="AA10" s="61">
        <v>10000</v>
      </c>
      <c r="AB10" s="61">
        <v>0.15</v>
      </c>
      <c r="AC10" s="61">
        <v>750</v>
      </c>
      <c r="AD10" s="61">
        <v>1</v>
      </c>
      <c r="AE10" s="75">
        <v>32</v>
      </c>
      <c r="AF10" s="65">
        <v>0.56000000000000005</v>
      </c>
      <c r="AG10" s="79">
        <v>6</v>
      </c>
      <c r="AH10" s="79">
        <v>0.63519999999999999</v>
      </c>
      <c r="AI10" s="79">
        <v>0.2797</v>
      </c>
      <c r="AJ10" s="75">
        <v>500</v>
      </c>
      <c r="AK10" s="75">
        <v>17</v>
      </c>
      <c r="AL10" s="61">
        <v>20</v>
      </c>
      <c r="AM10" s="75">
        <v>110</v>
      </c>
      <c r="AN10" s="75" t="s">
        <v>250</v>
      </c>
      <c r="AO10" s="65">
        <v>0.31</v>
      </c>
      <c r="AP10" s="65">
        <v>1.32</v>
      </c>
      <c r="AQ10" s="65">
        <v>1.17</v>
      </c>
      <c r="AR10" s="61" t="s">
        <v>514</v>
      </c>
    </row>
    <row r="11" spans="1:53" x14ac:dyDescent="0.25">
      <c r="A11" s="61" t="s">
        <v>547</v>
      </c>
      <c r="B11" s="61">
        <f>B9</f>
        <v>2</v>
      </c>
      <c r="C11" s="61">
        <v>17</v>
      </c>
      <c r="D11" s="61">
        <f t="shared" si="2"/>
        <v>2</v>
      </c>
      <c r="E11" s="61">
        <f t="shared" si="3"/>
        <v>8</v>
      </c>
      <c r="F11" s="61">
        <f t="shared" si="1"/>
        <v>10</v>
      </c>
      <c r="G11" s="75">
        <v>1400800</v>
      </c>
      <c r="H11" s="75">
        <v>952</v>
      </c>
      <c r="I11" s="65" t="s">
        <v>24</v>
      </c>
      <c r="J11" s="75">
        <f t="shared" si="0"/>
        <v>1</v>
      </c>
      <c r="K11" s="61" t="s">
        <v>31</v>
      </c>
      <c r="L11" s="81" t="s">
        <v>25</v>
      </c>
      <c r="M11" s="81" t="s">
        <v>86</v>
      </c>
      <c r="N11" s="75">
        <v>49</v>
      </c>
      <c r="O11" s="75">
        <v>133</v>
      </c>
      <c r="P11" s="75">
        <v>296</v>
      </c>
      <c r="R11" s="75">
        <v>10</v>
      </c>
      <c r="S11" s="61" t="s">
        <v>106</v>
      </c>
      <c r="V11" s="65"/>
      <c r="W11" s="65">
        <v>0.1</v>
      </c>
      <c r="Y11" s="65"/>
      <c r="Z11" s="65"/>
      <c r="AA11" s="61">
        <v>10000</v>
      </c>
      <c r="AB11" s="61">
        <v>0.15</v>
      </c>
      <c r="AC11" s="61">
        <v>750</v>
      </c>
      <c r="AD11" s="61">
        <v>1</v>
      </c>
      <c r="AE11" s="75">
        <v>32</v>
      </c>
      <c r="AF11" s="65">
        <v>0.56000000000000005</v>
      </c>
      <c r="AG11" s="79">
        <v>6</v>
      </c>
      <c r="AH11" s="79">
        <v>0.63519999999999999</v>
      </c>
      <c r="AI11" s="79">
        <v>0.2797</v>
      </c>
      <c r="AJ11" s="75">
        <v>500</v>
      </c>
      <c r="AK11" s="75">
        <v>17</v>
      </c>
      <c r="AL11" s="61">
        <v>20</v>
      </c>
      <c r="AM11" s="75">
        <v>110</v>
      </c>
      <c r="AN11" s="75" t="s">
        <v>250</v>
      </c>
      <c r="AO11" s="65">
        <v>0.31</v>
      </c>
      <c r="AP11" s="65">
        <v>1.32</v>
      </c>
      <c r="AQ11" s="65">
        <v>1.17</v>
      </c>
      <c r="AR11" s="80" t="s">
        <v>243</v>
      </c>
    </row>
    <row r="12" spans="1:53" x14ac:dyDescent="0.25">
      <c r="A12" s="61" t="s">
        <v>547</v>
      </c>
      <c r="B12" s="61">
        <f t="shared" ref="B12:B43" si="4">B11</f>
        <v>2</v>
      </c>
      <c r="C12" s="61">
        <v>17</v>
      </c>
      <c r="D12" s="61">
        <f t="shared" ref="D11:D15" si="5">D11</f>
        <v>2</v>
      </c>
      <c r="E12" s="61">
        <f t="shared" ref="E11:E15" si="6">E11+1</f>
        <v>9</v>
      </c>
      <c r="F12" s="61">
        <f t="shared" ref="F12:F46" si="7">F11+1</f>
        <v>11</v>
      </c>
      <c r="G12" s="75">
        <v>1400620</v>
      </c>
      <c r="H12" s="75">
        <v>6385</v>
      </c>
      <c r="I12" s="65" t="s">
        <v>65</v>
      </c>
      <c r="J12" s="75">
        <f t="shared" si="0"/>
        <v>1</v>
      </c>
      <c r="K12" s="75" t="s">
        <v>31</v>
      </c>
      <c r="L12" s="82"/>
      <c r="M12" s="82"/>
      <c r="N12" s="75">
        <v>18</v>
      </c>
      <c r="O12" s="75">
        <v>18</v>
      </c>
      <c r="P12" s="75">
        <v>21</v>
      </c>
      <c r="S12" s="61" t="s">
        <v>106</v>
      </c>
      <c r="V12" s="65"/>
      <c r="W12" s="65">
        <v>0.1</v>
      </c>
      <c r="Y12" s="65"/>
      <c r="Z12" s="65"/>
      <c r="AA12" s="61">
        <v>10000</v>
      </c>
      <c r="AB12" s="61">
        <v>0.15</v>
      </c>
      <c r="AC12" s="61">
        <v>750</v>
      </c>
      <c r="AD12" s="61">
        <v>1</v>
      </c>
      <c r="AE12" s="75">
        <v>32</v>
      </c>
      <c r="AF12" s="65">
        <v>0.56000000000000005</v>
      </c>
      <c r="AG12" s="79">
        <v>6</v>
      </c>
      <c r="AH12" s="79">
        <v>0.63519999999999999</v>
      </c>
      <c r="AI12" s="79">
        <v>0.2797</v>
      </c>
      <c r="AJ12" s="75">
        <v>500</v>
      </c>
      <c r="AK12" s="75">
        <v>17</v>
      </c>
      <c r="AL12" s="61">
        <v>20</v>
      </c>
      <c r="AM12" s="75">
        <v>110</v>
      </c>
      <c r="AN12" s="75" t="s">
        <v>250</v>
      </c>
      <c r="AO12" s="65">
        <v>0.31</v>
      </c>
      <c r="AP12" s="65">
        <v>1.32</v>
      </c>
      <c r="AQ12" s="65">
        <v>1.17</v>
      </c>
      <c r="AR12" s="61" t="s">
        <v>208</v>
      </c>
    </row>
    <row r="13" spans="1:53" x14ac:dyDescent="0.25">
      <c r="A13" s="61" t="s">
        <v>547</v>
      </c>
      <c r="B13" s="61">
        <f t="shared" si="4"/>
        <v>2</v>
      </c>
      <c r="C13" s="61">
        <v>17</v>
      </c>
      <c r="D13" s="61">
        <f t="shared" si="5"/>
        <v>2</v>
      </c>
      <c r="E13" s="61">
        <f t="shared" si="6"/>
        <v>10</v>
      </c>
      <c r="F13" s="61">
        <f t="shared" si="7"/>
        <v>12</v>
      </c>
      <c r="G13" s="75">
        <v>1409508</v>
      </c>
      <c r="H13" s="75">
        <v>948</v>
      </c>
      <c r="I13" s="65" t="s">
        <v>26</v>
      </c>
      <c r="J13" s="75">
        <f t="shared" si="0"/>
        <v>1</v>
      </c>
      <c r="K13" s="75" t="s">
        <v>31</v>
      </c>
      <c r="L13" s="65" t="s">
        <v>27</v>
      </c>
      <c r="M13" s="65" t="s">
        <v>86</v>
      </c>
      <c r="N13" s="75">
        <v>67</v>
      </c>
      <c r="O13" s="75">
        <v>64</v>
      </c>
      <c r="P13" s="75">
        <v>64</v>
      </c>
      <c r="S13" s="61" t="s">
        <v>106</v>
      </c>
      <c r="V13" s="65"/>
      <c r="W13" s="65">
        <v>0.1</v>
      </c>
      <c r="Y13" s="65"/>
      <c r="Z13" s="65"/>
      <c r="AA13" s="61">
        <v>10000</v>
      </c>
      <c r="AB13" s="61">
        <v>0.15</v>
      </c>
      <c r="AC13" s="61">
        <v>750</v>
      </c>
      <c r="AD13" s="61">
        <v>1</v>
      </c>
      <c r="AE13" s="75">
        <v>32</v>
      </c>
      <c r="AF13" s="65">
        <v>0.56000000000000005</v>
      </c>
      <c r="AG13" s="79">
        <v>6</v>
      </c>
      <c r="AH13" s="79">
        <v>0.63519999999999999</v>
      </c>
      <c r="AI13" s="79">
        <v>0.2797</v>
      </c>
      <c r="AJ13" s="75">
        <v>500</v>
      </c>
      <c r="AK13" s="75">
        <v>17</v>
      </c>
      <c r="AL13" s="61">
        <v>20</v>
      </c>
      <c r="AM13" s="75">
        <v>110</v>
      </c>
      <c r="AN13" s="75" t="s">
        <v>250</v>
      </c>
      <c r="AO13" s="65">
        <v>0.31</v>
      </c>
      <c r="AP13" s="65">
        <v>1.32</v>
      </c>
      <c r="AQ13" s="65">
        <v>1.17</v>
      </c>
      <c r="AR13" s="61" t="s">
        <v>212</v>
      </c>
    </row>
    <row r="14" spans="1:53" x14ac:dyDescent="0.25">
      <c r="A14" s="61" t="s">
        <v>547</v>
      </c>
      <c r="B14" s="61">
        <f t="shared" si="4"/>
        <v>2</v>
      </c>
      <c r="C14" s="61">
        <v>17</v>
      </c>
      <c r="D14" s="61">
        <f t="shared" si="5"/>
        <v>2</v>
      </c>
      <c r="E14" s="61">
        <f t="shared" si="6"/>
        <v>11</v>
      </c>
      <c r="F14" s="61">
        <f t="shared" si="7"/>
        <v>13</v>
      </c>
      <c r="G14" s="75">
        <v>1400539</v>
      </c>
      <c r="I14" s="65" t="s">
        <v>28</v>
      </c>
      <c r="J14" s="75">
        <f t="shared" si="0"/>
        <v>-1</v>
      </c>
      <c r="K14" s="75" t="s">
        <v>32</v>
      </c>
      <c r="L14" s="65"/>
      <c r="M14" s="65"/>
      <c r="N14" s="75">
        <v>0</v>
      </c>
      <c r="O14" s="75">
        <v>14</v>
      </c>
      <c r="P14" s="75">
        <v>0</v>
      </c>
      <c r="S14" s="61" t="s">
        <v>106</v>
      </c>
      <c r="V14" s="65"/>
      <c r="W14" s="65">
        <v>0.1</v>
      </c>
      <c r="Y14" s="65"/>
      <c r="Z14" s="65"/>
      <c r="AA14" s="61">
        <v>10000</v>
      </c>
      <c r="AB14" s="61">
        <v>0.15</v>
      </c>
      <c r="AC14" s="61">
        <v>750</v>
      </c>
      <c r="AD14" s="61">
        <v>1</v>
      </c>
      <c r="AE14" s="75">
        <v>32</v>
      </c>
      <c r="AF14" s="65">
        <v>0.56000000000000005</v>
      </c>
      <c r="AG14" s="79">
        <v>6</v>
      </c>
      <c r="AH14" s="79">
        <v>0.63519999999999999</v>
      </c>
      <c r="AI14" s="79">
        <v>0.2797</v>
      </c>
      <c r="AJ14" s="75">
        <v>500</v>
      </c>
      <c r="AK14" s="75">
        <v>17</v>
      </c>
      <c r="AL14" s="61">
        <v>20</v>
      </c>
      <c r="AM14" s="75">
        <v>110</v>
      </c>
      <c r="AN14" s="75" t="s">
        <v>250</v>
      </c>
      <c r="AO14" s="65">
        <v>0.31</v>
      </c>
      <c r="AP14" s="65">
        <v>1.32</v>
      </c>
      <c r="AQ14" s="65">
        <v>1.17</v>
      </c>
      <c r="AR14" s="61" t="s">
        <v>208</v>
      </c>
    </row>
    <row r="15" spans="1:53" s="68" customFormat="1" x14ac:dyDescent="0.25">
      <c r="A15" s="68" t="s">
        <v>547</v>
      </c>
      <c r="B15" s="68">
        <f t="shared" si="4"/>
        <v>2</v>
      </c>
      <c r="C15" s="68">
        <v>17</v>
      </c>
      <c r="D15" s="68">
        <f t="shared" si="5"/>
        <v>2</v>
      </c>
      <c r="E15" s="68">
        <f t="shared" si="6"/>
        <v>12</v>
      </c>
      <c r="F15" s="68">
        <f t="shared" si="7"/>
        <v>14</v>
      </c>
      <c r="G15" s="69">
        <v>1509501</v>
      </c>
      <c r="H15" s="69">
        <v>945</v>
      </c>
      <c r="I15" s="71" t="s">
        <v>29</v>
      </c>
      <c r="J15" s="69">
        <f t="shared" si="0"/>
        <v>1</v>
      </c>
      <c r="K15" s="69" t="s">
        <v>31</v>
      </c>
      <c r="L15" s="71" t="s">
        <v>30</v>
      </c>
      <c r="M15" s="71" t="s">
        <v>86</v>
      </c>
      <c r="N15" s="69">
        <v>5</v>
      </c>
      <c r="O15" s="69">
        <v>27</v>
      </c>
      <c r="P15" s="69">
        <v>202</v>
      </c>
      <c r="Q15" s="70"/>
      <c r="S15" s="68" t="s">
        <v>106</v>
      </c>
      <c r="V15" s="71"/>
      <c r="W15" s="71">
        <v>0.1</v>
      </c>
      <c r="X15" s="70"/>
      <c r="Y15" s="71"/>
      <c r="Z15" s="71"/>
      <c r="AA15" s="68">
        <v>10000</v>
      </c>
      <c r="AB15" s="68">
        <v>0.15</v>
      </c>
      <c r="AC15" s="68">
        <v>750</v>
      </c>
      <c r="AD15" s="68">
        <v>1</v>
      </c>
      <c r="AE15" s="69">
        <v>32</v>
      </c>
      <c r="AF15" s="71">
        <v>0.56000000000000005</v>
      </c>
      <c r="AG15" s="70">
        <v>6</v>
      </c>
      <c r="AH15" s="70">
        <v>0.63519999999999999</v>
      </c>
      <c r="AI15" s="70">
        <v>0.2797</v>
      </c>
      <c r="AJ15" s="69">
        <v>500</v>
      </c>
      <c r="AK15" s="69">
        <v>17</v>
      </c>
      <c r="AL15" s="68">
        <v>20</v>
      </c>
      <c r="AM15" s="69">
        <v>110</v>
      </c>
      <c r="AN15" s="69" t="s">
        <v>250</v>
      </c>
      <c r="AO15" s="71">
        <v>0.31</v>
      </c>
      <c r="AP15" s="71">
        <v>1.32</v>
      </c>
      <c r="AQ15" s="71">
        <v>1.17</v>
      </c>
      <c r="AR15" s="72" t="s">
        <v>222</v>
      </c>
      <c r="BA15" s="68" t="s">
        <v>214</v>
      </c>
    </row>
    <row r="16" spans="1:53" x14ac:dyDescent="0.25">
      <c r="A16" s="61" t="s">
        <v>547</v>
      </c>
      <c r="B16" s="61">
        <f t="shared" si="4"/>
        <v>2</v>
      </c>
      <c r="C16" s="61">
        <v>17</v>
      </c>
      <c r="D16" s="61">
        <f>D15+1</f>
        <v>3</v>
      </c>
      <c r="E16" s="61">
        <v>1</v>
      </c>
      <c r="F16" s="61">
        <f t="shared" si="7"/>
        <v>15</v>
      </c>
      <c r="G16" s="75">
        <v>1409503</v>
      </c>
      <c r="I16" s="65" t="s">
        <v>15</v>
      </c>
      <c r="J16" s="75">
        <f t="shared" si="0"/>
        <v>0</v>
      </c>
      <c r="K16" s="75" t="s">
        <v>33</v>
      </c>
      <c r="L16" s="75" t="s">
        <v>8</v>
      </c>
      <c r="M16" s="75" t="s">
        <v>86</v>
      </c>
      <c r="N16" s="75">
        <v>283</v>
      </c>
      <c r="O16" s="75">
        <v>705</v>
      </c>
      <c r="P16" s="75">
        <v>1330</v>
      </c>
      <c r="S16" s="61" t="s">
        <v>106</v>
      </c>
      <c r="V16" s="65"/>
      <c r="W16" s="65">
        <v>0.13</v>
      </c>
      <c r="Y16" s="65"/>
      <c r="Z16" s="65"/>
      <c r="AA16" s="61">
        <v>10000</v>
      </c>
      <c r="AB16" s="61">
        <v>0.15</v>
      </c>
      <c r="AC16" s="61">
        <v>1500</v>
      </c>
      <c r="AD16" s="61">
        <v>1</v>
      </c>
      <c r="AE16" s="75">
        <v>32</v>
      </c>
      <c r="AF16" s="65">
        <v>0.56000000000000005</v>
      </c>
      <c r="AG16" s="79">
        <v>4</v>
      </c>
      <c r="AH16" s="79">
        <v>0.67910000000000004</v>
      </c>
      <c r="AI16" s="79">
        <v>0.22839999999999999</v>
      </c>
      <c r="AJ16" s="75">
        <v>500</v>
      </c>
      <c r="AK16" s="75">
        <v>17</v>
      </c>
      <c r="AL16" s="61">
        <v>20</v>
      </c>
      <c r="AM16" s="75">
        <v>203</v>
      </c>
      <c r="AN16" s="75" t="s">
        <v>250</v>
      </c>
      <c r="AO16" s="65">
        <v>0.31</v>
      </c>
      <c r="AP16" s="65">
        <v>1.5</v>
      </c>
      <c r="AQ16" s="65">
        <v>1.05</v>
      </c>
    </row>
    <row r="17" spans="1:53" x14ac:dyDescent="0.25">
      <c r="A17" s="61" t="s">
        <v>547</v>
      </c>
      <c r="B17" s="61">
        <f t="shared" si="4"/>
        <v>2</v>
      </c>
      <c r="C17" s="61">
        <v>17</v>
      </c>
      <c r="D17" s="61">
        <f t="shared" ref="D17:D22" si="8">D16</f>
        <v>3</v>
      </c>
      <c r="E17" s="61">
        <v>2</v>
      </c>
      <c r="F17" s="61">
        <f t="shared" si="7"/>
        <v>16</v>
      </c>
      <c r="G17" s="75">
        <v>1420020</v>
      </c>
      <c r="H17" s="75">
        <v>947</v>
      </c>
      <c r="I17" s="65" t="s">
        <v>34</v>
      </c>
      <c r="J17" s="75">
        <f t="shared" si="0"/>
        <v>1</v>
      </c>
      <c r="K17" s="75" t="s">
        <v>31</v>
      </c>
      <c r="L17" s="75"/>
      <c r="M17" s="75"/>
      <c r="N17" s="75">
        <v>5</v>
      </c>
      <c r="O17" s="75">
        <v>5</v>
      </c>
      <c r="P17" s="75">
        <v>5</v>
      </c>
      <c r="S17" s="61" t="s">
        <v>106</v>
      </c>
      <c r="V17" s="65"/>
      <c r="W17" s="65">
        <v>0.13</v>
      </c>
      <c r="Y17" s="65"/>
      <c r="Z17" s="65"/>
      <c r="AA17" s="61">
        <v>10000</v>
      </c>
      <c r="AB17" s="61">
        <v>0.15</v>
      </c>
      <c r="AC17" s="61">
        <v>1500</v>
      </c>
      <c r="AD17" s="61">
        <v>1</v>
      </c>
      <c r="AE17" s="75">
        <v>32</v>
      </c>
      <c r="AF17" s="65">
        <v>0.56000000000000005</v>
      </c>
      <c r="AG17" s="79">
        <v>4</v>
      </c>
      <c r="AH17" s="79">
        <v>0.67910000000000004</v>
      </c>
      <c r="AI17" s="79">
        <v>0.22839999999999999</v>
      </c>
      <c r="AJ17" s="75">
        <v>500</v>
      </c>
      <c r="AK17" s="75">
        <v>17</v>
      </c>
      <c r="AL17" s="61">
        <v>20</v>
      </c>
      <c r="AM17" s="75">
        <v>203</v>
      </c>
      <c r="AN17" s="75" t="s">
        <v>250</v>
      </c>
      <c r="AO17" s="65">
        <v>0.31</v>
      </c>
      <c r="AP17" s="65">
        <v>1.5</v>
      </c>
      <c r="AQ17" s="65">
        <v>1.05</v>
      </c>
      <c r="AR17" s="80" t="s">
        <v>209</v>
      </c>
    </row>
    <row r="18" spans="1:53" x14ac:dyDescent="0.25">
      <c r="A18" s="61" t="s">
        <v>547</v>
      </c>
      <c r="B18" s="61">
        <f t="shared" si="4"/>
        <v>2</v>
      </c>
      <c r="C18" s="61">
        <v>17</v>
      </c>
      <c r="D18" s="61">
        <f t="shared" si="8"/>
        <v>3</v>
      </c>
      <c r="E18" s="61">
        <v>3</v>
      </c>
      <c r="F18" s="61">
        <f t="shared" si="7"/>
        <v>17</v>
      </c>
      <c r="G18" s="75">
        <v>1400538</v>
      </c>
      <c r="I18" s="65" t="s">
        <v>35</v>
      </c>
      <c r="J18" s="75">
        <f t="shared" si="0"/>
        <v>-1</v>
      </c>
      <c r="K18" s="75" t="s">
        <v>32</v>
      </c>
      <c r="L18" s="75"/>
      <c r="M18" s="75"/>
      <c r="N18" s="75">
        <v>0</v>
      </c>
      <c r="O18" s="75">
        <v>0</v>
      </c>
      <c r="P18" s="75">
        <v>0</v>
      </c>
      <c r="S18" s="61" t="s">
        <v>106</v>
      </c>
      <c r="V18" s="65"/>
      <c r="W18" s="65">
        <v>0.13</v>
      </c>
      <c r="Y18" s="65"/>
      <c r="Z18" s="65"/>
      <c r="AA18" s="61">
        <v>10000</v>
      </c>
      <c r="AB18" s="61">
        <v>0.15</v>
      </c>
      <c r="AC18" s="61">
        <v>1500</v>
      </c>
      <c r="AD18" s="61">
        <v>1</v>
      </c>
      <c r="AE18" s="75">
        <v>32</v>
      </c>
      <c r="AF18" s="65">
        <v>0.56000000000000005</v>
      </c>
      <c r="AG18" s="79">
        <v>4</v>
      </c>
      <c r="AH18" s="79">
        <v>0.67910000000000004</v>
      </c>
      <c r="AI18" s="79">
        <v>0.22839999999999999</v>
      </c>
      <c r="AJ18" s="75">
        <v>500</v>
      </c>
      <c r="AK18" s="75">
        <v>17</v>
      </c>
      <c r="AL18" s="61">
        <v>20</v>
      </c>
      <c r="AM18" s="75">
        <v>203</v>
      </c>
      <c r="AN18" s="75" t="s">
        <v>250</v>
      </c>
      <c r="AO18" s="65">
        <v>0.31</v>
      </c>
      <c r="AP18" s="65">
        <v>1.5</v>
      </c>
      <c r="AQ18" s="65">
        <v>1.05</v>
      </c>
      <c r="AR18" s="61" t="s">
        <v>208</v>
      </c>
    </row>
    <row r="19" spans="1:53" x14ac:dyDescent="0.25">
      <c r="A19" s="61" t="s">
        <v>547</v>
      </c>
      <c r="B19" s="61">
        <f t="shared" si="4"/>
        <v>2</v>
      </c>
      <c r="C19" s="61">
        <v>17</v>
      </c>
      <c r="D19" s="61">
        <f t="shared" si="8"/>
        <v>3</v>
      </c>
      <c r="E19" s="61">
        <v>4</v>
      </c>
      <c r="F19" s="61">
        <f t="shared" si="7"/>
        <v>18</v>
      </c>
      <c r="G19" s="75">
        <v>1700540</v>
      </c>
      <c r="I19" s="65" t="s">
        <v>36</v>
      </c>
      <c r="J19" s="75">
        <f t="shared" si="0"/>
        <v>-1</v>
      </c>
      <c r="K19" s="75" t="s">
        <v>32</v>
      </c>
      <c r="L19" s="75" t="s">
        <v>39</v>
      </c>
      <c r="M19" s="75" t="s">
        <v>86</v>
      </c>
      <c r="N19" s="75">
        <v>0</v>
      </c>
      <c r="O19" s="75">
        <v>126</v>
      </c>
      <c r="P19" s="75">
        <v>203</v>
      </c>
      <c r="S19" s="61" t="s">
        <v>106</v>
      </c>
      <c r="V19" s="65"/>
      <c r="W19" s="65">
        <v>0.13</v>
      </c>
      <c r="Y19" s="65"/>
      <c r="Z19" s="65"/>
      <c r="AA19" s="61">
        <v>10000</v>
      </c>
      <c r="AB19" s="61">
        <v>0.15</v>
      </c>
      <c r="AC19" s="61">
        <v>1500</v>
      </c>
      <c r="AD19" s="61">
        <v>1</v>
      </c>
      <c r="AE19" s="75">
        <v>32</v>
      </c>
      <c r="AF19" s="65">
        <v>0.56000000000000005</v>
      </c>
      <c r="AG19" s="79">
        <v>4</v>
      </c>
      <c r="AH19" s="79">
        <v>0.67910000000000004</v>
      </c>
      <c r="AI19" s="79">
        <v>0.22839999999999999</v>
      </c>
      <c r="AJ19" s="75">
        <v>500</v>
      </c>
      <c r="AK19" s="75">
        <v>17</v>
      </c>
      <c r="AL19" s="61">
        <v>20</v>
      </c>
      <c r="AM19" s="75">
        <v>203</v>
      </c>
      <c r="AN19" s="75" t="s">
        <v>250</v>
      </c>
      <c r="AO19" s="65">
        <v>0.31</v>
      </c>
      <c r="AP19" s="65">
        <v>1.5</v>
      </c>
      <c r="AQ19" s="65">
        <v>1.05</v>
      </c>
      <c r="AR19" s="61" t="s">
        <v>208</v>
      </c>
    </row>
    <row r="20" spans="1:53" x14ac:dyDescent="0.25">
      <c r="A20" s="61" t="s">
        <v>547</v>
      </c>
      <c r="B20" s="61">
        <f t="shared" si="4"/>
        <v>2</v>
      </c>
      <c r="C20" s="61">
        <v>17</v>
      </c>
      <c r="D20" s="61">
        <f t="shared" si="8"/>
        <v>3</v>
      </c>
      <c r="E20" s="61">
        <v>5</v>
      </c>
      <c r="F20" s="61">
        <f t="shared" si="7"/>
        <v>19</v>
      </c>
      <c r="G20" s="75">
        <v>1409506</v>
      </c>
      <c r="H20" s="75">
        <v>937</v>
      </c>
      <c r="I20" s="65" t="s">
        <v>37</v>
      </c>
      <c r="J20" s="75">
        <f t="shared" si="0"/>
        <v>1</v>
      </c>
      <c r="K20" s="75" t="s">
        <v>31</v>
      </c>
      <c r="L20" s="75" t="s">
        <v>40</v>
      </c>
      <c r="M20" s="75" t="s">
        <v>86</v>
      </c>
      <c r="N20" s="75">
        <v>1</v>
      </c>
      <c r="O20" s="75">
        <v>21</v>
      </c>
      <c r="P20" s="75">
        <v>231</v>
      </c>
      <c r="S20" s="61" t="s">
        <v>106</v>
      </c>
      <c r="V20" s="65"/>
      <c r="W20" s="65">
        <v>0.13</v>
      </c>
      <c r="Y20" s="65"/>
      <c r="Z20" s="65"/>
      <c r="AA20" s="61">
        <v>10000</v>
      </c>
      <c r="AB20" s="61">
        <v>0.15</v>
      </c>
      <c r="AC20" s="61">
        <v>1500</v>
      </c>
      <c r="AD20" s="61">
        <v>1</v>
      </c>
      <c r="AE20" s="75">
        <v>32</v>
      </c>
      <c r="AF20" s="65">
        <v>0.56000000000000005</v>
      </c>
      <c r="AG20" s="79">
        <v>4</v>
      </c>
      <c r="AH20" s="79">
        <v>0.67910000000000004</v>
      </c>
      <c r="AI20" s="79">
        <v>0.22839999999999999</v>
      </c>
      <c r="AJ20" s="75">
        <v>500</v>
      </c>
      <c r="AK20" s="75">
        <v>17</v>
      </c>
      <c r="AL20" s="61">
        <v>20</v>
      </c>
      <c r="AM20" s="75">
        <v>203</v>
      </c>
      <c r="AN20" s="75" t="s">
        <v>250</v>
      </c>
      <c r="AO20" s="65">
        <v>0.31</v>
      </c>
      <c r="AP20" s="65">
        <v>1.5</v>
      </c>
      <c r="AQ20" s="65">
        <v>1.05</v>
      </c>
      <c r="AR20" s="80" t="s">
        <v>211</v>
      </c>
      <c r="BA20" s="61" t="str">
        <f>ROUND(5280/3/60/60,2) &amp;"hr"</f>
        <v>0.49hr</v>
      </c>
    </row>
    <row r="21" spans="1:53" x14ac:dyDescent="0.25">
      <c r="A21" s="61" t="s">
        <v>547</v>
      </c>
      <c r="B21" s="61">
        <f t="shared" si="4"/>
        <v>2</v>
      </c>
      <c r="C21" s="61">
        <v>17</v>
      </c>
      <c r="D21" s="61">
        <f t="shared" si="8"/>
        <v>3</v>
      </c>
      <c r="E21" s="61">
        <v>6</v>
      </c>
      <c r="F21" s="61">
        <f t="shared" si="7"/>
        <v>20</v>
      </c>
      <c r="G21" s="75">
        <v>1700542</v>
      </c>
      <c r="I21" s="65" t="s">
        <v>89</v>
      </c>
      <c r="J21" s="75">
        <f t="shared" si="0"/>
        <v>-1</v>
      </c>
      <c r="K21" s="75" t="s">
        <v>32</v>
      </c>
      <c r="L21" s="75" t="s">
        <v>41</v>
      </c>
      <c r="M21" s="75" t="s">
        <v>86</v>
      </c>
      <c r="N21" s="75">
        <v>129</v>
      </c>
      <c r="O21" s="75">
        <v>142</v>
      </c>
      <c r="P21" s="75">
        <v>348</v>
      </c>
      <c r="S21" s="61" t="s">
        <v>106</v>
      </c>
      <c r="V21" s="65"/>
      <c r="W21" s="65">
        <v>0.13</v>
      </c>
      <c r="Y21" s="65"/>
      <c r="Z21" s="65"/>
      <c r="AA21" s="61">
        <v>10000</v>
      </c>
      <c r="AB21" s="61">
        <v>0.15</v>
      </c>
      <c r="AC21" s="61">
        <v>1500</v>
      </c>
      <c r="AD21" s="61">
        <v>1</v>
      </c>
      <c r="AE21" s="75">
        <v>32</v>
      </c>
      <c r="AF21" s="65">
        <v>0.56000000000000005</v>
      </c>
      <c r="AG21" s="79">
        <v>4</v>
      </c>
      <c r="AH21" s="79">
        <v>0.67910000000000004</v>
      </c>
      <c r="AI21" s="79">
        <v>0.22839999999999999</v>
      </c>
      <c r="AJ21" s="75">
        <v>500</v>
      </c>
      <c r="AK21" s="75">
        <v>17</v>
      </c>
      <c r="AL21" s="61">
        <v>20</v>
      </c>
      <c r="AM21" s="75">
        <v>203</v>
      </c>
      <c r="AN21" s="75" t="s">
        <v>250</v>
      </c>
      <c r="AO21" s="65">
        <v>0.31</v>
      </c>
      <c r="AP21" s="65">
        <v>1.5</v>
      </c>
      <c r="AQ21" s="65">
        <v>1.05</v>
      </c>
      <c r="AR21" s="61" t="s">
        <v>208</v>
      </c>
    </row>
    <row r="22" spans="1:53" s="68" customFormat="1" x14ac:dyDescent="0.25">
      <c r="A22" s="68" t="s">
        <v>547</v>
      </c>
      <c r="B22" s="68">
        <f t="shared" si="4"/>
        <v>2</v>
      </c>
      <c r="C22" s="68">
        <v>17</v>
      </c>
      <c r="D22" s="68">
        <f t="shared" si="8"/>
        <v>3</v>
      </c>
      <c r="E22" s="68">
        <v>7</v>
      </c>
      <c r="F22" s="68">
        <f t="shared" si="7"/>
        <v>21</v>
      </c>
      <c r="G22" s="69">
        <v>1700541</v>
      </c>
      <c r="H22" s="69"/>
      <c r="I22" s="71" t="s">
        <v>38</v>
      </c>
      <c r="J22" s="69">
        <f t="shared" si="0"/>
        <v>-1</v>
      </c>
      <c r="K22" s="69" t="s">
        <v>32</v>
      </c>
      <c r="L22" s="69" t="s">
        <v>42</v>
      </c>
      <c r="M22" s="69" t="s">
        <v>86</v>
      </c>
      <c r="N22" s="69">
        <v>17</v>
      </c>
      <c r="O22" s="69">
        <v>35</v>
      </c>
      <c r="P22" s="69">
        <v>103</v>
      </c>
      <c r="Q22" s="70"/>
      <c r="S22" s="68" t="s">
        <v>106</v>
      </c>
      <c r="V22" s="71"/>
      <c r="W22" s="71">
        <v>0.13</v>
      </c>
      <c r="X22" s="70"/>
      <c r="Y22" s="71"/>
      <c r="Z22" s="71"/>
      <c r="AA22" s="68">
        <v>10000</v>
      </c>
      <c r="AB22" s="68">
        <v>0.15</v>
      </c>
      <c r="AC22" s="68">
        <v>1500</v>
      </c>
      <c r="AD22" s="68">
        <v>1</v>
      </c>
      <c r="AE22" s="69">
        <v>32</v>
      </c>
      <c r="AF22" s="71">
        <v>0.56000000000000005</v>
      </c>
      <c r="AG22" s="70">
        <v>4</v>
      </c>
      <c r="AH22" s="70">
        <v>0.67910000000000004</v>
      </c>
      <c r="AI22" s="70">
        <v>0.22839999999999999</v>
      </c>
      <c r="AJ22" s="69">
        <v>500</v>
      </c>
      <c r="AK22" s="69">
        <v>17</v>
      </c>
      <c r="AL22" s="68">
        <v>20</v>
      </c>
      <c r="AM22" s="69">
        <v>203</v>
      </c>
      <c r="AN22" s="69" t="s">
        <v>250</v>
      </c>
      <c r="AO22" s="71">
        <v>0.31</v>
      </c>
      <c r="AP22" s="71">
        <v>1.5</v>
      </c>
      <c r="AQ22" s="71">
        <v>1.05</v>
      </c>
      <c r="AR22" s="72" t="s">
        <v>208</v>
      </c>
    </row>
    <row r="23" spans="1:53" x14ac:dyDescent="0.25">
      <c r="A23" s="61" t="s">
        <v>547</v>
      </c>
      <c r="B23" s="61">
        <f t="shared" si="4"/>
        <v>2</v>
      </c>
      <c r="C23" s="61">
        <v>17</v>
      </c>
      <c r="D23" s="61">
        <f>D22+1</f>
        <v>4</v>
      </c>
      <c r="E23" s="61">
        <v>1</v>
      </c>
      <c r="F23" s="61">
        <f t="shared" si="7"/>
        <v>22</v>
      </c>
      <c r="G23" s="75">
        <v>1409502</v>
      </c>
      <c r="I23" s="65" t="s">
        <v>16</v>
      </c>
      <c r="J23" s="75">
        <f t="shared" si="0"/>
        <v>0</v>
      </c>
      <c r="K23" s="75" t="s">
        <v>33</v>
      </c>
      <c r="L23" s="75" t="s">
        <v>9</v>
      </c>
      <c r="M23" s="75" t="s">
        <v>86</v>
      </c>
      <c r="N23" s="75">
        <v>155</v>
      </c>
      <c r="O23" s="75">
        <v>515</v>
      </c>
      <c r="P23" s="75">
        <v>1115</v>
      </c>
      <c r="S23" s="61" t="s">
        <v>106</v>
      </c>
      <c r="V23" s="65"/>
      <c r="W23" s="65">
        <v>0.13</v>
      </c>
      <c r="Y23" s="65"/>
      <c r="Z23" s="65"/>
      <c r="AA23" s="61">
        <v>10000</v>
      </c>
      <c r="AB23" s="61">
        <v>0.15</v>
      </c>
      <c r="AC23" s="61">
        <v>1500</v>
      </c>
      <c r="AD23" s="61">
        <v>1</v>
      </c>
      <c r="AE23" s="75">
        <v>32</v>
      </c>
      <c r="AF23" s="65">
        <v>0.56000000000000005</v>
      </c>
      <c r="AG23" s="79">
        <v>4</v>
      </c>
      <c r="AH23" s="79">
        <v>0.56440000000000001</v>
      </c>
      <c r="AI23" s="79">
        <v>0.24690000000000001</v>
      </c>
      <c r="AJ23" s="75">
        <v>500</v>
      </c>
      <c r="AK23" s="75">
        <v>17</v>
      </c>
      <c r="AL23" s="61">
        <v>20</v>
      </c>
      <c r="AM23" s="75">
        <v>85</v>
      </c>
      <c r="AN23" s="75" t="s">
        <v>250</v>
      </c>
      <c r="AO23" s="65">
        <v>0.37</v>
      </c>
      <c r="AP23" s="65">
        <v>1.38</v>
      </c>
      <c r="AQ23" s="65">
        <v>1.05</v>
      </c>
    </row>
    <row r="24" spans="1:53" x14ac:dyDescent="0.25">
      <c r="A24" s="61" t="s">
        <v>547</v>
      </c>
      <c r="B24" s="61">
        <f t="shared" si="4"/>
        <v>2</v>
      </c>
      <c r="C24" s="61">
        <v>17</v>
      </c>
      <c r="D24" s="61">
        <f>D23</f>
        <v>4</v>
      </c>
      <c r="E24" s="61">
        <f>E23+1</f>
        <v>2</v>
      </c>
      <c r="F24" s="61">
        <f t="shared" si="7"/>
        <v>23</v>
      </c>
      <c r="G24" s="75">
        <v>1700557</v>
      </c>
      <c r="I24" s="65" t="s">
        <v>43</v>
      </c>
      <c r="J24" s="75">
        <f t="shared" si="0"/>
        <v>-1</v>
      </c>
      <c r="K24" s="75" t="s">
        <v>32</v>
      </c>
      <c r="L24" s="75" t="s">
        <v>67</v>
      </c>
      <c r="M24" s="75" t="s">
        <v>86</v>
      </c>
      <c r="N24" s="75">
        <v>0</v>
      </c>
      <c r="O24" s="75">
        <v>33</v>
      </c>
      <c r="P24" s="75">
        <v>21</v>
      </c>
      <c r="S24" s="61" t="s">
        <v>106</v>
      </c>
      <c r="V24" s="65"/>
      <c r="W24" s="65">
        <v>0.13</v>
      </c>
      <c r="Y24" s="65"/>
      <c r="Z24" s="65"/>
      <c r="AA24" s="61">
        <v>10000</v>
      </c>
      <c r="AB24" s="61">
        <v>0.15</v>
      </c>
      <c r="AC24" s="61">
        <v>1500</v>
      </c>
      <c r="AD24" s="61">
        <v>1</v>
      </c>
      <c r="AE24" s="75">
        <v>32</v>
      </c>
      <c r="AF24" s="65">
        <v>0.56000000000000005</v>
      </c>
      <c r="AG24" s="79">
        <v>4</v>
      </c>
      <c r="AH24" s="79">
        <v>0.56440000000000001</v>
      </c>
      <c r="AI24" s="79">
        <v>0.24690000000000001</v>
      </c>
      <c r="AJ24" s="75">
        <v>500</v>
      </c>
      <c r="AK24" s="75">
        <v>17</v>
      </c>
      <c r="AL24" s="61">
        <v>20</v>
      </c>
      <c r="AM24" s="75">
        <v>85</v>
      </c>
      <c r="AN24" s="75" t="s">
        <v>250</v>
      </c>
      <c r="AO24" s="65">
        <v>0.37</v>
      </c>
      <c r="AP24" s="65">
        <v>1.38</v>
      </c>
      <c r="AQ24" s="65">
        <v>1.05</v>
      </c>
      <c r="AR24" s="61" t="s">
        <v>208</v>
      </c>
    </row>
    <row r="25" spans="1:53" x14ac:dyDescent="0.25">
      <c r="A25" s="61" t="s">
        <v>547</v>
      </c>
      <c r="B25" s="61">
        <f t="shared" si="4"/>
        <v>2</v>
      </c>
      <c r="C25" s="61">
        <v>17</v>
      </c>
      <c r="D25" s="61">
        <f>D24</f>
        <v>4</v>
      </c>
      <c r="E25" s="61">
        <f>E24+1</f>
        <v>3</v>
      </c>
      <c r="F25" s="61">
        <f t="shared" si="7"/>
        <v>24</v>
      </c>
      <c r="G25" s="75">
        <v>1709502</v>
      </c>
      <c r="H25" s="75">
        <v>1024</v>
      </c>
      <c r="I25" s="65" t="s">
        <v>44</v>
      </c>
      <c r="J25" s="75">
        <f t="shared" si="0"/>
        <v>1</v>
      </c>
      <c r="K25" s="75" t="s">
        <v>31</v>
      </c>
      <c r="L25" s="65" t="s">
        <v>45</v>
      </c>
      <c r="M25" s="65" t="s">
        <v>86</v>
      </c>
      <c r="N25" s="75">
        <v>4</v>
      </c>
      <c r="O25" s="75">
        <v>12</v>
      </c>
      <c r="P25" s="75">
        <v>36</v>
      </c>
      <c r="S25" s="61" t="s">
        <v>106</v>
      </c>
      <c r="V25" s="65"/>
      <c r="W25" s="65">
        <v>0.13</v>
      </c>
      <c r="Y25" s="65"/>
      <c r="Z25" s="65"/>
      <c r="AA25" s="61">
        <v>10000</v>
      </c>
      <c r="AB25" s="61">
        <v>0.15</v>
      </c>
      <c r="AC25" s="61">
        <v>1500</v>
      </c>
      <c r="AD25" s="61">
        <v>1</v>
      </c>
      <c r="AE25" s="75">
        <v>32</v>
      </c>
      <c r="AF25" s="65">
        <v>0.56000000000000005</v>
      </c>
      <c r="AG25" s="79">
        <v>4</v>
      </c>
      <c r="AH25" s="79">
        <v>0.56440000000000001</v>
      </c>
      <c r="AI25" s="79">
        <v>0.24690000000000001</v>
      </c>
      <c r="AJ25" s="75">
        <v>500</v>
      </c>
      <c r="AK25" s="75">
        <v>17</v>
      </c>
      <c r="AL25" s="61">
        <v>20</v>
      </c>
      <c r="AM25" s="75">
        <v>85</v>
      </c>
      <c r="AN25" s="75" t="s">
        <v>250</v>
      </c>
      <c r="AO25" s="65">
        <v>0.37</v>
      </c>
      <c r="AP25" s="65">
        <v>1.38</v>
      </c>
      <c r="AQ25" s="65">
        <v>1.05</v>
      </c>
      <c r="AR25" s="80" t="s">
        <v>210</v>
      </c>
      <c r="BA25" s="61" t="str">
        <f>ROUND(2.5*5280/3/60/60,1) &amp;"hr maybe stub"</f>
        <v>1.2hr maybe stub</v>
      </c>
    </row>
    <row r="26" spans="1:53" s="68" customFormat="1" x14ac:dyDescent="0.25">
      <c r="A26" s="68" t="s">
        <v>547</v>
      </c>
      <c r="B26" s="68">
        <f t="shared" si="4"/>
        <v>2</v>
      </c>
      <c r="C26" s="68">
        <v>17</v>
      </c>
      <c r="D26" s="68">
        <f>D25</f>
        <v>4</v>
      </c>
      <c r="E26" s="68">
        <f>E25+1</f>
        <v>4</v>
      </c>
      <c r="F26" s="68">
        <f t="shared" si="7"/>
        <v>25</v>
      </c>
      <c r="G26" s="69">
        <v>1700552</v>
      </c>
      <c r="H26" s="69"/>
      <c r="I26" s="71" t="s">
        <v>20</v>
      </c>
      <c r="J26" s="69">
        <f t="shared" si="0"/>
        <v>-1</v>
      </c>
      <c r="K26" s="69" t="s">
        <v>32</v>
      </c>
      <c r="L26" s="69" t="s">
        <v>68</v>
      </c>
      <c r="M26" s="69" t="s">
        <v>87</v>
      </c>
      <c r="N26" s="69">
        <v>132</v>
      </c>
      <c r="O26" s="69">
        <v>151</v>
      </c>
      <c r="P26" s="69">
        <v>272</v>
      </c>
      <c r="Q26" s="70"/>
      <c r="S26" s="68" t="s">
        <v>106</v>
      </c>
      <c r="V26" s="71"/>
      <c r="W26" s="71">
        <v>0.13</v>
      </c>
      <c r="X26" s="70"/>
      <c r="Y26" s="71"/>
      <c r="Z26" s="71"/>
      <c r="AA26" s="68">
        <v>10000</v>
      </c>
      <c r="AB26" s="68">
        <v>0.15</v>
      </c>
      <c r="AC26" s="68">
        <v>1500</v>
      </c>
      <c r="AD26" s="68">
        <v>1</v>
      </c>
      <c r="AE26" s="69">
        <v>32</v>
      </c>
      <c r="AF26" s="71">
        <v>0.56000000000000005</v>
      </c>
      <c r="AG26" s="70">
        <v>4</v>
      </c>
      <c r="AH26" s="70">
        <v>0.56440000000000001</v>
      </c>
      <c r="AI26" s="70">
        <v>0.24690000000000001</v>
      </c>
      <c r="AJ26" s="69">
        <v>500</v>
      </c>
      <c r="AK26" s="69">
        <v>17</v>
      </c>
      <c r="AL26" s="68">
        <v>20</v>
      </c>
      <c r="AM26" s="69">
        <v>85</v>
      </c>
      <c r="AN26" s="69" t="s">
        <v>250</v>
      </c>
      <c r="AO26" s="71">
        <v>0.37</v>
      </c>
      <c r="AP26" s="71">
        <v>1.38</v>
      </c>
      <c r="AQ26" s="71">
        <v>1.05</v>
      </c>
      <c r="AR26" s="72" t="s">
        <v>208</v>
      </c>
    </row>
    <row r="27" spans="1:53" x14ac:dyDescent="0.25">
      <c r="A27" s="61" t="s">
        <v>547</v>
      </c>
      <c r="B27" s="61">
        <f t="shared" si="4"/>
        <v>2</v>
      </c>
      <c r="C27" s="61">
        <v>17</v>
      </c>
      <c r="D27" s="61">
        <f>D26+1</f>
        <v>5</v>
      </c>
      <c r="E27" s="61">
        <v>1</v>
      </c>
      <c r="F27" s="61">
        <f t="shared" si="7"/>
        <v>26</v>
      </c>
      <c r="G27" s="75">
        <v>1709503</v>
      </c>
      <c r="I27" s="65" t="s">
        <v>17</v>
      </c>
      <c r="J27" s="75">
        <f t="shared" si="0"/>
        <v>0</v>
      </c>
      <c r="K27" s="75" t="s">
        <v>33</v>
      </c>
      <c r="L27" s="75" t="s">
        <v>10</v>
      </c>
      <c r="M27" s="75" t="s">
        <v>86</v>
      </c>
      <c r="N27" s="75">
        <v>101</v>
      </c>
      <c r="O27" s="75">
        <v>424</v>
      </c>
      <c r="P27" s="75">
        <v>943</v>
      </c>
      <c r="S27" s="61" t="s">
        <v>106</v>
      </c>
      <c r="V27" s="65"/>
      <c r="W27" s="65">
        <v>0.13</v>
      </c>
      <c r="Y27" s="65"/>
      <c r="Z27" s="65"/>
      <c r="AA27" s="61">
        <v>10000</v>
      </c>
      <c r="AB27" s="61">
        <v>0.15</v>
      </c>
      <c r="AC27" s="61">
        <v>2500</v>
      </c>
      <c r="AD27" s="61">
        <v>1</v>
      </c>
      <c r="AE27" s="75">
        <v>32</v>
      </c>
      <c r="AF27" s="65">
        <v>0.56000000000000005</v>
      </c>
      <c r="AG27" s="79">
        <v>4</v>
      </c>
      <c r="AH27" s="79">
        <v>0.70189999999999997</v>
      </c>
      <c r="AI27" s="79">
        <v>0.2102</v>
      </c>
      <c r="AJ27" s="75">
        <v>500</v>
      </c>
      <c r="AK27" s="75">
        <v>17</v>
      </c>
      <c r="AL27" s="61">
        <v>20</v>
      </c>
      <c r="AM27" s="75">
        <v>17</v>
      </c>
      <c r="AN27" s="75" t="s">
        <v>250</v>
      </c>
      <c r="AO27" s="65">
        <v>0.44</v>
      </c>
      <c r="AP27" s="65">
        <v>1.18</v>
      </c>
      <c r="AQ27" s="65">
        <v>1.05</v>
      </c>
    </row>
    <row r="28" spans="1:53" x14ac:dyDescent="0.25">
      <c r="A28" s="61" t="s">
        <v>547</v>
      </c>
      <c r="B28" s="61">
        <f t="shared" si="4"/>
        <v>2</v>
      </c>
      <c r="C28" s="61">
        <v>17</v>
      </c>
      <c r="D28" s="61">
        <f>D27</f>
        <v>5</v>
      </c>
      <c r="E28" s="61">
        <f>E27+1</f>
        <v>2</v>
      </c>
      <c r="F28" s="61">
        <f t="shared" si="7"/>
        <v>27</v>
      </c>
      <c r="G28" s="75">
        <v>1700554</v>
      </c>
      <c r="I28" s="65" t="s">
        <v>46</v>
      </c>
      <c r="J28" s="75">
        <f t="shared" si="0"/>
        <v>-1</v>
      </c>
      <c r="K28" s="75" t="s">
        <v>32</v>
      </c>
      <c r="L28" s="75" t="s">
        <v>50</v>
      </c>
      <c r="M28" s="75" t="s">
        <v>86</v>
      </c>
      <c r="N28" s="75">
        <v>0</v>
      </c>
      <c r="O28" s="75">
        <v>145</v>
      </c>
      <c r="P28" s="75">
        <v>155</v>
      </c>
      <c r="S28" s="61" t="s">
        <v>106</v>
      </c>
      <c r="V28" s="65"/>
      <c r="W28" s="65">
        <v>0.13</v>
      </c>
      <c r="Y28" s="65"/>
      <c r="Z28" s="65"/>
      <c r="AA28" s="61">
        <v>10000</v>
      </c>
      <c r="AB28" s="61">
        <v>0.15</v>
      </c>
      <c r="AC28" s="61">
        <v>2500</v>
      </c>
      <c r="AD28" s="61">
        <v>1</v>
      </c>
      <c r="AE28" s="75">
        <v>32</v>
      </c>
      <c r="AF28" s="65">
        <v>0.56000000000000005</v>
      </c>
      <c r="AG28" s="79">
        <v>4</v>
      </c>
      <c r="AH28" s="79">
        <v>0.70189999999999997</v>
      </c>
      <c r="AI28" s="79">
        <v>0.2102</v>
      </c>
      <c r="AJ28" s="75">
        <v>500</v>
      </c>
      <c r="AK28" s="75">
        <v>17</v>
      </c>
      <c r="AL28" s="61">
        <v>20</v>
      </c>
      <c r="AM28" s="75">
        <v>17</v>
      </c>
      <c r="AN28" s="75" t="s">
        <v>250</v>
      </c>
      <c r="AO28" s="65">
        <v>0.44</v>
      </c>
      <c r="AP28" s="65">
        <v>1.18</v>
      </c>
      <c r="AQ28" s="65">
        <v>1.05</v>
      </c>
      <c r="AR28" s="80" t="s">
        <v>208</v>
      </c>
    </row>
    <row r="29" spans="1:53" x14ac:dyDescent="0.25">
      <c r="A29" s="61" t="s">
        <v>547</v>
      </c>
      <c r="B29" s="61">
        <f t="shared" si="4"/>
        <v>2</v>
      </c>
      <c r="C29" s="61">
        <v>17</v>
      </c>
      <c r="D29" s="61">
        <f>D28</f>
        <v>5</v>
      </c>
      <c r="E29" s="61">
        <f>E28+1</f>
        <v>3</v>
      </c>
      <c r="F29" s="61">
        <f t="shared" si="7"/>
        <v>28</v>
      </c>
      <c r="G29" s="75">
        <v>1700558</v>
      </c>
      <c r="I29" s="65" t="s">
        <v>47</v>
      </c>
      <c r="J29" s="75">
        <f t="shared" si="0"/>
        <v>-1</v>
      </c>
      <c r="K29" s="65" t="s">
        <v>32</v>
      </c>
      <c r="L29" s="75" t="s">
        <v>51</v>
      </c>
      <c r="M29" s="75" t="s">
        <v>88</v>
      </c>
      <c r="N29" s="75">
        <v>83</v>
      </c>
      <c r="O29" s="75">
        <v>45</v>
      </c>
      <c r="P29" s="75">
        <v>103</v>
      </c>
      <c r="S29" s="61" t="s">
        <v>106</v>
      </c>
      <c r="V29" s="65"/>
      <c r="W29" s="65">
        <v>0.13</v>
      </c>
      <c r="Y29" s="65"/>
      <c r="Z29" s="65"/>
      <c r="AA29" s="61">
        <v>10000</v>
      </c>
      <c r="AB29" s="61">
        <v>0.15</v>
      </c>
      <c r="AC29" s="61">
        <v>2500</v>
      </c>
      <c r="AD29" s="61">
        <v>1</v>
      </c>
      <c r="AE29" s="75">
        <v>32</v>
      </c>
      <c r="AF29" s="65">
        <v>0.56000000000000005</v>
      </c>
      <c r="AG29" s="79">
        <v>4</v>
      </c>
      <c r="AH29" s="79">
        <v>0.70189999999999997</v>
      </c>
      <c r="AI29" s="79">
        <v>0.2102</v>
      </c>
      <c r="AJ29" s="75">
        <v>500</v>
      </c>
      <c r="AK29" s="75">
        <v>17</v>
      </c>
      <c r="AL29" s="61">
        <v>20</v>
      </c>
      <c r="AM29" s="75">
        <v>17</v>
      </c>
      <c r="AN29" s="75" t="s">
        <v>250</v>
      </c>
      <c r="AO29" s="65">
        <v>0.44</v>
      </c>
      <c r="AP29" s="65">
        <v>1.18</v>
      </c>
      <c r="AQ29" s="65">
        <v>1.05</v>
      </c>
      <c r="AR29" s="80" t="s">
        <v>208</v>
      </c>
    </row>
    <row r="30" spans="1:53" x14ac:dyDescent="0.25">
      <c r="A30" s="61" t="s">
        <v>547</v>
      </c>
      <c r="B30" s="61">
        <f t="shared" si="4"/>
        <v>2</v>
      </c>
      <c r="C30" s="61">
        <v>17</v>
      </c>
      <c r="D30" s="61">
        <f>D29</f>
        <v>5</v>
      </c>
      <c r="E30" s="61">
        <f>E29+1</f>
        <v>4</v>
      </c>
      <c r="F30" s="61">
        <f t="shared" si="7"/>
        <v>29</v>
      </c>
      <c r="G30" s="75">
        <v>1700648</v>
      </c>
      <c r="I30" s="65" t="s">
        <v>48</v>
      </c>
      <c r="J30" s="75">
        <f t="shared" si="0"/>
        <v>-1</v>
      </c>
      <c r="K30" s="65" t="s">
        <v>32</v>
      </c>
      <c r="L30" s="75" t="s">
        <v>52</v>
      </c>
      <c r="M30" s="75" t="s">
        <v>86</v>
      </c>
      <c r="N30" s="75">
        <v>0</v>
      </c>
      <c r="O30" s="75">
        <v>233</v>
      </c>
      <c r="P30" s="75">
        <v>0</v>
      </c>
      <c r="S30" s="61" t="s">
        <v>106</v>
      </c>
      <c r="V30" s="65"/>
      <c r="W30" s="65">
        <v>0.13</v>
      </c>
      <c r="Y30" s="65"/>
      <c r="Z30" s="65"/>
      <c r="AA30" s="61">
        <v>10000</v>
      </c>
      <c r="AB30" s="61">
        <v>0.15</v>
      </c>
      <c r="AC30" s="61">
        <v>2500</v>
      </c>
      <c r="AD30" s="61">
        <v>1</v>
      </c>
      <c r="AE30" s="75">
        <v>32</v>
      </c>
      <c r="AF30" s="65">
        <v>0.56000000000000005</v>
      </c>
      <c r="AG30" s="79">
        <v>4</v>
      </c>
      <c r="AH30" s="79">
        <v>0.70189999999999997</v>
      </c>
      <c r="AI30" s="79">
        <v>0.2102</v>
      </c>
      <c r="AJ30" s="75">
        <v>500</v>
      </c>
      <c r="AK30" s="75">
        <v>17</v>
      </c>
      <c r="AL30" s="61">
        <v>20</v>
      </c>
      <c r="AM30" s="75">
        <v>17</v>
      </c>
      <c r="AN30" s="75" t="s">
        <v>250</v>
      </c>
      <c r="AO30" s="65">
        <v>0.44</v>
      </c>
      <c r="AP30" s="65">
        <v>1.18</v>
      </c>
      <c r="AQ30" s="65">
        <v>1.05</v>
      </c>
      <c r="AR30" s="80" t="s">
        <v>208</v>
      </c>
    </row>
    <row r="31" spans="1:53" x14ac:dyDescent="0.25">
      <c r="A31" s="61" t="s">
        <v>547</v>
      </c>
      <c r="B31" s="61">
        <f t="shared" si="4"/>
        <v>2</v>
      </c>
      <c r="C31" s="61">
        <v>17</v>
      </c>
      <c r="D31" s="61">
        <f>D30</f>
        <v>5</v>
      </c>
      <c r="E31" s="61">
        <f>E30+1</f>
        <v>5</v>
      </c>
      <c r="F31" s="61">
        <f t="shared" si="7"/>
        <v>30</v>
      </c>
      <c r="G31" s="75">
        <v>1700668</v>
      </c>
      <c r="H31" s="75">
        <v>6386</v>
      </c>
      <c r="I31" s="65" t="s">
        <v>21</v>
      </c>
      <c r="J31" s="75">
        <f t="shared" si="0"/>
        <v>1</v>
      </c>
      <c r="K31" s="65" t="s">
        <v>31</v>
      </c>
      <c r="L31" s="75" t="s">
        <v>53</v>
      </c>
      <c r="M31" s="75" t="s">
        <v>87</v>
      </c>
      <c r="N31" s="75">
        <v>24</v>
      </c>
      <c r="O31" s="75">
        <v>26</v>
      </c>
      <c r="P31" s="75">
        <v>31</v>
      </c>
      <c r="S31" s="61" t="s">
        <v>106</v>
      </c>
      <c r="V31" s="65"/>
      <c r="W31" s="65">
        <v>0.13</v>
      </c>
      <c r="Y31" s="65"/>
      <c r="Z31" s="65"/>
      <c r="AA31" s="61">
        <v>10000</v>
      </c>
      <c r="AB31" s="61">
        <v>0.15</v>
      </c>
      <c r="AC31" s="61">
        <v>2500</v>
      </c>
      <c r="AD31" s="61">
        <v>1</v>
      </c>
      <c r="AE31" s="75">
        <v>32</v>
      </c>
      <c r="AF31" s="65">
        <v>0.56000000000000005</v>
      </c>
      <c r="AG31" s="79">
        <v>4</v>
      </c>
      <c r="AH31" s="79">
        <v>0.70189999999999997</v>
      </c>
      <c r="AI31" s="79">
        <v>0.2102</v>
      </c>
      <c r="AJ31" s="75">
        <v>500</v>
      </c>
      <c r="AK31" s="75">
        <v>17</v>
      </c>
      <c r="AL31" s="61">
        <v>20</v>
      </c>
      <c r="AM31" s="75">
        <v>17</v>
      </c>
      <c r="AN31" s="75" t="s">
        <v>250</v>
      </c>
      <c r="AO31" s="65">
        <v>0.44</v>
      </c>
      <c r="AP31" s="65">
        <v>1.18</v>
      </c>
      <c r="AQ31" s="65">
        <v>1.05</v>
      </c>
      <c r="AR31" s="80" t="s">
        <v>213</v>
      </c>
      <c r="BA31" s="61" t="s">
        <v>217</v>
      </c>
    </row>
    <row r="32" spans="1:53" s="68" customFormat="1" x14ac:dyDescent="0.25">
      <c r="A32" s="68" t="s">
        <v>547</v>
      </c>
      <c r="B32" s="68">
        <f t="shared" si="4"/>
        <v>2</v>
      </c>
      <c r="C32" s="68">
        <v>17</v>
      </c>
      <c r="D32" s="68">
        <f>D31</f>
        <v>5</v>
      </c>
      <c r="E32" s="68">
        <f>E31+1</f>
        <v>6</v>
      </c>
      <c r="F32" s="68">
        <f t="shared" si="7"/>
        <v>31</v>
      </c>
      <c r="G32" s="69">
        <v>1703525</v>
      </c>
      <c r="H32" s="69">
        <v>6387</v>
      </c>
      <c r="I32" s="71" t="s">
        <v>66</v>
      </c>
      <c r="J32" s="69">
        <f t="shared" si="0"/>
        <v>1</v>
      </c>
      <c r="K32" s="71" t="s">
        <v>31</v>
      </c>
      <c r="L32" s="69" t="s">
        <v>49</v>
      </c>
      <c r="M32" s="69" t="s">
        <v>86</v>
      </c>
      <c r="N32" s="69">
        <v>72</v>
      </c>
      <c r="O32" s="69">
        <v>36</v>
      </c>
      <c r="P32" s="69">
        <v>47</v>
      </c>
      <c r="Q32" s="70">
        <v>1</v>
      </c>
      <c r="S32" s="68" t="s">
        <v>106</v>
      </c>
      <c r="V32" s="71"/>
      <c r="W32" s="71">
        <v>0.13</v>
      </c>
      <c r="X32" s="70"/>
      <c r="Y32" s="71"/>
      <c r="Z32" s="71"/>
      <c r="AA32" s="68">
        <v>10000</v>
      </c>
      <c r="AB32" s="68">
        <v>0.15</v>
      </c>
      <c r="AC32" s="68">
        <v>2500</v>
      </c>
      <c r="AD32" s="68">
        <v>1</v>
      </c>
      <c r="AE32" s="69">
        <v>32</v>
      </c>
      <c r="AF32" s="71">
        <v>0.56000000000000005</v>
      </c>
      <c r="AG32" s="70">
        <v>4</v>
      </c>
      <c r="AH32" s="70">
        <v>0.70189999999999997</v>
      </c>
      <c r="AI32" s="70">
        <v>0.2102</v>
      </c>
      <c r="AJ32" s="69">
        <v>500</v>
      </c>
      <c r="AK32" s="69">
        <v>17</v>
      </c>
      <c r="AL32" s="68">
        <v>20</v>
      </c>
      <c r="AM32" s="69">
        <v>17</v>
      </c>
      <c r="AN32" s="69" t="s">
        <v>250</v>
      </c>
      <c r="AO32" s="71">
        <v>0.44</v>
      </c>
      <c r="AP32" s="71">
        <v>1.18</v>
      </c>
      <c r="AQ32" s="71">
        <v>1.05</v>
      </c>
      <c r="AR32" s="72" t="s">
        <v>215</v>
      </c>
    </row>
    <row r="33" spans="1:53" x14ac:dyDescent="0.25">
      <c r="A33" s="61" t="s">
        <v>547</v>
      </c>
      <c r="B33" s="61">
        <f t="shared" si="4"/>
        <v>2</v>
      </c>
      <c r="C33" s="61">
        <v>17</v>
      </c>
      <c r="D33" s="61">
        <f>D32+1</f>
        <v>6</v>
      </c>
      <c r="E33" s="61">
        <v>1</v>
      </c>
      <c r="F33" s="61">
        <f t="shared" si="7"/>
        <v>32</v>
      </c>
      <c r="G33" s="75">
        <v>1709507</v>
      </c>
      <c r="I33" s="61" t="s">
        <v>54</v>
      </c>
      <c r="J33" s="75">
        <f t="shared" si="0"/>
        <v>0</v>
      </c>
      <c r="K33" s="75" t="s">
        <v>33</v>
      </c>
      <c r="L33" s="75" t="s">
        <v>11</v>
      </c>
      <c r="M33" s="75" t="s">
        <v>86</v>
      </c>
      <c r="N33" s="75">
        <v>107</v>
      </c>
      <c r="O33" s="75">
        <v>346</v>
      </c>
      <c r="P33" s="75">
        <v>780</v>
      </c>
      <c r="S33" s="61" t="s">
        <v>106</v>
      </c>
      <c r="V33" s="65"/>
      <c r="W33" s="65">
        <v>0.13</v>
      </c>
      <c r="Y33" s="65"/>
      <c r="Z33" s="65"/>
      <c r="AA33" s="61">
        <v>10000</v>
      </c>
      <c r="AB33" s="61">
        <v>0.15</v>
      </c>
      <c r="AC33" s="61">
        <v>2500</v>
      </c>
      <c r="AD33" s="61">
        <v>1</v>
      </c>
      <c r="AE33" s="75">
        <v>32</v>
      </c>
      <c r="AF33" s="65">
        <v>0.56000000000000005</v>
      </c>
      <c r="AG33" s="79">
        <v>3.5</v>
      </c>
      <c r="AH33" s="79">
        <v>0.49640000000000001</v>
      </c>
      <c r="AI33" s="79">
        <v>0.2626</v>
      </c>
      <c r="AJ33" s="75">
        <v>500</v>
      </c>
      <c r="AK33" s="75">
        <v>17</v>
      </c>
      <c r="AL33" s="61">
        <v>20</v>
      </c>
      <c r="AM33" s="75">
        <v>56</v>
      </c>
      <c r="AN33" s="75" t="s">
        <v>250</v>
      </c>
      <c r="AO33" s="65">
        <v>0.49</v>
      </c>
      <c r="AP33" s="65">
        <v>0.96</v>
      </c>
      <c r="AQ33" s="65">
        <v>1.04</v>
      </c>
    </row>
    <row r="34" spans="1:53" x14ac:dyDescent="0.25">
      <c r="A34" s="61" t="s">
        <v>547</v>
      </c>
      <c r="B34" s="61">
        <f t="shared" si="4"/>
        <v>2</v>
      </c>
      <c r="C34" s="61">
        <v>17</v>
      </c>
      <c r="D34" s="61">
        <f>D33</f>
        <v>6</v>
      </c>
      <c r="E34" s="61">
        <f>E33+1</f>
        <v>2</v>
      </c>
      <c r="F34" s="61">
        <f t="shared" si="7"/>
        <v>33</v>
      </c>
      <c r="G34" s="119">
        <v>1729075</v>
      </c>
      <c r="H34" s="75">
        <v>1007</v>
      </c>
      <c r="I34" s="61" t="s">
        <v>55</v>
      </c>
      <c r="J34" s="75">
        <f t="shared" si="0"/>
        <v>1</v>
      </c>
      <c r="K34" s="75" t="s">
        <v>31</v>
      </c>
      <c r="L34" s="75"/>
      <c r="M34" s="75"/>
      <c r="N34" s="75">
        <v>21</v>
      </c>
      <c r="O34" s="75">
        <v>48</v>
      </c>
      <c r="P34" s="75">
        <v>79</v>
      </c>
      <c r="S34" s="61" t="s">
        <v>106</v>
      </c>
      <c r="V34" s="65"/>
      <c r="W34" s="65">
        <v>0.13</v>
      </c>
      <c r="Y34" s="65"/>
      <c r="Z34" s="65"/>
      <c r="AA34" s="61">
        <v>10000</v>
      </c>
      <c r="AB34" s="61">
        <v>0.15</v>
      </c>
      <c r="AC34" s="61">
        <v>2500</v>
      </c>
      <c r="AD34" s="61">
        <v>1</v>
      </c>
      <c r="AE34" s="75">
        <v>32</v>
      </c>
      <c r="AF34" s="65">
        <v>0.56000000000000005</v>
      </c>
      <c r="AG34" s="79">
        <v>3.5</v>
      </c>
      <c r="AH34" s="79">
        <v>0.49640000000000001</v>
      </c>
      <c r="AI34" s="79">
        <v>0.2626</v>
      </c>
      <c r="AJ34" s="75">
        <v>500</v>
      </c>
      <c r="AK34" s="75">
        <v>17</v>
      </c>
      <c r="AL34" s="61">
        <v>20</v>
      </c>
      <c r="AM34" s="75">
        <v>56</v>
      </c>
      <c r="AN34" s="75" t="s">
        <v>250</v>
      </c>
      <c r="AO34" s="65">
        <v>0.49</v>
      </c>
      <c r="AP34" s="65">
        <v>0.96</v>
      </c>
      <c r="AQ34" s="65">
        <v>1.04</v>
      </c>
      <c r="AR34" s="80" t="s">
        <v>199</v>
      </c>
    </row>
    <row r="35" spans="1:53" x14ac:dyDescent="0.25">
      <c r="A35" s="61" t="s">
        <v>547</v>
      </c>
      <c r="B35" s="61">
        <f t="shared" si="4"/>
        <v>2</v>
      </c>
      <c r="C35" s="61">
        <v>17</v>
      </c>
      <c r="D35" s="61">
        <f>D34</f>
        <v>6</v>
      </c>
      <c r="E35" s="61">
        <f>E34+1</f>
        <v>3</v>
      </c>
      <c r="F35" s="61">
        <f t="shared" si="7"/>
        <v>34</v>
      </c>
      <c r="G35" s="75">
        <v>1703511</v>
      </c>
      <c r="H35" s="75">
        <v>6388</v>
      </c>
      <c r="I35" s="65" t="s">
        <v>97</v>
      </c>
      <c r="J35" s="75">
        <f t="shared" si="0"/>
        <v>1</v>
      </c>
      <c r="K35" s="75" t="s">
        <v>31</v>
      </c>
      <c r="L35" s="75" t="s">
        <v>98</v>
      </c>
      <c r="M35" s="75" t="s">
        <v>86</v>
      </c>
      <c r="N35" s="75">
        <v>0</v>
      </c>
      <c r="O35" s="75">
        <v>0</v>
      </c>
      <c r="P35" s="75">
        <v>0</v>
      </c>
      <c r="Q35" s="79">
        <v>1</v>
      </c>
      <c r="S35" s="61" t="s">
        <v>106</v>
      </c>
      <c r="V35" s="65"/>
      <c r="W35" s="65">
        <v>0.13</v>
      </c>
      <c r="Y35" s="65"/>
      <c r="Z35" s="65"/>
      <c r="AA35" s="61">
        <v>10000</v>
      </c>
      <c r="AB35" s="61">
        <v>0.15</v>
      </c>
      <c r="AC35" s="61">
        <v>2500</v>
      </c>
      <c r="AD35" s="61">
        <v>1</v>
      </c>
      <c r="AE35" s="75">
        <v>32</v>
      </c>
      <c r="AF35" s="65">
        <v>0.56000000000000005</v>
      </c>
      <c r="AG35" s="79">
        <v>3.5</v>
      </c>
      <c r="AH35" s="79">
        <v>0.49640000000000001</v>
      </c>
      <c r="AI35" s="79">
        <v>0.2626</v>
      </c>
      <c r="AJ35" s="75">
        <v>500</v>
      </c>
      <c r="AK35" s="75">
        <v>17</v>
      </c>
      <c r="AL35" s="61">
        <v>20</v>
      </c>
      <c r="AM35" s="75">
        <v>56</v>
      </c>
      <c r="AN35" s="75" t="s">
        <v>250</v>
      </c>
      <c r="AO35" s="65">
        <v>0.49</v>
      </c>
      <c r="AP35" s="65">
        <v>0.96</v>
      </c>
      <c r="AQ35" s="65">
        <v>1.04</v>
      </c>
      <c r="AR35" s="80" t="s">
        <v>216</v>
      </c>
    </row>
    <row r="36" spans="1:53" x14ac:dyDescent="0.25">
      <c r="A36" s="61" t="s">
        <v>547</v>
      </c>
      <c r="B36" s="61">
        <f t="shared" si="4"/>
        <v>2</v>
      </c>
      <c r="C36" s="61">
        <v>17</v>
      </c>
      <c r="D36" s="61">
        <f>D35</f>
        <v>6</v>
      </c>
      <c r="E36" s="61">
        <f>E35+1</f>
        <v>4</v>
      </c>
      <c r="F36" s="61">
        <f t="shared" si="7"/>
        <v>35</v>
      </c>
      <c r="G36" s="75">
        <v>1700553</v>
      </c>
      <c r="I36" s="65" t="s">
        <v>56</v>
      </c>
      <c r="J36" s="75">
        <f t="shared" si="0"/>
        <v>-1</v>
      </c>
      <c r="K36" s="75" t="s">
        <v>32</v>
      </c>
      <c r="L36" s="75" t="s">
        <v>58</v>
      </c>
      <c r="M36" s="75" t="s">
        <v>86</v>
      </c>
      <c r="N36" s="75">
        <v>152</v>
      </c>
      <c r="O36" s="75">
        <v>313</v>
      </c>
      <c r="P36" s="75">
        <v>552</v>
      </c>
      <c r="S36" s="61" t="s">
        <v>106</v>
      </c>
      <c r="V36" s="65"/>
      <c r="W36" s="65">
        <v>0.13</v>
      </c>
      <c r="Y36" s="65"/>
      <c r="Z36" s="65"/>
      <c r="AA36" s="61">
        <v>10000</v>
      </c>
      <c r="AB36" s="61">
        <v>0.15</v>
      </c>
      <c r="AC36" s="61">
        <v>2500</v>
      </c>
      <c r="AD36" s="61">
        <v>1</v>
      </c>
      <c r="AE36" s="75">
        <v>32</v>
      </c>
      <c r="AF36" s="65">
        <v>0.56000000000000005</v>
      </c>
      <c r="AG36" s="79">
        <v>3.5</v>
      </c>
      <c r="AH36" s="79">
        <v>0.49640000000000001</v>
      </c>
      <c r="AI36" s="79">
        <v>0.2626</v>
      </c>
      <c r="AJ36" s="75">
        <v>500</v>
      </c>
      <c r="AK36" s="75">
        <v>17</v>
      </c>
      <c r="AL36" s="61">
        <v>20</v>
      </c>
      <c r="AM36" s="75">
        <v>56</v>
      </c>
      <c r="AN36" s="75" t="s">
        <v>250</v>
      </c>
      <c r="AO36" s="65">
        <v>0.49</v>
      </c>
      <c r="AP36" s="65">
        <v>0.96</v>
      </c>
      <c r="AQ36" s="65">
        <v>1.04</v>
      </c>
      <c r="AR36" s="80" t="s">
        <v>208</v>
      </c>
    </row>
    <row r="37" spans="1:53" s="68" customFormat="1" x14ac:dyDescent="0.25">
      <c r="A37" s="68" t="s">
        <v>547</v>
      </c>
      <c r="B37" s="68">
        <f t="shared" si="4"/>
        <v>2</v>
      </c>
      <c r="C37" s="68">
        <v>17</v>
      </c>
      <c r="D37" s="68">
        <f>D36</f>
        <v>6</v>
      </c>
      <c r="E37" s="68">
        <f>E36+1</f>
        <v>5</v>
      </c>
      <c r="F37" s="68">
        <f t="shared" si="7"/>
        <v>36</v>
      </c>
      <c r="G37" s="160">
        <v>1729077</v>
      </c>
      <c r="H37" s="69">
        <v>1005</v>
      </c>
      <c r="I37" s="71" t="s">
        <v>100</v>
      </c>
      <c r="J37" s="69">
        <f t="shared" si="0"/>
        <v>1</v>
      </c>
      <c r="K37" s="71" t="s">
        <v>31</v>
      </c>
      <c r="L37" s="69"/>
      <c r="M37" s="69"/>
      <c r="N37" s="69">
        <v>4</v>
      </c>
      <c r="O37" s="69">
        <v>10</v>
      </c>
      <c r="P37" s="69">
        <v>32</v>
      </c>
      <c r="Q37" s="70"/>
      <c r="S37" s="68" t="s">
        <v>106</v>
      </c>
      <c r="V37" s="71"/>
      <c r="W37" s="71">
        <v>0.13</v>
      </c>
      <c r="X37" s="70"/>
      <c r="Y37" s="71"/>
      <c r="Z37" s="71"/>
      <c r="AA37" s="68">
        <v>10000</v>
      </c>
      <c r="AB37" s="68">
        <v>0.15</v>
      </c>
      <c r="AC37" s="68">
        <v>2500</v>
      </c>
      <c r="AD37" s="68">
        <v>1</v>
      </c>
      <c r="AE37" s="69">
        <v>32</v>
      </c>
      <c r="AF37" s="71">
        <v>0.56000000000000005</v>
      </c>
      <c r="AG37" s="70">
        <v>3.5</v>
      </c>
      <c r="AH37" s="70">
        <v>0.49640000000000001</v>
      </c>
      <c r="AI37" s="70">
        <v>0.2626</v>
      </c>
      <c r="AJ37" s="69">
        <v>500</v>
      </c>
      <c r="AK37" s="69">
        <v>17</v>
      </c>
      <c r="AL37" s="68">
        <v>20</v>
      </c>
      <c r="AM37" s="69">
        <v>56</v>
      </c>
      <c r="AN37" s="69" t="s">
        <v>250</v>
      </c>
      <c r="AO37" s="71">
        <v>0.49</v>
      </c>
      <c r="AP37" s="71">
        <v>0.96</v>
      </c>
      <c r="AQ37" s="71">
        <v>1.04</v>
      </c>
      <c r="AR37" s="72" t="s">
        <v>200</v>
      </c>
    </row>
    <row r="38" spans="1:53" x14ac:dyDescent="0.25">
      <c r="A38" s="61" t="s">
        <v>547</v>
      </c>
      <c r="B38" s="61">
        <f t="shared" si="4"/>
        <v>2</v>
      </c>
      <c r="C38" s="61">
        <v>17</v>
      </c>
      <c r="D38" s="61">
        <f>D37+1</f>
        <v>7</v>
      </c>
      <c r="E38" s="61">
        <v>1</v>
      </c>
      <c r="F38" s="61">
        <f t="shared" si="7"/>
        <v>37</v>
      </c>
      <c r="G38" s="75">
        <v>1709504</v>
      </c>
      <c r="I38" s="65" t="s">
        <v>18</v>
      </c>
      <c r="J38" s="75">
        <f t="shared" si="0"/>
        <v>0</v>
      </c>
      <c r="K38" s="75" t="s">
        <v>33</v>
      </c>
      <c r="L38" s="75" t="s">
        <v>12</v>
      </c>
      <c r="M38" s="75" t="s">
        <v>86</v>
      </c>
      <c r="N38" s="75">
        <v>12</v>
      </c>
      <c r="O38" s="75">
        <v>165</v>
      </c>
      <c r="P38" s="75">
        <v>395</v>
      </c>
      <c r="S38" s="61" t="s">
        <v>106</v>
      </c>
      <c r="V38" s="65"/>
      <c r="W38" s="65">
        <v>0.15</v>
      </c>
      <c r="Y38" s="65"/>
      <c r="Z38" s="65"/>
      <c r="AA38" s="61">
        <v>10000</v>
      </c>
      <c r="AB38" s="61">
        <v>0.15</v>
      </c>
      <c r="AC38" s="61">
        <v>3000</v>
      </c>
      <c r="AD38" s="61">
        <v>1</v>
      </c>
      <c r="AE38" s="75">
        <v>32</v>
      </c>
      <c r="AF38" s="65">
        <v>0.56000000000000005</v>
      </c>
      <c r="AG38" s="79">
        <v>3</v>
      </c>
      <c r="AH38" s="79">
        <v>1.1425000000000001</v>
      </c>
      <c r="AI38" s="79">
        <v>0.14080000000000001</v>
      </c>
      <c r="AJ38" s="75">
        <v>500</v>
      </c>
      <c r="AK38" s="75">
        <v>17</v>
      </c>
      <c r="AL38" s="61">
        <v>30</v>
      </c>
      <c r="AM38" s="75">
        <v>116</v>
      </c>
      <c r="AN38" s="75" t="s">
        <v>250</v>
      </c>
      <c r="AO38" s="65">
        <v>0.41</v>
      </c>
      <c r="AP38" s="65">
        <v>1.06</v>
      </c>
      <c r="AQ38" s="65">
        <v>1.02</v>
      </c>
    </row>
    <row r="39" spans="1:53" x14ac:dyDescent="0.25">
      <c r="A39" s="61" t="s">
        <v>547</v>
      </c>
      <c r="B39" s="61">
        <f t="shared" si="4"/>
        <v>2</v>
      </c>
      <c r="C39" s="61">
        <v>17</v>
      </c>
      <c r="D39" s="61">
        <f>D38</f>
        <v>7</v>
      </c>
      <c r="E39" s="61">
        <v>2</v>
      </c>
      <c r="F39" s="61">
        <f t="shared" si="7"/>
        <v>38</v>
      </c>
      <c r="G39" s="75">
        <v>1720017</v>
      </c>
      <c r="H39" s="75">
        <v>913</v>
      </c>
      <c r="I39" s="65" t="s">
        <v>59</v>
      </c>
      <c r="J39" s="75">
        <f t="shared" si="0"/>
        <v>1</v>
      </c>
      <c r="K39" s="75" t="s">
        <v>31</v>
      </c>
      <c r="L39" s="75"/>
      <c r="M39" s="75"/>
      <c r="N39" s="75">
        <v>5</v>
      </c>
      <c r="O39" s="75">
        <v>5</v>
      </c>
      <c r="P39" s="75">
        <v>5</v>
      </c>
      <c r="S39" s="61" t="s">
        <v>106</v>
      </c>
      <c r="V39" s="65"/>
      <c r="W39" s="65">
        <v>0.15</v>
      </c>
      <c r="Y39" s="65"/>
      <c r="Z39" s="65"/>
      <c r="AA39" s="61">
        <v>10000</v>
      </c>
      <c r="AB39" s="61">
        <v>0.15</v>
      </c>
      <c r="AC39" s="61">
        <v>3000</v>
      </c>
      <c r="AD39" s="61">
        <v>1</v>
      </c>
      <c r="AE39" s="75">
        <v>32</v>
      </c>
      <c r="AF39" s="65">
        <v>0.56000000000000005</v>
      </c>
      <c r="AG39" s="79">
        <v>3</v>
      </c>
      <c r="AH39" s="79">
        <v>1.1425000000000001</v>
      </c>
      <c r="AI39" s="79">
        <v>0.14080000000000001</v>
      </c>
      <c r="AJ39" s="75">
        <v>500</v>
      </c>
      <c r="AK39" s="75">
        <v>17</v>
      </c>
      <c r="AL39" s="61">
        <v>40</v>
      </c>
      <c r="AM39" s="75">
        <v>116</v>
      </c>
      <c r="AN39" s="75" t="s">
        <v>250</v>
      </c>
      <c r="AO39" s="65">
        <v>0.41</v>
      </c>
      <c r="AP39" s="65">
        <v>1.06</v>
      </c>
      <c r="AQ39" s="65">
        <v>1.02</v>
      </c>
      <c r="AR39" s="80" t="s">
        <v>218</v>
      </c>
    </row>
    <row r="40" spans="1:53" x14ac:dyDescent="0.25">
      <c r="A40" s="61" t="s">
        <v>547</v>
      </c>
      <c r="B40" s="61">
        <f t="shared" si="4"/>
        <v>2</v>
      </c>
      <c r="C40" s="61">
        <v>17</v>
      </c>
      <c r="D40" s="61">
        <f>D39</f>
        <v>7</v>
      </c>
      <c r="E40" s="61">
        <v>3</v>
      </c>
      <c r="F40" s="61">
        <f t="shared" si="7"/>
        <v>39</v>
      </c>
      <c r="G40" s="75">
        <v>1701002</v>
      </c>
      <c r="H40" s="75">
        <v>6395</v>
      </c>
      <c r="I40" s="116" t="s">
        <v>536</v>
      </c>
      <c r="J40" s="75">
        <f t="shared" si="0"/>
        <v>1</v>
      </c>
      <c r="K40" s="75" t="s">
        <v>31</v>
      </c>
      <c r="L40" s="75" t="s">
        <v>535</v>
      </c>
      <c r="M40" s="75" t="s">
        <v>86</v>
      </c>
      <c r="N40" s="61">
        <v>0</v>
      </c>
      <c r="O40" s="61">
        <v>0</v>
      </c>
      <c r="P40" s="61">
        <v>0</v>
      </c>
      <c r="Q40" s="79">
        <v>1</v>
      </c>
      <c r="S40" s="61" t="s">
        <v>106</v>
      </c>
      <c r="V40" s="65"/>
      <c r="W40" s="65">
        <v>0.15</v>
      </c>
      <c r="X40" s="79">
        <v>0.95</v>
      </c>
      <c r="Y40" s="65">
        <v>0.2</v>
      </c>
      <c r="Z40" s="65"/>
      <c r="AA40" s="61">
        <v>10000</v>
      </c>
      <c r="AB40" s="61">
        <v>0.15</v>
      </c>
      <c r="AC40" s="61">
        <v>3000</v>
      </c>
      <c r="AD40" s="61">
        <v>1</v>
      </c>
      <c r="AE40" s="75">
        <v>32</v>
      </c>
      <c r="AF40" s="65">
        <v>0.56000000000000005</v>
      </c>
      <c r="AG40" s="79">
        <v>3</v>
      </c>
      <c r="AH40" s="79">
        <v>1.1425000000000001</v>
      </c>
      <c r="AI40" s="79">
        <v>0.14080000000000001</v>
      </c>
      <c r="AJ40" s="75">
        <v>500</v>
      </c>
      <c r="AK40" s="75">
        <v>17</v>
      </c>
      <c r="AL40" s="61">
        <v>40</v>
      </c>
      <c r="AM40" s="75">
        <v>116</v>
      </c>
      <c r="AN40" s="75" t="s">
        <v>250</v>
      </c>
      <c r="AO40" s="65">
        <v>0.41</v>
      </c>
      <c r="AP40" s="65">
        <v>1.06</v>
      </c>
      <c r="AQ40" s="65">
        <v>1.02</v>
      </c>
      <c r="AR40" s="80" t="s">
        <v>532</v>
      </c>
    </row>
    <row r="41" spans="1:53" x14ac:dyDescent="0.25">
      <c r="A41" s="61" t="s">
        <v>547</v>
      </c>
      <c r="B41" s="61">
        <f t="shared" si="4"/>
        <v>2</v>
      </c>
      <c r="C41" s="61">
        <v>17</v>
      </c>
      <c r="D41" s="61">
        <f>D40</f>
        <v>7</v>
      </c>
      <c r="E41" s="61">
        <v>4</v>
      </c>
      <c r="F41" s="61">
        <f t="shared" si="7"/>
        <v>40</v>
      </c>
      <c r="G41" s="75">
        <v>1700556</v>
      </c>
      <c r="I41" s="65" t="s">
        <v>60</v>
      </c>
      <c r="J41" s="75">
        <f t="shared" si="0"/>
        <v>-1</v>
      </c>
      <c r="K41" s="65" t="s">
        <v>32</v>
      </c>
      <c r="L41" s="75" t="s">
        <v>62</v>
      </c>
      <c r="M41" s="75" t="s">
        <v>86</v>
      </c>
      <c r="N41" s="75">
        <v>27</v>
      </c>
      <c r="O41" s="75">
        <v>53</v>
      </c>
      <c r="P41" s="75">
        <v>29</v>
      </c>
      <c r="S41" s="61" t="s">
        <v>106</v>
      </c>
      <c r="V41" s="65"/>
      <c r="W41" s="65">
        <v>0.15</v>
      </c>
      <c r="Y41" s="65"/>
      <c r="Z41" s="65"/>
      <c r="AA41" s="61">
        <v>10000</v>
      </c>
      <c r="AB41" s="61">
        <v>0.15</v>
      </c>
      <c r="AC41" s="61">
        <v>3000</v>
      </c>
      <c r="AD41" s="61">
        <v>1</v>
      </c>
      <c r="AE41" s="75">
        <v>32</v>
      </c>
      <c r="AF41" s="65">
        <v>0.56000000000000005</v>
      </c>
      <c r="AG41" s="79">
        <v>3</v>
      </c>
      <c r="AH41" s="79">
        <v>1.1425000000000001</v>
      </c>
      <c r="AI41" s="79">
        <v>0.14080000000000001</v>
      </c>
      <c r="AJ41" s="75">
        <v>500</v>
      </c>
      <c r="AK41" s="75">
        <v>17</v>
      </c>
      <c r="AL41" s="61">
        <v>30</v>
      </c>
      <c r="AM41" s="75">
        <v>116</v>
      </c>
      <c r="AN41" s="75" t="s">
        <v>250</v>
      </c>
      <c r="AO41" s="65">
        <v>0.41</v>
      </c>
      <c r="AP41" s="65">
        <v>1.06</v>
      </c>
      <c r="AQ41" s="65">
        <v>1.02</v>
      </c>
      <c r="AR41" s="80" t="s">
        <v>208</v>
      </c>
    </row>
    <row r="42" spans="1:53" s="68" customFormat="1" x14ac:dyDescent="0.25">
      <c r="A42" s="68" t="s">
        <v>547</v>
      </c>
      <c r="B42" s="68">
        <f t="shared" si="4"/>
        <v>2</v>
      </c>
      <c r="C42" s="68">
        <v>17</v>
      </c>
      <c r="D42" s="68">
        <f>D41</f>
        <v>7</v>
      </c>
      <c r="E42" s="68">
        <v>5</v>
      </c>
      <c r="F42" s="68">
        <f t="shared" si="7"/>
        <v>41</v>
      </c>
      <c r="G42" s="160">
        <v>1729091</v>
      </c>
      <c r="H42" s="69">
        <v>1010</v>
      </c>
      <c r="I42" s="71" t="s">
        <v>61</v>
      </c>
      <c r="J42" s="69">
        <f t="shared" si="0"/>
        <v>1</v>
      </c>
      <c r="K42" s="69" t="s">
        <v>31</v>
      </c>
      <c r="L42" s="69"/>
      <c r="M42" s="69"/>
      <c r="N42" s="69">
        <v>7</v>
      </c>
      <c r="O42" s="69">
        <v>7</v>
      </c>
      <c r="P42" s="69">
        <v>7</v>
      </c>
      <c r="Q42" s="70"/>
      <c r="S42" s="68" t="s">
        <v>106</v>
      </c>
      <c r="V42" s="71"/>
      <c r="W42" s="71">
        <v>0.15</v>
      </c>
      <c r="X42" s="70"/>
      <c r="Y42" s="71"/>
      <c r="Z42" s="71"/>
      <c r="AA42" s="68">
        <v>10000</v>
      </c>
      <c r="AB42" s="68">
        <v>0.15</v>
      </c>
      <c r="AC42" s="68">
        <v>3000</v>
      </c>
      <c r="AD42" s="68">
        <v>1</v>
      </c>
      <c r="AE42" s="69">
        <v>32</v>
      </c>
      <c r="AF42" s="71">
        <v>0.56000000000000005</v>
      </c>
      <c r="AG42" s="70">
        <v>3</v>
      </c>
      <c r="AH42" s="70">
        <v>1.1425000000000001</v>
      </c>
      <c r="AI42" s="70">
        <v>0.14080000000000001</v>
      </c>
      <c r="AJ42" s="69">
        <v>500</v>
      </c>
      <c r="AK42" s="69">
        <v>17</v>
      </c>
      <c r="AL42" s="68">
        <v>25</v>
      </c>
      <c r="AM42" s="69">
        <v>116</v>
      </c>
      <c r="AN42" s="69" t="s">
        <v>250</v>
      </c>
      <c r="AO42" s="71">
        <v>0.41</v>
      </c>
      <c r="AP42" s="71">
        <v>1.06</v>
      </c>
      <c r="AQ42" s="71">
        <v>1.02</v>
      </c>
      <c r="AR42" s="72" t="s">
        <v>219</v>
      </c>
    </row>
    <row r="43" spans="1:53" x14ac:dyDescent="0.25">
      <c r="A43" s="61" t="s">
        <v>547</v>
      </c>
      <c r="B43" s="61">
        <f t="shared" si="4"/>
        <v>2</v>
      </c>
      <c r="C43" s="61">
        <v>17</v>
      </c>
      <c r="D43" s="61">
        <f>D42+1</f>
        <v>8</v>
      </c>
      <c r="E43" s="61">
        <v>1</v>
      </c>
      <c r="F43" s="61">
        <f t="shared" si="7"/>
        <v>42</v>
      </c>
      <c r="G43" s="75">
        <v>1709505</v>
      </c>
      <c r="I43" s="65" t="s">
        <v>19</v>
      </c>
      <c r="J43" s="75">
        <f t="shared" si="0"/>
        <v>0</v>
      </c>
      <c r="K43" s="75" t="s">
        <v>33</v>
      </c>
      <c r="L43" s="75" t="s">
        <v>13</v>
      </c>
      <c r="M43" s="75" t="s">
        <v>86</v>
      </c>
      <c r="N43" s="75">
        <v>25</v>
      </c>
      <c r="O43" s="75">
        <v>166</v>
      </c>
      <c r="P43" s="75">
        <v>494</v>
      </c>
      <c r="S43" s="61" t="s">
        <v>106</v>
      </c>
      <c r="V43" s="65"/>
      <c r="W43" s="65">
        <v>0.15</v>
      </c>
      <c r="Y43" s="65"/>
      <c r="Z43" s="65"/>
      <c r="AA43" s="61">
        <v>10000</v>
      </c>
      <c r="AB43" s="61">
        <v>0.15</v>
      </c>
      <c r="AC43" s="61">
        <v>3000</v>
      </c>
      <c r="AD43" s="61">
        <v>1</v>
      </c>
      <c r="AE43" s="75">
        <v>32</v>
      </c>
      <c r="AF43" s="65">
        <v>0.56000000000000005</v>
      </c>
      <c r="AG43" s="79">
        <v>3</v>
      </c>
      <c r="AH43" s="79">
        <v>1.1425000000000001</v>
      </c>
      <c r="AI43" s="79">
        <v>0.14080000000000001</v>
      </c>
      <c r="AJ43" s="75">
        <v>500</v>
      </c>
      <c r="AK43" s="75">
        <v>17</v>
      </c>
      <c r="AL43" s="61">
        <v>25</v>
      </c>
      <c r="AM43" s="75">
        <f>AM42</f>
        <v>116</v>
      </c>
      <c r="AN43" s="75" t="s">
        <v>250</v>
      </c>
      <c r="AO43" s="65">
        <v>0.41</v>
      </c>
      <c r="AP43" s="65">
        <v>1.06</v>
      </c>
      <c r="AQ43" s="65">
        <v>1.01</v>
      </c>
    </row>
    <row r="44" spans="1:53" x14ac:dyDescent="0.25">
      <c r="A44" s="61" t="s">
        <v>547</v>
      </c>
      <c r="B44" s="61">
        <f>B42</f>
        <v>2</v>
      </c>
      <c r="C44" s="61">
        <v>17</v>
      </c>
      <c r="D44" s="61">
        <f>D43</f>
        <v>8</v>
      </c>
      <c r="E44" s="61">
        <v>2</v>
      </c>
      <c r="F44" s="61">
        <f t="shared" si="7"/>
        <v>43</v>
      </c>
      <c r="G44" s="75">
        <v>1709518</v>
      </c>
      <c r="H44" s="75">
        <v>1011</v>
      </c>
      <c r="I44" s="165" t="s">
        <v>64</v>
      </c>
      <c r="J44" s="75">
        <f t="shared" si="0"/>
        <v>1</v>
      </c>
      <c r="K44" s="75" t="s">
        <v>31</v>
      </c>
      <c r="L44" s="75" t="s">
        <v>70</v>
      </c>
      <c r="M44" s="75" t="s">
        <v>86</v>
      </c>
      <c r="N44" s="75">
        <v>6</v>
      </c>
      <c r="O44" s="75">
        <v>51</v>
      </c>
      <c r="P44" s="75">
        <v>148</v>
      </c>
      <c r="S44" s="61" t="s">
        <v>106</v>
      </c>
      <c r="V44" s="65"/>
      <c r="W44" s="65">
        <v>0.15</v>
      </c>
      <c r="Y44" s="65"/>
      <c r="Z44" s="65"/>
      <c r="AA44" s="61">
        <v>10000</v>
      </c>
      <c r="AB44" s="61">
        <v>0.15</v>
      </c>
      <c r="AC44" s="61">
        <v>3000</v>
      </c>
      <c r="AD44" s="61">
        <v>1</v>
      </c>
      <c r="AE44" s="75">
        <v>32</v>
      </c>
      <c r="AF44" s="65">
        <v>0.56000000000000005</v>
      </c>
      <c r="AG44" s="79">
        <v>3</v>
      </c>
      <c r="AH44" s="79">
        <v>1.1425000000000001</v>
      </c>
      <c r="AI44" s="79">
        <v>0.14080000000000001</v>
      </c>
      <c r="AJ44" s="75">
        <v>500</v>
      </c>
      <c r="AK44" s="75">
        <v>17</v>
      </c>
      <c r="AL44" s="61">
        <v>25</v>
      </c>
      <c r="AM44" s="75">
        <f>AM43</f>
        <v>116</v>
      </c>
      <c r="AN44" s="75" t="s">
        <v>250</v>
      </c>
      <c r="AO44" s="65">
        <v>0.41</v>
      </c>
      <c r="AP44" s="65">
        <v>1.06</v>
      </c>
      <c r="AQ44" s="65">
        <v>1.01</v>
      </c>
      <c r="AR44" s="80" t="s">
        <v>579</v>
      </c>
      <c r="AS44" s="75">
        <v>1709518</v>
      </c>
      <c r="AT44" s="75" t="s">
        <v>70</v>
      </c>
      <c r="AU44" s="75" t="s">
        <v>86</v>
      </c>
      <c r="AV44" s="61">
        <v>1720000</v>
      </c>
      <c r="BA44" s="61" t="s">
        <v>221</v>
      </c>
    </row>
    <row r="45" spans="1:53" x14ac:dyDescent="0.25">
      <c r="A45" s="61" t="s">
        <v>547</v>
      </c>
      <c r="B45" s="61">
        <f>B43</f>
        <v>2</v>
      </c>
      <c r="C45" s="61">
        <v>17</v>
      </c>
      <c r="D45" s="61">
        <f>D44</f>
        <v>8</v>
      </c>
      <c r="E45" s="61">
        <v>3</v>
      </c>
      <c r="F45" s="61">
        <f t="shared" si="7"/>
        <v>44</v>
      </c>
      <c r="G45" s="119">
        <v>1729101</v>
      </c>
      <c r="H45" s="75">
        <v>1013</v>
      </c>
      <c r="I45" s="65" t="s">
        <v>247</v>
      </c>
      <c r="J45" s="75">
        <f t="shared" si="0"/>
        <v>1</v>
      </c>
      <c r="K45" s="75" t="s">
        <v>31</v>
      </c>
      <c r="L45" s="75"/>
      <c r="M45" s="75"/>
      <c r="N45" s="75">
        <v>1</v>
      </c>
      <c r="O45" s="75">
        <v>2</v>
      </c>
      <c r="P45" s="75">
        <v>3</v>
      </c>
      <c r="S45" s="61" t="s">
        <v>106</v>
      </c>
      <c r="V45" s="65"/>
      <c r="W45" s="65">
        <v>0</v>
      </c>
      <c r="Y45" s="65"/>
      <c r="Z45" s="65"/>
      <c r="AA45" s="61">
        <v>10000</v>
      </c>
      <c r="AB45" s="61">
        <v>0.15</v>
      </c>
      <c r="AC45" s="61">
        <v>3000</v>
      </c>
      <c r="AD45" s="61">
        <v>1</v>
      </c>
      <c r="AE45" s="75">
        <v>32</v>
      </c>
      <c r="AF45" s="65">
        <v>0.56000000000000005</v>
      </c>
      <c r="AG45" s="79">
        <v>3</v>
      </c>
      <c r="AH45" s="79">
        <v>1.1425000000000001</v>
      </c>
      <c r="AI45" s="79">
        <v>0.14080000000000001</v>
      </c>
      <c r="AJ45" s="75">
        <v>500</v>
      </c>
      <c r="AK45" s="75">
        <v>17</v>
      </c>
      <c r="AL45" s="61">
        <v>25</v>
      </c>
      <c r="AM45" s="75">
        <v>0</v>
      </c>
      <c r="AN45" s="75" t="s">
        <v>251</v>
      </c>
      <c r="AO45" s="65">
        <v>0.41</v>
      </c>
      <c r="AP45" s="65">
        <v>1.06</v>
      </c>
      <c r="AQ45" s="65">
        <v>0</v>
      </c>
    </row>
    <row r="46" spans="1:53" x14ac:dyDescent="0.25">
      <c r="A46" s="61" t="s">
        <v>547</v>
      </c>
      <c r="B46" s="61">
        <f>B44</f>
        <v>2</v>
      </c>
      <c r="C46" s="61">
        <v>17</v>
      </c>
      <c r="D46" s="61">
        <f>D45</f>
        <v>8</v>
      </c>
      <c r="E46" s="61">
        <v>4</v>
      </c>
      <c r="F46" s="61">
        <f t="shared" si="7"/>
        <v>45</v>
      </c>
      <c r="G46" s="75">
        <v>6701005</v>
      </c>
      <c r="H46" s="75">
        <v>1017</v>
      </c>
      <c r="I46" s="65" t="s">
        <v>274</v>
      </c>
      <c r="J46" s="75">
        <f t="shared" si="0"/>
        <v>1</v>
      </c>
      <c r="K46" s="75" t="s">
        <v>31</v>
      </c>
      <c r="L46" s="81" t="s">
        <v>276</v>
      </c>
      <c r="M46" s="81" t="s">
        <v>86</v>
      </c>
      <c r="N46" s="75">
        <v>1</v>
      </c>
      <c r="O46" s="75">
        <v>2</v>
      </c>
      <c r="P46" s="75">
        <v>3</v>
      </c>
      <c r="Q46" s="75">
        <v>1</v>
      </c>
      <c r="S46" s="61" t="s">
        <v>106</v>
      </c>
      <c r="V46" s="65"/>
      <c r="W46" s="65">
        <v>0</v>
      </c>
      <c r="X46" s="79">
        <v>0.52400000000000002</v>
      </c>
      <c r="Y46" s="65">
        <f>Z46</f>
        <v>0.2</v>
      </c>
      <c r="Z46" s="65">
        <v>0.2</v>
      </c>
      <c r="AA46" s="61">
        <v>10000</v>
      </c>
      <c r="AB46" s="61">
        <v>0.15</v>
      </c>
      <c r="AC46" s="61">
        <v>3000</v>
      </c>
      <c r="AD46" s="61">
        <v>1</v>
      </c>
      <c r="AE46" s="75">
        <v>32</v>
      </c>
      <c r="AF46" s="65">
        <v>0.56000000000000005</v>
      </c>
      <c r="AG46" s="79">
        <v>3</v>
      </c>
      <c r="AH46" s="79">
        <v>1.1425000000000001</v>
      </c>
      <c r="AI46" s="79">
        <v>0.14080000000000001</v>
      </c>
      <c r="AJ46" s="75">
        <v>500</v>
      </c>
      <c r="AK46" s="75">
        <v>17</v>
      </c>
      <c r="AL46" s="61">
        <v>25</v>
      </c>
      <c r="AM46" s="75">
        <v>0</v>
      </c>
      <c r="AN46" s="75" t="s">
        <v>251</v>
      </c>
      <c r="AO46" s="65">
        <v>0.41</v>
      </c>
      <c r="AP46" s="65">
        <v>1.06</v>
      </c>
      <c r="AQ46" s="65">
        <v>0</v>
      </c>
    </row>
    <row r="47" spans="1:53" s="83" customFormat="1" ht="15.75" thickBot="1" x14ac:dyDescent="0.3">
      <c r="A47" s="83" t="s">
        <v>547</v>
      </c>
      <c r="G47" s="81">
        <v>6703512</v>
      </c>
      <c r="H47" s="81"/>
      <c r="I47" s="82" t="s">
        <v>160</v>
      </c>
      <c r="J47" s="81"/>
      <c r="K47" s="81"/>
      <c r="L47" s="81"/>
      <c r="M47" s="81"/>
      <c r="N47" s="81"/>
      <c r="O47" s="81"/>
      <c r="P47" s="81"/>
      <c r="Q47" s="84"/>
      <c r="S47" s="85" t="s">
        <v>106</v>
      </c>
      <c r="V47" s="82"/>
      <c r="W47" s="82"/>
      <c r="X47" s="84"/>
      <c r="Y47" s="82"/>
      <c r="Z47" s="82"/>
      <c r="AE47" s="81"/>
      <c r="AF47" s="82"/>
      <c r="AG47" s="84"/>
      <c r="AH47" s="84"/>
      <c r="AI47" s="84"/>
      <c r="AJ47" s="81"/>
      <c r="AK47" s="81"/>
      <c r="AM47" s="81"/>
      <c r="AN47" s="81"/>
      <c r="AO47" s="82"/>
      <c r="AP47" s="82"/>
      <c r="AQ47" s="82"/>
      <c r="AR47" s="86"/>
    </row>
    <row r="48" spans="1:53" s="87" customFormat="1" x14ac:dyDescent="0.25">
      <c r="A48" s="87" t="s">
        <v>55</v>
      </c>
      <c r="B48" s="87">
        <v>2</v>
      </c>
      <c r="C48" s="87">
        <v>171</v>
      </c>
      <c r="D48" s="87">
        <v>1</v>
      </c>
      <c r="E48" s="87">
        <v>1</v>
      </c>
      <c r="F48" s="87">
        <v>1</v>
      </c>
      <c r="G48" s="88">
        <v>1700800</v>
      </c>
      <c r="H48" s="88"/>
      <c r="I48" s="89" t="s">
        <v>192</v>
      </c>
      <c r="J48" s="88">
        <f>IF(K48="Inflow",1,IF(K48="Outflow",-1,IF(K48="Gage",0,IF(K48="Top",0,""))))</f>
        <v>0</v>
      </c>
      <c r="K48" s="88" t="s">
        <v>233</v>
      </c>
      <c r="L48" s="88" t="s">
        <v>195</v>
      </c>
      <c r="M48" s="88" t="s">
        <v>86</v>
      </c>
      <c r="N48" s="88">
        <v>1</v>
      </c>
      <c r="O48" s="88">
        <v>2</v>
      </c>
      <c r="P48" s="88">
        <v>3</v>
      </c>
      <c r="Q48" s="90">
        <v>1</v>
      </c>
      <c r="S48" s="91" t="s">
        <v>191</v>
      </c>
      <c r="V48" s="89"/>
      <c r="W48" s="89">
        <f>Z$50/SUM(Z$48:Z$49)</f>
        <v>0.11686583276296579</v>
      </c>
      <c r="X48" s="90"/>
      <c r="Y48" s="89"/>
      <c r="Z48" s="89">
        <v>7.8058523097390298</v>
      </c>
      <c r="AA48" s="87">
        <v>10000</v>
      </c>
      <c r="AB48" s="87">
        <v>0.15</v>
      </c>
      <c r="AC48" s="87">
        <v>2500</v>
      </c>
      <c r="AD48" s="87">
        <v>1</v>
      </c>
      <c r="AE48" s="88">
        <v>32</v>
      </c>
      <c r="AF48" s="89">
        <v>0.56000000000000005</v>
      </c>
      <c r="AG48" s="90">
        <v>1</v>
      </c>
      <c r="AH48" s="90">
        <v>1.1377999999999999</v>
      </c>
      <c r="AI48" s="90">
        <v>0.1648</v>
      </c>
      <c r="AJ48" s="88">
        <v>500</v>
      </c>
      <c r="AK48" s="88">
        <v>17</v>
      </c>
      <c r="AL48" s="87">
        <v>50</v>
      </c>
      <c r="AM48" s="88">
        <v>10</v>
      </c>
      <c r="AN48" s="88" t="s">
        <v>251</v>
      </c>
      <c r="AO48" s="89">
        <v>0.2</v>
      </c>
      <c r="AP48" s="89">
        <v>1.32</v>
      </c>
      <c r="AQ48" s="89">
        <v>0</v>
      </c>
      <c r="AR48" s="92" t="s">
        <v>197</v>
      </c>
    </row>
    <row r="49" spans="1:44" s="73" customFormat="1" x14ac:dyDescent="0.25">
      <c r="A49" s="73" t="s">
        <v>55</v>
      </c>
      <c r="B49" s="73">
        <f>B48</f>
        <v>2</v>
      </c>
      <c r="C49" s="73">
        <v>171</v>
      </c>
      <c r="D49" s="73">
        <v>2</v>
      </c>
      <c r="E49" s="73">
        <v>1</v>
      </c>
      <c r="F49" s="73">
        <v>2</v>
      </c>
      <c r="G49" s="74">
        <v>1709520</v>
      </c>
      <c r="H49" s="74"/>
      <c r="I49" s="77" t="s">
        <v>193</v>
      </c>
      <c r="J49" s="74">
        <f>IF(K49="Inflow",1,IF(K49="Outflow",-1,IF(K49="Gage",0,IF(K49="Top",0,""))))</f>
        <v>0</v>
      </c>
      <c r="K49" s="74" t="s">
        <v>33</v>
      </c>
      <c r="L49" s="74" t="s">
        <v>57</v>
      </c>
      <c r="M49" s="74" t="s">
        <v>86</v>
      </c>
      <c r="N49" s="74">
        <v>21</v>
      </c>
      <c r="O49" s="74">
        <v>48</v>
      </c>
      <c r="P49" s="74">
        <v>79</v>
      </c>
      <c r="Q49" s="76"/>
      <c r="S49" s="93" t="s">
        <v>191</v>
      </c>
      <c r="V49" s="77"/>
      <c r="W49" s="77">
        <f>Z$50/SUM(Z$48:Z$49)</f>
        <v>0.11686583276296579</v>
      </c>
      <c r="X49" s="76"/>
      <c r="Y49" s="77"/>
      <c r="Z49" s="77">
        <v>2.89017381224415</v>
      </c>
      <c r="AA49" s="73">
        <v>10000</v>
      </c>
      <c r="AB49" s="73">
        <v>0.15</v>
      </c>
      <c r="AC49" s="73">
        <v>2500</v>
      </c>
      <c r="AD49" s="73">
        <v>1</v>
      </c>
      <c r="AE49" s="74">
        <v>32</v>
      </c>
      <c r="AF49" s="77">
        <v>0.56000000000000005</v>
      </c>
      <c r="AG49" s="76">
        <v>1</v>
      </c>
      <c r="AH49" s="76">
        <v>1.1377999999999999</v>
      </c>
      <c r="AI49" s="76">
        <v>0.1648</v>
      </c>
      <c r="AJ49" s="74">
        <v>500</v>
      </c>
      <c r="AK49" s="74">
        <v>17</v>
      </c>
      <c r="AL49" s="73">
        <v>50</v>
      </c>
      <c r="AM49" s="74">
        <v>10</v>
      </c>
      <c r="AN49" s="74" t="s">
        <v>251</v>
      </c>
      <c r="AO49" s="77">
        <v>0.2</v>
      </c>
      <c r="AP49" s="77">
        <v>1.32</v>
      </c>
      <c r="AQ49" s="77">
        <v>0</v>
      </c>
      <c r="AR49" s="78" t="s">
        <v>198</v>
      </c>
    </row>
    <row r="50" spans="1:44" s="83" customFormat="1" ht="15.75" thickBot="1" x14ac:dyDescent="0.3">
      <c r="A50" s="83" t="s">
        <v>55</v>
      </c>
      <c r="G50" s="117">
        <f>G34</f>
        <v>1729075</v>
      </c>
      <c r="H50" s="81">
        <v>1007</v>
      </c>
      <c r="I50" s="81" t="s">
        <v>194</v>
      </c>
      <c r="J50" s="81"/>
      <c r="K50" s="81"/>
      <c r="L50" s="81"/>
      <c r="M50" s="81"/>
      <c r="N50" s="81"/>
      <c r="O50" s="81"/>
      <c r="P50" s="81"/>
      <c r="Q50" s="84"/>
      <c r="S50" s="94" t="s">
        <v>191</v>
      </c>
      <c r="V50" s="82"/>
      <c r="W50" s="82"/>
      <c r="X50" s="84"/>
      <c r="Y50" s="82"/>
      <c r="Z50" s="82">
        <v>1.25</v>
      </c>
      <c r="AE50" s="81"/>
      <c r="AF50" s="82"/>
      <c r="AG50" s="84"/>
      <c r="AH50" s="84"/>
      <c r="AI50" s="84"/>
      <c r="AJ50" s="81"/>
      <c r="AK50" s="81"/>
      <c r="AM50" s="81"/>
      <c r="AN50" s="81"/>
      <c r="AO50" s="82"/>
      <c r="AP50" s="82"/>
      <c r="AQ50" s="82"/>
      <c r="AR50" s="86"/>
    </row>
    <row r="51" spans="1:44" s="87" customFormat="1" x14ac:dyDescent="0.25">
      <c r="A51" s="87" t="s">
        <v>100</v>
      </c>
      <c r="B51" s="87">
        <v>2</v>
      </c>
      <c r="C51" s="87">
        <v>172</v>
      </c>
      <c r="D51" s="87">
        <v>1</v>
      </c>
      <c r="E51" s="95">
        <v>1</v>
      </c>
      <c r="F51" s="87">
        <v>1</v>
      </c>
      <c r="G51" s="88">
        <v>1700801</v>
      </c>
      <c r="H51" s="88"/>
      <c r="I51" s="88" t="s">
        <v>99</v>
      </c>
      <c r="J51" s="88">
        <f>IF(K51="Inflow",1,IF(K51="Outflow",-1,IF(K51="Gage",0,IF(K51="Top",0,""))))</f>
        <v>0</v>
      </c>
      <c r="K51" s="88" t="s">
        <v>233</v>
      </c>
      <c r="L51" s="88" t="s">
        <v>103</v>
      </c>
      <c r="M51" s="88" t="s">
        <v>86</v>
      </c>
      <c r="N51" s="88">
        <v>1</v>
      </c>
      <c r="O51" s="88">
        <v>2</v>
      </c>
      <c r="P51" s="88">
        <v>3</v>
      </c>
      <c r="Q51" s="90">
        <v>1</v>
      </c>
      <c r="S51" s="87" t="s">
        <v>105</v>
      </c>
      <c r="V51" s="89"/>
      <c r="W51" s="89">
        <f>Z$54/SUM(Z$51:Z$53)</f>
        <v>0.16300081998869265</v>
      </c>
      <c r="X51" s="90"/>
      <c r="Y51" s="89"/>
      <c r="Z51" s="89">
        <v>3.6692416723169599</v>
      </c>
      <c r="AA51" s="87">
        <v>10000</v>
      </c>
      <c r="AB51" s="87">
        <v>0.15</v>
      </c>
      <c r="AC51" s="87">
        <v>2500</v>
      </c>
      <c r="AD51" s="87">
        <v>1</v>
      </c>
      <c r="AE51" s="88">
        <v>32</v>
      </c>
      <c r="AF51" s="89">
        <v>0.56000000000000005</v>
      </c>
      <c r="AG51" s="90">
        <v>1</v>
      </c>
      <c r="AH51" s="90">
        <v>1.1377999999999999</v>
      </c>
      <c r="AI51" s="90">
        <v>0.1648</v>
      </c>
      <c r="AJ51" s="88">
        <v>500</v>
      </c>
      <c r="AK51" s="88">
        <v>17</v>
      </c>
      <c r="AL51" s="87">
        <v>50</v>
      </c>
      <c r="AM51" s="88">
        <v>10</v>
      </c>
      <c r="AN51" s="88" t="s">
        <v>251</v>
      </c>
      <c r="AO51" s="89">
        <v>0.2</v>
      </c>
      <c r="AP51" s="89">
        <v>1.32</v>
      </c>
      <c r="AQ51" s="89">
        <v>0</v>
      </c>
      <c r="AR51" s="92" t="s">
        <v>202</v>
      </c>
    </row>
    <row r="52" spans="1:44" s="73" customFormat="1" x14ac:dyDescent="0.25">
      <c r="A52" s="73" t="s">
        <v>100</v>
      </c>
      <c r="B52" s="73">
        <v>2</v>
      </c>
      <c r="C52" s="73">
        <v>172</v>
      </c>
      <c r="D52" s="73">
        <v>2</v>
      </c>
      <c r="E52" s="73">
        <v>1</v>
      </c>
      <c r="F52" s="73">
        <v>2</v>
      </c>
      <c r="G52" s="74">
        <v>1709510</v>
      </c>
      <c r="H52" s="74"/>
      <c r="I52" s="77" t="s">
        <v>101</v>
      </c>
      <c r="J52" s="74">
        <f>IF(K52="Inflow",1,IF(K52="Outflow",-1,IF(K52="Gage",0,IF(K52="Top",0,""))))</f>
        <v>0</v>
      </c>
      <c r="K52" s="74" t="s">
        <v>33</v>
      </c>
      <c r="L52" s="74" t="s">
        <v>69</v>
      </c>
      <c r="M52" s="74" t="s">
        <v>86</v>
      </c>
      <c r="N52" s="74">
        <v>4</v>
      </c>
      <c r="O52" s="74">
        <v>10</v>
      </c>
      <c r="P52" s="74">
        <v>32</v>
      </c>
      <c r="Q52" s="76"/>
      <c r="S52" s="93" t="s">
        <v>105</v>
      </c>
      <c r="V52" s="77"/>
      <c r="W52" s="77">
        <f>Z$54/SUM(Z$51:Z$53)</f>
        <v>0.16300081998869265</v>
      </c>
      <c r="X52" s="76"/>
      <c r="Y52" s="77"/>
      <c r="Z52" s="77">
        <v>0.88951852368734896</v>
      </c>
      <c r="AA52" s="73">
        <v>10000</v>
      </c>
      <c r="AB52" s="73">
        <v>0.15</v>
      </c>
      <c r="AC52" s="73">
        <v>2500</v>
      </c>
      <c r="AD52" s="73">
        <v>1</v>
      </c>
      <c r="AE52" s="74">
        <v>32</v>
      </c>
      <c r="AF52" s="77">
        <v>0.56000000000000005</v>
      </c>
      <c r="AG52" s="76">
        <v>1</v>
      </c>
      <c r="AH52" s="76">
        <v>1.1377999999999999</v>
      </c>
      <c r="AI52" s="76">
        <v>0.1648</v>
      </c>
      <c r="AJ52" s="74">
        <v>500</v>
      </c>
      <c r="AK52" s="74">
        <v>17</v>
      </c>
      <c r="AL52" s="73">
        <v>50</v>
      </c>
      <c r="AM52" s="74">
        <v>10</v>
      </c>
      <c r="AN52" s="74" t="s">
        <v>251</v>
      </c>
      <c r="AO52" s="77">
        <v>0.2</v>
      </c>
      <c r="AP52" s="77">
        <v>1.32</v>
      </c>
      <c r="AQ52" s="77">
        <v>0</v>
      </c>
      <c r="AR52" s="78" t="s">
        <v>198</v>
      </c>
    </row>
    <row r="53" spans="1:44" s="83" customFormat="1" x14ac:dyDescent="0.25">
      <c r="A53" s="83" t="s">
        <v>100</v>
      </c>
      <c r="B53" s="83">
        <v>2</v>
      </c>
      <c r="C53" s="83">
        <v>172</v>
      </c>
      <c r="D53" s="83">
        <v>2</v>
      </c>
      <c r="E53" s="83">
        <v>2</v>
      </c>
      <c r="F53" s="83">
        <v>3</v>
      </c>
      <c r="G53" s="81">
        <v>1700577</v>
      </c>
      <c r="H53" s="81"/>
      <c r="I53" s="82" t="s">
        <v>102</v>
      </c>
      <c r="J53" s="81">
        <f>IF(K53="Inflow",1,IF(K53="Outflow",-1,IF(K53="Gage",0,IF(K53="Top",0,""))))</f>
        <v>-1</v>
      </c>
      <c r="K53" s="81" t="s">
        <v>32</v>
      </c>
      <c r="L53" s="81"/>
      <c r="M53" s="81"/>
      <c r="N53" s="81">
        <v>1</v>
      </c>
      <c r="O53" s="81">
        <v>4</v>
      </c>
      <c r="P53" s="81">
        <v>6</v>
      </c>
      <c r="Q53" s="84"/>
      <c r="S53" s="83" t="s">
        <v>105</v>
      </c>
      <c r="V53" s="82"/>
      <c r="W53" s="82">
        <f>Z$54/SUM(Z$51:Z$53)</f>
        <v>0.16300081998869265</v>
      </c>
      <c r="X53" s="84"/>
      <c r="Y53" s="82"/>
      <c r="Z53" s="82">
        <v>1.26943134355912</v>
      </c>
      <c r="AA53" s="83">
        <v>10000</v>
      </c>
      <c r="AB53" s="83">
        <v>0.15</v>
      </c>
      <c r="AC53" s="83">
        <v>2500</v>
      </c>
      <c r="AD53" s="83">
        <v>1</v>
      </c>
      <c r="AE53" s="81">
        <v>32</v>
      </c>
      <c r="AF53" s="82">
        <v>0.56000000000000005</v>
      </c>
      <c r="AG53" s="84">
        <v>1</v>
      </c>
      <c r="AH53" s="84">
        <v>1.1377999999999999</v>
      </c>
      <c r="AI53" s="84">
        <v>0.1648</v>
      </c>
      <c r="AJ53" s="81">
        <v>500</v>
      </c>
      <c r="AK53" s="81">
        <v>17</v>
      </c>
      <c r="AL53" s="83">
        <v>50</v>
      </c>
      <c r="AM53" s="81">
        <v>10</v>
      </c>
      <c r="AN53" s="81" t="s">
        <v>251</v>
      </c>
      <c r="AO53" s="82">
        <v>0.2</v>
      </c>
      <c r="AP53" s="82">
        <v>1.32</v>
      </c>
      <c r="AQ53" s="82">
        <v>0</v>
      </c>
      <c r="AR53" s="86"/>
    </row>
    <row r="54" spans="1:44" s="83" customFormat="1" ht="15.75" thickBot="1" x14ac:dyDescent="0.3">
      <c r="A54" s="83" t="s">
        <v>100</v>
      </c>
      <c r="G54" s="117">
        <f>G37</f>
        <v>1729077</v>
      </c>
      <c r="H54" s="81">
        <v>1005</v>
      </c>
      <c r="I54" s="81" t="s">
        <v>201</v>
      </c>
      <c r="J54" s="81"/>
      <c r="K54" s="81"/>
      <c r="L54" s="81"/>
      <c r="M54" s="81"/>
      <c r="N54" s="81"/>
      <c r="O54" s="81"/>
      <c r="P54" s="81"/>
      <c r="Q54" s="84"/>
      <c r="S54" s="83" t="s">
        <v>105</v>
      </c>
      <c r="V54" s="82"/>
      <c r="W54" s="82"/>
      <c r="X54" s="84"/>
      <c r="Y54" s="82"/>
      <c r="Z54" s="82">
        <v>0.95</v>
      </c>
      <c r="AE54" s="81"/>
      <c r="AF54" s="82"/>
      <c r="AG54" s="84"/>
      <c r="AH54" s="84"/>
      <c r="AI54" s="84"/>
      <c r="AJ54" s="81"/>
      <c r="AK54" s="81"/>
      <c r="AM54" s="81"/>
      <c r="AN54" s="81"/>
      <c r="AO54" s="82"/>
      <c r="AP54" s="82"/>
      <c r="AQ54" s="82"/>
      <c r="AR54" s="86"/>
    </row>
    <row r="55" spans="1:44" s="87" customFormat="1" x14ac:dyDescent="0.25">
      <c r="A55" s="87" t="s">
        <v>61</v>
      </c>
      <c r="B55" s="87">
        <v>2</v>
      </c>
      <c r="C55" s="87">
        <v>173</v>
      </c>
      <c r="D55" s="87">
        <v>1</v>
      </c>
      <c r="E55" s="95">
        <v>1</v>
      </c>
      <c r="F55" s="87">
        <v>1</v>
      </c>
      <c r="G55" s="88">
        <v>1701000</v>
      </c>
      <c r="H55" s="88">
        <v>6392</v>
      </c>
      <c r="I55" s="88" t="s">
        <v>258</v>
      </c>
      <c r="J55" s="88">
        <f>IF(K55="Inflow",1,IF(K55="Outflow",-1,IF(K55="Gage",0,IF(K55="Top",0,""))))</f>
        <v>0</v>
      </c>
      <c r="K55" s="88" t="s">
        <v>233</v>
      </c>
      <c r="L55" s="88" t="s">
        <v>259</v>
      </c>
      <c r="M55" s="88" t="s">
        <v>86</v>
      </c>
      <c r="N55" s="88">
        <v>1</v>
      </c>
      <c r="O55" s="88">
        <v>2</v>
      </c>
      <c r="P55" s="88">
        <v>3</v>
      </c>
      <c r="Q55" s="90">
        <v>1</v>
      </c>
      <c r="S55" s="91" t="s">
        <v>263</v>
      </c>
      <c r="V55" s="89"/>
      <c r="W55" s="89">
        <f>Z$58/SUM(X$55,Z$55:Z$57)</f>
        <v>0.41087026574215463</v>
      </c>
      <c r="X55" s="90">
        <v>0.61599999999999999</v>
      </c>
      <c r="Y55" s="89">
        <f>W55*X55</f>
        <v>0.25309608369716724</v>
      </c>
      <c r="Z55" s="89">
        <v>0.01</v>
      </c>
      <c r="AA55" s="87">
        <v>10000</v>
      </c>
      <c r="AB55" s="87">
        <v>0.15</v>
      </c>
      <c r="AC55" s="87">
        <v>2500</v>
      </c>
      <c r="AD55" s="87">
        <v>1</v>
      </c>
      <c r="AE55" s="88">
        <v>32</v>
      </c>
      <c r="AF55" s="89">
        <v>0.56000000000000005</v>
      </c>
      <c r="AG55" s="90">
        <v>1</v>
      </c>
      <c r="AH55" s="90">
        <v>1.1377999999999999</v>
      </c>
      <c r="AI55" s="90">
        <v>0.1648</v>
      </c>
      <c r="AJ55" s="88">
        <v>500</v>
      </c>
      <c r="AK55" s="88">
        <v>17</v>
      </c>
      <c r="AL55" s="87">
        <v>50</v>
      </c>
      <c r="AM55" s="88">
        <v>10</v>
      </c>
      <c r="AN55" s="88" t="s">
        <v>251</v>
      </c>
      <c r="AO55" s="89">
        <v>0.2</v>
      </c>
      <c r="AP55" s="89">
        <v>1.32</v>
      </c>
      <c r="AQ55" s="89">
        <v>0</v>
      </c>
      <c r="AR55" s="92" t="s">
        <v>266</v>
      </c>
    </row>
    <row r="56" spans="1:44" s="73" customFormat="1" x14ac:dyDescent="0.25">
      <c r="A56" s="73" t="s">
        <v>61</v>
      </c>
      <c r="B56" s="73">
        <v>2</v>
      </c>
      <c r="C56" s="73">
        <v>173</v>
      </c>
      <c r="D56" s="73">
        <v>2</v>
      </c>
      <c r="E56" s="73">
        <v>1</v>
      </c>
      <c r="F56" s="73">
        <v>2</v>
      </c>
      <c r="G56" s="74">
        <v>1709514</v>
      </c>
      <c r="H56" s="74"/>
      <c r="I56" s="77" t="s">
        <v>260</v>
      </c>
      <c r="J56" s="74">
        <f>IF(K56="Inflow",1,IF(K56="Outflow",-1,IF(K56="Gage",0,IF(K56="Top",0,""))))</f>
        <v>0</v>
      </c>
      <c r="K56" s="74" t="s">
        <v>33</v>
      </c>
      <c r="L56" s="74" t="s">
        <v>63</v>
      </c>
      <c r="M56" s="74" t="s">
        <v>86</v>
      </c>
      <c r="N56" s="74">
        <v>7</v>
      </c>
      <c r="O56" s="74">
        <v>7</v>
      </c>
      <c r="P56" s="74">
        <v>7</v>
      </c>
      <c r="Q56" s="76"/>
      <c r="S56" s="93" t="s">
        <v>263</v>
      </c>
      <c r="V56" s="77"/>
      <c r="W56" s="77">
        <f>Z$58/SUM(X$55,Z$55:Z$57)</f>
        <v>0.41087026574215463</v>
      </c>
      <c r="X56" s="76"/>
      <c r="Y56" s="77"/>
      <c r="Z56" s="77">
        <v>5.3264915206916001E-2</v>
      </c>
      <c r="AA56" s="73">
        <v>10000</v>
      </c>
      <c r="AB56" s="73">
        <v>0.15</v>
      </c>
      <c r="AC56" s="73">
        <v>2500</v>
      </c>
      <c r="AD56" s="73">
        <v>1</v>
      </c>
      <c r="AE56" s="74">
        <v>32</v>
      </c>
      <c r="AF56" s="77">
        <v>0.56000000000000005</v>
      </c>
      <c r="AG56" s="76">
        <v>1</v>
      </c>
      <c r="AH56" s="76">
        <v>1.1377999999999999</v>
      </c>
      <c r="AI56" s="76">
        <v>0.1648</v>
      </c>
      <c r="AJ56" s="74">
        <v>500</v>
      </c>
      <c r="AK56" s="74">
        <v>17</v>
      </c>
      <c r="AL56" s="73">
        <v>50</v>
      </c>
      <c r="AM56" s="74">
        <v>10</v>
      </c>
      <c r="AN56" s="74" t="s">
        <v>251</v>
      </c>
      <c r="AO56" s="77">
        <v>0.2</v>
      </c>
      <c r="AP56" s="77">
        <v>1.32</v>
      </c>
      <c r="AQ56" s="77">
        <v>0</v>
      </c>
      <c r="AR56" s="78" t="s">
        <v>198</v>
      </c>
    </row>
    <row r="57" spans="1:44" s="83" customFormat="1" x14ac:dyDescent="0.25">
      <c r="A57" s="83" t="s">
        <v>61</v>
      </c>
      <c r="B57" s="83">
        <v>2</v>
      </c>
      <c r="C57" s="83">
        <v>173</v>
      </c>
      <c r="D57" s="83">
        <v>2</v>
      </c>
      <c r="E57" s="83">
        <v>2</v>
      </c>
      <c r="F57" s="83">
        <v>3</v>
      </c>
      <c r="G57" s="81">
        <v>1700594</v>
      </c>
      <c r="H57" s="81"/>
      <c r="I57" s="82" t="s">
        <v>262</v>
      </c>
      <c r="J57" s="81">
        <f>IF(K57="Inflow",1,IF(K57="Outflow",-1,IF(K57="Gage",0,IF(K57="Top",0,""))))</f>
        <v>-1</v>
      </c>
      <c r="K57" s="81" t="s">
        <v>32</v>
      </c>
      <c r="L57" s="81"/>
      <c r="M57" s="81"/>
      <c r="N57" s="81">
        <v>1</v>
      </c>
      <c r="O57" s="81">
        <v>4</v>
      </c>
      <c r="P57" s="81">
        <v>6</v>
      </c>
      <c r="Q57" s="84"/>
      <c r="S57" s="83" t="s">
        <v>263</v>
      </c>
      <c r="V57" s="82"/>
      <c r="W57" s="82">
        <f>Z$58/SUM(X$55,Z$55:Z$57)</f>
        <v>0.41087026574215463</v>
      </c>
      <c r="X57" s="84"/>
      <c r="Y57" s="82"/>
      <c r="Z57" s="82">
        <v>3.4582941678999899</v>
      </c>
      <c r="AA57" s="83">
        <v>10000</v>
      </c>
      <c r="AB57" s="83">
        <v>0.15</v>
      </c>
      <c r="AC57" s="83">
        <v>2500</v>
      </c>
      <c r="AD57" s="83">
        <v>1</v>
      </c>
      <c r="AE57" s="81">
        <v>32</v>
      </c>
      <c r="AF57" s="82">
        <v>0.56000000000000005</v>
      </c>
      <c r="AG57" s="84">
        <v>1</v>
      </c>
      <c r="AH57" s="84">
        <v>1.1377999999999999</v>
      </c>
      <c r="AI57" s="84">
        <v>0.1648</v>
      </c>
      <c r="AJ57" s="81">
        <v>500</v>
      </c>
      <c r="AK57" s="81">
        <v>17</v>
      </c>
      <c r="AL57" s="83">
        <v>50</v>
      </c>
      <c r="AM57" s="81">
        <v>10</v>
      </c>
      <c r="AN57" s="81" t="s">
        <v>251</v>
      </c>
      <c r="AO57" s="82">
        <v>0.2</v>
      </c>
      <c r="AP57" s="82">
        <v>1.32</v>
      </c>
      <c r="AQ57" s="82">
        <v>0</v>
      </c>
      <c r="AR57" s="86"/>
    </row>
    <row r="58" spans="1:44" s="83" customFormat="1" ht="15.75" thickBot="1" x14ac:dyDescent="0.3">
      <c r="A58" s="83" t="s">
        <v>61</v>
      </c>
      <c r="G58" s="117">
        <f>G42</f>
        <v>1729091</v>
      </c>
      <c r="H58" s="81">
        <v>1010</v>
      </c>
      <c r="I58" s="81" t="s">
        <v>261</v>
      </c>
      <c r="J58" s="81"/>
      <c r="K58" s="81"/>
      <c r="L58" s="81"/>
      <c r="M58" s="81"/>
      <c r="N58" s="81"/>
      <c r="O58" s="81"/>
      <c r="P58" s="81"/>
      <c r="Q58" s="84"/>
      <c r="S58" s="83" t="s">
        <v>263</v>
      </c>
      <c r="V58" s="82"/>
      <c r="W58" s="82"/>
      <c r="X58" s="84"/>
      <c r="Y58" s="82"/>
      <c r="Z58" s="82">
        <v>1.7</v>
      </c>
      <c r="AE58" s="81"/>
      <c r="AF58" s="82"/>
      <c r="AG58" s="84"/>
      <c r="AH58" s="84"/>
      <c r="AI58" s="84"/>
      <c r="AJ58" s="81"/>
      <c r="AK58" s="81"/>
      <c r="AM58" s="81"/>
      <c r="AN58" s="81"/>
      <c r="AO58" s="82"/>
      <c r="AP58" s="82"/>
      <c r="AQ58" s="82"/>
      <c r="AR58" s="86"/>
    </row>
    <row r="59" spans="1:44" s="96" customFormat="1" x14ac:dyDescent="0.25">
      <c r="A59" s="96" t="s">
        <v>247</v>
      </c>
      <c r="B59" s="96">
        <v>2</v>
      </c>
      <c r="C59" s="96">
        <v>174</v>
      </c>
      <c r="D59" s="96">
        <v>1</v>
      </c>
      <c r="E59" s="96">
        <v>1</v>
      </c>
      <c r="F59" s="96">
        <v>1</v>
      </c>
      <c r="G59" s="97">
        <v>6709503</v>
      </c>
      <c r="H59" s="97"/>
      <c r="I59" s="98" t="s">
        <v>267</v>
      </c>
      <c r="J59" s="97">
        <f>IF(K59="Inflow",1,IF(K59="Outflow",-1,IF(K59="Gage",0,IF(K59="Top",0,""))))</f>
        <v>0</v>
      </c>
      <c r="K59" s="97" t="s">
        <v>33</v>
      </c>
      <c r="L59" s="97" t="s">
        <v>271</v>
      </c>
      <c r="M59" s="97" t="s">
        <v>86</v>
      </c>
      <c r="N59" s="97">
        <v>7</v>
      </c>
      <c r="O59" s="97">
        <v>7</v>
      </c>
      <c r="P59" s="97">
        <v>7</v>
      </c>
      <c r="Q59" s="99"/>
      <c r="S59" s="100" t="s">
        <v>272</v>
      </c>
      <c r="V59" s="98"/>
      <c r="W59" s="98">
        <f>W60</f>
        <v>0.34567611513305763</v>
      </c>
      <c r="X59" s="99"/>
      <c r="Y59" s="98"/>
      <c r="Z59" s="98">
        <v>0.46233830236759499</v>
      </c>
      <c r="AA59" s="96">
        <v>10000</v>
      </c>
      <c r="AB59" s="96">
        <v>0.15</v>
      </c>
      <c r="AC59" s="96">
        <v>2500</v>
      </c>
      <c r="AD59" s="96">
        <v>1</v>
      </c>
      <c r="AE59" s="97">
        <v>32</v>
      </c>
      <c r="AF59" s="98">
        <v>0.56000000000000005</v>
      </c>
      <c r="AG59" s="99">
        <v>1</v>
      </c>
      <c r="AH59" s="99">
        <v>1.1377999999999999</v>
      </c>
      <c r="AI59" s="99">
        <v>0.1648</v>
      </c>
      <c r="AJ59" s="97">
        <v>500</v>
      </c>
      <c r="AK59" s="97">
        <v>17</v>
      </c>
      <c r="AL59" s="96">
        <v>50</v>
      </c>
      <c r="AM59" s="97">
        <v>10</v>
      </c>
      <c r="AN59" s="97" t="s">
        <v>251</v>
      </c>
      <c r="AO59" s="98">
        <v>0.2</v>
      </c>
      <c r="AP59" s="98">
        <v>1.32</v>
      </c>
      <c r="AQ59" s="98">
        <v>0</v>
      </c>
      <c r="AR59" s="101" t="s">
        <v>198</v>
      </c>
    </row>
    <row r="60" spans="1:44" s="83" customFormat="1" x14ac:dyDescent="0.25">
      <c r="A60" s="83" t="s">
        <v>247</v>
      </c>
      <c r="B60" s="83">
        <v>2</v>
      </c>
      <c r="C60" s="83">
        <v>174</v>
      </c>
      <c r="D60" s="83">
        <v>1</v>
      </c>
      <c r="E60" s="83">
        <v>2</v>
      </c>
      <c r="F60" s="83">
        <v>2</v>
      </c>
      <c r="G60" s="81">
        <v>6701006</v>
      </c>
      <c r="H60" s="81">
        <v>6394</v>
      </c>
      <c r="I60" s="82" t="s">
        <v>264</v>
      </c>
      <c r="J60" s="81">
        <f>IF(K60="Inflow",1,IF(K60="Outflow",-1,IF(K60="Gage",0,IF(K60="Top",0,""))))</f>
        <v>1</v>
      </c>
      <c r="K60" s="81" t="s">
        <v>31</v>
      </c>
      <c r="L60" s="81" t="s">
        <v>265</v>
      </c>
      <c r="M60" s="81" t="s">
        <v>86</v>
      </c>
      <c r="N60" s="81">
        <v>1</v>
      </c>
      <c r="O60" s="81">
        <v>2</v>
      </c>
      <c r="P60" s="81">
        <v>3</v>
      </c>
      <c r="Q60" s="84">
        <v>1</v>
      </c>
      <c r="S60" s="85" t="s">
        <v>272</v>
      </c>
      <c r="V60" s="82"/>
      <c r="W60" s="82">
        <f>Z$62/(X$60+Z$60+Z$61)</f>
        <v>0.34567611513305763</v>
      </c>
      <c r="X60" s="84">
        <v>0.45300000000000001</v>
      </c>
      <c r="Y60" s="82">
        <f>W60*X60</f>
        <v>0.1565912801552751</v>
      </c>
      <c r="Z60" s="82">
        <v>1.9716758006259301</v>
      </c>
      <c r="AA60" s="83">
        <v>10000</v>
      </c>
      <c r="AB60" s="83">
        <v>0.15</v>
      </c>
      <c r="AC60" s="83">
        <v>2500</v>
      </c>
      <c r="AD60" s="83">
        <v>1</v>
      </c>
      <c r="AE60" s="81">
        <v>32</v>
      </c>
      <c r="AF60" s="82">
        <v>0.56000000000000005</v>
      </c>
      <c r="AG60" s="84">
        <v>1</v>
      </c>
      <c r="AH60" s="84">
        <v>1.1377999999999999</v>
      </c>
      <c r="AI60" s="84">
        <v>0.1648</v>
      </c>
      <c r="AJ60" s="81">
        <v>500</v>
      </c>
      <c r="AK60" s="81">
        <v>17</v>
      </c>
      <c r="AL60" s="83">
        <v>50</v>
      </c>
      <c r="AM60" s="81">
        <v>10</v>
      </c>
      <c r="AN60" s="81" t="s">
        <v>251</v>
      </c>
      <c r="AO60" s="82">
        <v>0.2</v>
      </c>
      <c r="AP60" s="82">
        <v>1.32</v>
      </c>
      <c r="AQ60" s="82">
        <v>0</v>
      </c>
      <c r="AR60" s="86"/>
    </row>
    <row r="61" spans="1:44" s="83" customFormat="1" x14ac:dyDescent="0.25">
      <c r="A61" s="83" t="s">
        <v>247</v>
      </c>
      <c r="B61" s="83">
        <v>2</v>
      </c>
      <c r="C61" s="83">
        <v>174</v>
      </c>
      <c r="D61" s="83">
        <v>1</v>
      </c>
      <c r="E61" s="83">
        <v>3</v>
      </c>
      <c r="F61" s="83">
        <v>3</v>
      </c>
      <c r="G61" s="81">
        <v>6701002</v>
      </c>
      <c r="H61" s="81">
        <v>6393</v>
      </c>
      <c r="I61" s="82" t="s">
        <v>268</v>
      </c>
      <c r="J61" s="81">
        <f>IF(K61="Inflow",1,IF(K61="Outflow",-1,IF(K61="Gage",0,IF(K61="Top",0,""))))</f>
        <v>1</v>
      </c>
      <c r="K61" s="81" t="s">
        <v>31</v>
      </c>
      <c r="L61" s="81" t="s">
        <v>269</v>
      </c>
      <c r="M61" s="81" t="s">
        <v>86</v>
      </c>
      <c r="N61" s="81">
        <v>1</v>
      </c>
      <c r="O61" s="81">
        <v>2</v>
      </c>
      <c r="P61" s="81">
        <v>3</v>
      </c>
      <c r="Q61" s="102">
        <v>1</v>
      </c>
      <c r="S61" s="83" t="s">
        <v>272</v>
      </c>
      <c r="V61" s="82"/>
      <c r="W61" s="82">
        <f>Z$62/(X$60+Z$60+Z$61)</f>
        <v>0.34567611513305763</v>
      </c>
      <c r="X61" s="84">
        <v>1.095</v>
      </c>
      <c r="Y61" s="82">
        <f>0.3/(X61+Z61)*X61</f>
        <v>0.12075615880644365</v>
      </c>
      <c r="Z61" s="82">
        <v>1.62535814360858</v>
      </c>
      <c r="AA61" s="83">
        <v>10000</v>
      </c>
      <c r="AB61" s="83">
        <v>0.15</v>
      </c>
      <c r="AC61" s="83">
        <v>2500</v>
      </c>
      <c r="AD61" s="83">
        <v>1</v>
      </c>
      <c r="AE61" s="81">
        <v>32</v>
      </c>
      <c r="AF61" s="82">
        <v>0.56000000000000005</v>
      </c>
      <c r="AG61" s="84">
        <v>1</v>
      </c>
      <c r="AH61" s="84">
        <v>1.1377999999999999</v>
      </c>
      <c r="AI61" s="84">
        <v>0.1648</v>
      </c>
      <c r="AJ61" s="81">
        <v>500</v>
      </c>
      <c r="AK61" s="81">
        <v>17</v>
      </c>
      <c r="AL61" s="83">
        <v>50</v>
      </c>
      <c r="AM61" s="81">
        <v>10</v>
      </c>
      <c r="AN61" s="81" t="s">
        <v>251</v>
      </c>
      <c r="AO61" s="82">
        <v>0.2</v>
      </c>
      <c r="AP61" s="82">
        <v>1.32</v>
      </c>
      <c r="AQ61" s="82">
        <v>0</v>
      </c>
      <c r="AR61" s="86"/>
    </row>
    <row r="62" spans="1:44" s="83" customFormat="1" ht="15.75" thickBot="1" x14ac:dyDescent="0.3">
      <c r="A62" s="83" t="s">
        <v>247</v>
      </c>
      <c r="G62" s="117">
        <f>G45</f>
        <v>1729101</v>
      </c>
      <c r="H62" s="81">
        <v>1013</v>
      </c>
      <c r="I62" s="81" t="s">
        <v>270</v>
      </c>
      <c r="J62" s="81"/>
      <c r="K62" s="81"/>
      <c r="L62" s="81"/>
      <c r="M62" s="81"/>
      <c r="N62" s="81"/>
      <c r="O62" s="81"/>
      <c r="P62" s="81"/>
      <c r="Q62" s="84"/>
      <c r="S62" s="83" t="s">
        <v>272</v>
      </c>
      <c r="V62" s="82"/>
      <c r="W62" s="82"/>
      <c r="X62" s="84"/>
      <c r="Y62" s="82"/>
      <c r="Z62" s="82">
        <v>1.4</v>
      </c>
      <c r="AE62" s="81"/>
      <c r="AF62" s="82"/>
      <c r="AG62" s="84"/>
      <c r="AH62" s="84"/>
      <c r="AI62" s="84"/>
      <c r="AJ62" s="81"/>
      <c r="AK62" s="81"/>
      <c r="AM62" s="81"/>
      <c r="AN62" s="81"/>
      <c r="AO62" s="82"/>
      <c r="AP62" s="82"/>
      <c r="AQ62" s="82"/>
      <c r="AR62" s="86"/>
    </row>
    <row r="63" spans="1:44" s="88" customFormat="1" x14ac:dyDescent="0.25">
      <c r="A63" s="88" t="s">
        <v>548</v>
      </c>
      <c r="B63" s="87">
        <v>2</v>
      </c>
      <c r="C63" s="87">
        <v>67</v>
      </c>
      <c r="D63" s="87">
        <v>1</v>
      </c>
      <c r="E63" s="87">
        <v>1</v>
      </c>
      <c r="F63" s="87">
        <v>1</v>
      </c>
      <c r="G63" s="87">
        <v>6703512</v>
      </c>
      <c r="I63" s="87" t="s">
        <v>160</v>
      </c>
      <c r="J63" s="88">
        <f t="shared" ref="J63:J91" si="9">IF(K63="Inflow",1,IF(K63="Outflow",-1,IF(K63="Gage",0,IF(K63="Top",0,""))))</f>
        <v>0</v>
      </c>
      <c r="K63" s="87" t="s">
        <v>233</v>
      </c>
      <c r="L63" s="87"/>
      <c r="M63" s="87"/>
      <c r="N63" s="87">
        <v>0</v>
      </c>
      <c r="O63" s="87">
        <v>0</v>
      </c>
      <c r="P63" s="87">
        <v>0</v>
      </c>
      <c r="Q63" s="90">
        <v>1</v>
      </c>
      <c r="S63" s="88" t="s">
        <v>106</v>
      </c>
      <c r="T63" s="92"/>
      <c r="U63" s="92"/>
      <c r="V63" s="89"/>
      <c r="W63" s="88">
        <v>0</v>
      </c>
      <c r="X63" s="90"/>
      <c r="Y63" s="89"/>
      <c r="Z63" s="89"/>
      <c r="AA63" s="87">
        <v>9000</v>
      </c>
      <c r="AB63" s="87">
        <v>0.18</v>
      </c>
      <c r="AC63" s="87">
        <v>800</v>
      </c>
      <c r="AD63" s="87">
        <v>1</v>
      </c>
      <c r="AE63" s="87">
        <v>32</v>
      </c>
      <c r="AF63" s="87">
        <v>0.56000000000000005</v>
      </c>
      <c r="AG63" s="90">
        <v>1</v>
      </c>
      <c r="AH63" s="90">
        <v>0.98509999999999998</v>
      </c>
      <c r="AI63" s="90">
        <v>0.20039999999999999</v>
      </c>
      <c r="AJ63" s="88">
        <v>500</v>
      </c>
      <c r="AK63" s="87">
        <v>671</v>
      </c>
      <c r="AL63" s="87">
        <v>20</v>
      </c>
      <c r="AM63" s="88">
        <v>0</v>
      </c>
      <c r="AN63" s="88" t="s">
        <v>249</v>
      </c>
      <c r="AO63" s="87">
        <v>0.38</v>
      </c>
      <c r="AP63" s="87">
        <v>0.99</v>
      </c>
      <c r="AQ63" s="89">
        <v>0</v>
      </c>
      <c r="AR63" s="92"/>
    </row>
    <row r="64" spans="1:44" s="73" customFormat="1" x14ac:dyDescent="0.25">
      <c r="A64" s="73" t="s">
        <v>548</v>
      </c>
      <c r="B64" s="73">
        <v>2</v>
      </c>
      <c r="C64" s="73">
        <v>67</v>
      </c>
      <c r="D64" s="73">
        <v>2</v>
      </c>
      <c r="E64" s="73">
        <v>1</v>
      </c>
      <c r="F64" s="73">
        <v>2</v>
      </c>
      <c r="G64" s="74">
        <v>6709501</v>
      </c>
      <c r="H64" s="74"/>
      <c r="I64" s="74" t="s">
        <v>159</v>
      </c>
      <c r="J64" s="74">
        <f t="shared" si="9"/>
        <v>0</v>
      </c>
      <c r="K64" s="73" t="s">
        <v>33</v>
      </c>
      <c r="L64" s="73" t="s">
        <v>134</v>
      </c>
      <c r="M64" s="73" t="s">
        <v>86</v>
      </c>
      <c r="N64" s="73">
        <v>150</v>
      </c>
      <c r="O64" s="73">
        <v>542</v>
      </c>
      <c r="P64" s="73">
        <v>831</v>
      </c>
      <c r="Q64" s="76"/>
      <c r="S64" s="73" t="s">
        <v>106</v>
      </c>
      <c r="T64" s="74"/>
      <c r="W64" s="73">
        <v>1.5</v>
      </c>
      <c r="X64" s="76"/>
      <c r="AA64" s="73">
        <v>9000</v>
      </c>
      <c r="AB64" s="73">
        <v>0.18</v>
      </c>
      <c r="AC64" s="73">
        <v>800</v>
      </c>
      <c r="AD64" s="73">
        <v>1</v>
      </c>
      <c r="AE64" s="73">
        <v>32</v>
      </c>
      <c r="AF64" s="73">
        <v>0.56000000000000005</v>
      </c>
      <c r="AG64" s="76">
        <v>1</v>
      </c>
      <c r="AH64" s="76">
        <v>0.98509999999999998</v>
      </c>
      <c r="AI64" s="76">
        <v>0.20039999999999999</v>
      </c>
      <c r="AJ64" s="74">
        <v>500</v>
      </c>
      <c r="AK64" s="73">
        <v>671</v>
      </c>
      <c r="AL64" s="73">
        <v>50</v>
      </c>
      <c r="AM64" s="78">
        <v>10.7</v>
      </c>
      <c r="AN64" s="78" t="s">
        <v>250</v>
      </c>
      <c r="AO64" s="73">
        <v>0.38</v>
      </c>
      <c r="AP64" s="73">
        <v>0.99</v>
      </c>
      <c r="AQ64" s="77">
        <v>1</v>
      </c>
      <c r="AR64" s="78"/>
    </row>
    <row r="65" spans="1:44" s="83" customFormat="1" x14ac:dyDescent="0.25">
      <c r="A65" s="83" t="s">
        <v>548</v>
      </c>
      <c r="B65" s="83">
        <v>2</v>
      </c>
      <c r="C65" s="83">
        <v>67</v>
      </c>
      <c r="D65" s="83">
        <v>2</v>
      </c>
      <c r="E65" s="83">
        <f t="shared" ref="E65:E76" si="10">E64+1</f>
        <v>2</v>
      </c>
      <c r="F65" s="83">
        <f t="shared" ref="F65:F76" si="11">F64+1</f>
        <v>3</v>
      </c>
      <c r="G65" s="81">
        <v>6700610</v>
      </c>
      <c r="H65" s="81"/>
      <c r="I65" s="81" t="s">
        <v>149</v>
      </c>
      <c r="J65" s="81">
        <f t="shared" si="9"/>
        <v>-1</v>
      </c>
      <c r="K65" s="83" t="s">
        <v>32</v>
      </c>
      <c r="L65" s="83" t="s">
        <v>135</v>
      </c>
      <c r="M65" s="83" t="s">
        <v>86</v>
      </c>
      <c r="N65" s="83">
        <v>17.600000000000001</v>
      </c>
      <c r="O65" s="83">
        <v>49.3</v>
      </c>
      <c r="P65" s="83">
        <v>70.599999999999994</v>
      </c>
      <c r="Q65" s="84"/>
      <c r="S65" s="83" t="s">
        <v>106</v>
      </c>
      <c r="W65" s="83">
        <v>1.5</v>
      </c>
      <c r="X65" s="84"/>
      <c r="AA65" s="83">
        <v>9000</v>
      </c>
      <c r="AB65" s="83">
        <v>0.18</v>
      </c>
      <c r="AC65" s="83">
        <v>800</v>
      </c>
      <c r="AD65" s="83">
        <v>1</v>
      </c>
      <c r="AE65" s="83">
        <v>32</v>
      </c>
      <c r="AF65" s="83">
        <v>0.56000000000000005</v>
      </c>
      <c r="AG65" s="84">
        <v>1</v>
      </c>
      <c r="AH65" s="84">
        <v>0.98509999999999998</v>
      </c>
      <c r="AI65" s="84">
        <v>0.20039999999999999</v>
      </c>
      <c r="AJ65" s="81">
        <v>500</v>
      </c>
      <c r="AK65" s="83">
        <v>671</v>
      </c>
      <c r="AL65" s="83">
        <v>50</v>
      </c>
      <c r="AM65" s="86">
        <v>10.7</v>
      </c>
      <c r="AN65" s="86" t="s">
        <v>250</v>
      </c>
      <c r="AO65" s="83">
        <v>0.38</v>
      </c>
      <c r="AP65" s="83">
        <v>0.99</v>
      </c>
      <c r="AQ65" s="82">
        <v>1</v>
      </c>
      <c r="AR65" s="86"/>
    </row>
    <row r="66" spans="1:44" s="83" customFormat="1" x14ac:dyDescent="0.25">
      <c r="A66" s="83" t="s">
        <v>548</v>
      </c>
      <c r="B66" s="83">
        <v>2</v>
      </c>
      <c r="C66" s="83">
        <v>67</v>
      </c>
      <c r="D66" s="83">
        <v>2</v>
      </c>
      <c r="E66" s="83">
        <f t="shared" si="10"/>
        <v>3</v>
      </c>
      <c r="F66" s="83">
        <f t="shared" si="11"/>
        <v>4</v>
      </c>
      <c r="G66" s="81">
        <v>6700613</v>
      </c>
      <c r="H66" s="81"/>
      <c r="I66" s="81" t="s">
        <v>148</v>
      </c>
      <c r="J66" s="81">
        <f t="shared" si="9"/>
        <v>-1</v>
      </c>
      <c r="K66" s="83" t="s">
        <v>32</v>
      </c>
      <c r="N66" s="83">
        <v>15.6</v>
      </c>
      <c r="O66" s="83">
        <v>14</v>
      </c>
      <c r="P66" s="83">
        <v>17.600000000000001</v>
      </c>
      <c r="Q66" s="84"/>
      <c r="S66" s="83" t="s">
        <v>106</v>
      </c>
      <c r="W66" s="83">
        <v>1.5</v>
      </c>
      <c r="X66" s="84"/>
      <c r="AA66" s="83">
        <v>9000</v>
      </c>
      <c r="AB66" s="83">
        <v>0.18</v>
      </c>
      <c r="AC66" s="83">
        <v>800</v>
      </c>
      <c r="AD66" s="83">
        <v>1</v>
      </c>
      <c r="AE66" s="83">
        <v>32</v>
      </c>
      <c r="AF66" s="83">
        <v>0.56000000000000005</v>
      </c>
      <c r="AG66" s="84">
        <v>1</v>
      </c>
      <c r="AH66" s="84">
        <v>0.98509999999999998</v>
      </c>
      <c r="AI66" s="84">
        <v>0.20039999999999999</v>
      </c>
      <c r="AJ66" s="81">
        <v>500</v>
      </c>
      <c r="AK66" s="83">
        <v>671</v>
      </c>
      <c r="AL66" s="83">
        <v>50</v>
      </c>
      <c r="AM66" s="86">
        <v>10.7</v>
      </c>
      <c r="AN66" s="86" t="s">
        <v>250</v>
      </c>
      <c r="AO66" s="83">
        <v>0.38</v>
      </c>
      <c r="AP66" s="83">
        <v>0.99</v>
      </c>
      <c r="AQ66" s="82">
        <v>1</v>
      </c>
      <c r="AR66" s="86"/>
    </row>
    <row r="67" spans="1:44" s="83" customFormat="1" x14ac:dyDescent="0.25">
      <c r="A67" s="83" t="s">
        <v>548</v>
      </c>
      <c r="B67" s="83">
        <v>2</v>
      </c>
      <c r="C67" s="83">
        <v>67</v>
      </c>
      <c r="D67" s="83">
        <v>2</v>
      </c>
      <c r="E67" s="83">
        <f t="shared" si="10"/>
        <v>4</v>
      </c>
      <c r="F67" s="83">
        <f t="shared" si="11"/>
        <v>5</v>
      </c>
      <c r="G67" s="79">
        <v>6701004</v>
      </c>
      <c r="H67" s="61">
        <v>1015</v>
      </c>
      <c r="I67" s="61" t="s">
        <v>537</v>
      </c>
      <c r="J67" s="81">
        <f t="shared" si="9"/>
        <v>1</v>
      </c>
      <c r="K67" s="61" t="s">
        <v>31</v>
      </c>
      <c r="L67" s="61" t="s">
        <v>277</v>
      </c>
      <c r="M67" s="61" t="s">
        <v>86</v>
      </c>
      <c r="N67" s="61">
        <v>0</v>
      </c>
      <c r="O67" s="61">
        <v>0</v>
      </c>
      <c r="P67" s="61">
        <v>0</v>
      </c>
      <c r="Q67" s="79">
        <v>1</v>
      </c>
      <c r="R67" s="61"/>
      <c r="S67" s="61" t="s">
        <v>106</v>
      </c>
      <c r="V67" s="109"/>
      <c r="W67" s="83">
        <v>1.5</v>
      </c>
      <c r="X67" s="110">
        <v>4.2220000000000004</v>
      </c>
      <c r="Y67" s="65">
        <f>Z67</f>
        <v>2.1999999999999997</v>
      </c>
      <c r="Z67" s="61">
        <v>2.1999999999999997</v>
      </c>
      <c r="AA67" s="83">
        <v>9000</v>
      </c>
      <c r="AB67" s="83">
        <v>0.18</v>
      </c>
      <c r="AC67" s="83">
        <v>800</v>
      </c>
      <c r="AD67" s="83">
        <v>1</v>
      </c>
      <c r="AE67" s="83">
        <v>32</v>
      </c>
      <c r="AF67" s="83">
        <v>0.56000000000000005</v>
      </c>
      <c r="AG67" s="84">
        <v>1</v>
      </c>
      <c r="AH67" s="84">
        <v>0.98509999999999998</v>
      </c>
      <c r="AI67" s="84">
        <v>0.20039999999999999</v>
      </c>
      <c r="AJ67" s="81">
        <v>500</v>
      </c>
      <c r="AK67" s="83">
        <v>671</v>
      </c>
      <c r="AL67" s="83">
        <v>50</v>
      </c>
      <c r="AM67" s="86">
        <v>10.7</v>
      </c>
      <c r="AN67" s="86" t="s">
        <v>250</v>
      </c>
      <c r="AO67" s="83">
        <v>0.38</v>
      </c>
      <c r="AP67" s="83">
        <v>0.99</v>
      </c>
      <c r="AQ67" s="82">
        <v>1</v>
      </c>
      <c r="AR67" s="86"/>
    </row>
    <row r="68" spans="1:44" s="83" customFormat="1" x14ac:dyDescent="0.25">
      <c r="A68" s="83" t="s">
        <v>548</v>
      </c>
      <c r="B68" s="83">
        <v>2</v>
      </c>
      <c r="C68" s="83">
        <v>67</v>
      </c>
      <c r="D68" s="83">
        <v>2</v>
      </c>
      <c r="E68" s="83">
        <f t="shared" si="10"/>
        <v>5</v>
      </c>
      <c r="F68" s="83">
        <f t="shared" si="11"/>
        <v>6</v>
      </c>
      <c r="G68" s="79">
        <v>6701008</v>
      </c>
      <c r="H68" s="61">
        <v>1015</v>
      </c>
      <c r="I68" s="113" t="s">
        <v>538</v>
      </c>
      <c r="J68" s="81">
        <f t="shared" si="9"/>
        <v>1</v>
      </c>
      <c r="K68" s="61" t="s">
        <v>31</v>
      </c>
      <c r="L68" s="61" t="s">
        <v>531</v>
      </c>
      <c r="M68" s="61" t="s">
        <v>86</v>
      </c>
      <c r="N68" s="61">
        <v>0</v>
      </c>
      <c r="O68" s="61">
        <v>0</v>
      </c>
      <c r="P68" s="61">
        <v>0</v>
      </c>
      <c r="Q68" s="79">
        <v>1</v>
      </c>
      <c r="R68" s="61"/>
      <c r="S68" s="61" t="s">
        <v>106</v>
      </c>
      <c r="V68" s="109"/>
      <c r="W68" s="83">
        <v>1.5</v>
      </c>
      <c r="X68" s="110"/>
      <c r="Y68" s="65"/>
      <c r="Z68" s="61"/>
      <c r="AA68" s="83">
        <v>9000</v>
      </c>
      <c r="AB68" s="83">
        <v>0.18</v>
      </c>
      <c r="AC68" s="83">
        <v>800</v>
      </c>
      <c r="AD68" s="83">
        <v>1</v>
      </c>
      <c r="AE68" s="83">
        <v>32</v>
      </c>
      <c r="AF68" s="83">
        <v>0.56000000000000005</v>
      </c>
      <c r="AG68" s="84">
        <v>1</v>
      </c>
      <c r="AH68" s="84">
        <v>0.98509999999999998</v>
      </c>
      <c r="AI68" s="84">
        <v>0.20039999999999999</v>
      </c>
      <c r="AJ68" s="81">
        <v>500</v>
      </c>
      <c r="AK68" s="83">
        <v>671</v>
      </c>
      <c r="AL68" s="83">
        <v>50</v>
      </c>
      <c r="AM68" s="86">
        <v>10.7</v>
      </c>
      <c r="AN68" s="86" t="s">
        <v>250</v>
      </c>
      <c r="AO68" s="83">
        <v>0.38</v>
      </c>
      <c r="AP68" s="83">
        <v>0.99</v>
      </c>
      <c r="AQ68" s="82">
        <v>1</v>
      </c>
      <c r="AR68" s="80" t="s">
        <v>532</v>
      </c>
    </row>
    <row r="69" spans="1:44" s="83" customFormat="1" x14ac:dyDescent="0.25">
      <c r="A69" s="83" t="s">
        <v>548</v>
      </c>
      <c r="B69" s="83">
        <v>2</v>
      </c>
      <c r="C69" s="83">
        <v>67</v>
      </c>
      <c r="D69" s="83">
        <v>2</v>
      </c>
      <c r="E69" s="83">
        <f t="shared" si="10"/>
        <v>6</v>
      </c>
      <c r="F69" s="83">
        <f t="shared" si="11"/>
        <v>7</v>
      </c>
      <c r="G69" s="79">
        <v>6701003</v>
      </c>
      <c r="H69" s="61">
        <v>5986</v>
      </c>
      <c r="I69" s="61" t="s">
        <v>539</v>
      </c>
      <c r="J69" s="81">
        <f t="shared" si="9"/>
        <v>1</v>
      </c>
      <c r="K69" s="61" t="s">
        <v>31</v>
      </c>
      <c r="L69" s="61" t="s">
        <v>278</v>
      </c>
      <c r="M69" s="61" t="s">
        <v>86</v>
      </c>
      <c r="N69" s="61">
        <v>0</v>
      </c>
      <c r="O69" s="61">
        <v>0</v>
      </c>
      <c r="P69" s="61">
        <v>0</v>
      </c>
      <c r="Q69" s="79">
        <v>1</v>
      </c>
      <c r="R69" s="61"/>
      <c r="S69" s="61" t="s">
        <v>106</v>
      </c>
      <c r="V69" s="109"/>
      <c r="W69" s="83">
        <v>1.5</v>
      </c>
      <c r="X69" s="110">
        <v>1.0069999999999999</v>
      </c>
      <c r="Y69" s="65">
        <f>Z69</f>
        <v>0.6</v>
      </c>
      <c r="Z69" s="61">
        <v>0.6</v>
      </c>
      <c r="AA69" s="83">
        <v>9000</v>
      </c>
      <c r="AB69" s="83">
        <v>0.18</v>
      </c>
      <c r="AC69" s="83">
        <v>800</v>
      </c>
      <c r="AD69" s="83">
        <v>1</v>
      </c>
      <c r="AE69" s="83">
        <v>32</v>
      </c>
      <c r="AF69" s="83">
        <v>0.56000000000000005</v>
      </c>
      <c r="AG69" s="84">
        <v>1</v>
      </c>
      <c r="AH69" s="84">
        <v>0.98509999999999998</v>
      </c>
      <c r="AI69" s="84">
        <v>0.20039999999999999</v>
      </c>
      <c r="AJ69" s="81">
        <v>500</v>
      </c>
      <c r="AK69" s="83">
        <v>671</v>
      </c>
      <c r="AL69" s="83">
        <v>50</v>
      </c>
      <c r="AM69" s="86">
        <v>10.7</v>
      </c>
      <c r="AN69" s="86" t="s">
        <v>250</v>
      </c>
      <c r="AO69" s="83">
        <v>0.38</v>
      </c>
      <c r="AP69" s="83">
        <v>0.99</v>
      </c>
      <c r="AQ69" s="82">
        <v>1</v>
      </c>
      <c r="AR69" s="86"/>
    </row>
    <row r="70" spans="1:44" s="83" customFormat="1" x14ac:dyDescent="0.25">
      <c r="A70" s="83" t="s">
        <v>548</v>
      </c>
      <c r="B70" s="83">
        <v>2</v>
      </c>
      <c r="C70" s="83">
        <v>67</v>
      </c>
      <c r="D70" s="83">
        <v>2</v>
      </c>
      <c r="E70" s="83">
        <f t="shared" si="10"/>
        <v>7</v>
      </c>
      <c r="F70" s="83">
        <f t="shared" si="11"/>
        <v>8</v>
      </c>
      <c r="G70" s="79">
        <v>6701001</v>
      </c>
      <c r="H70" s="61">
        <v>1018</v>
      </c>
      <c r="I70" s="61" t="s">
        <v>540</v>
      </c>
      <c r="J70" s="81">
        <f t="shared" si="9"/>
        <v>1</v>
      </c>
      <c r="K70" s="61" t="s">
        <v>31</v>
      </c>
      <c r="L70" s="61" t="s">
        <v>279</v>
      </c>
      <c r="M70" s="61" t="s">
        <v>86</v>
      </c>
      <c r="N70" s="61">
        <v>0</v>
      </c>
      <c r="O70" s="61">
        <v>0</v>
      </c>
      <c r="P70" s="61">
        <v>0</v>
      </c>
      <c r="Q70" s="79">
        <v>1</v>
      </c>
      <c r="R70" s="61"/>
      <c r="S70" s="61" t="s">
        <v>106</v>
      </c>
      <c r="V70" s="109"/>
      <c r="W70" s="83">
        <v>1.5</v>
      </c>
      <c r="X70" s="111">
        <v>0.76</v>
      </c>
      <c r="Y70" s="65">
        <f>Z70</f>
        <v>0.4</v>
      </c>
      <c r="Z70" s="61">
        <v>0.4</v>
      </c>
      <c r="AA70" s="83">
        <v>9000</v>
      </c>
      <c r="AB70" s="83">
        <v>0.18</v>
      </c>
      <c r="AC70" s="83">
        <v>800</v>
      </c>
      <c r="AD70" s="83">
        <v>1</v>
      </c>
      <c r="AE70" s="83">
        <v>32</v>
      </c>
      <c r="AF70" s="83">
        <v>0.56000000000000005</v>
      </c>
      <c r="AG70" s="84">
        <v>1</v>
      </c>
      <c r="AH70" s="84">
        <v>0.98509999999999998</v>
      </c>
      <c r="AI70" s="84">
        <v>0.20039999999999999</v>
      </c>
      <c r="AJ70" s="81">
        <v>500</v>
      </c>
      <c r="AK70" s="83">
        <v>671</v>
      </c>
      <c r="AL70" s="83">
        <v>50</v>
      </c>
      <c r="AM70" s="86">
        <v>10.7</v>
      </c>
      <c r="AN70" s="86" t="s">
        <v>250</v>
      </c>
      <c r="AO70" s="83">
        <v>0.38</v>
      </c>
      <c r="AP70" s="83">
        <v>0.99</v>
      </c>
      <c r="AQ70" s="82">
        <v>1</v>
      </c>
      <c r="AR70" s="86"/>
    </row>
    <row r="71" spans="1:44" s="83" customFormat="1" x14ac:dyDescent="0.25">
      <c r="A71" s="83" t="s">
        <v>548</v>
      </c>
      <c r="B71" s="83">
        <v>2</v>
      </c>
      <c r="C71" s="83">
        <v>67</v>
      </c>
      <c r="D71" s="83">
        <v>2</v>
      </c>
      <c r="E71" s="83">
        <f t="shared" si="10"/>
        <v>8</v>
      </c>
      <c r="F71" s="83">
        <f t="shared" si="11"/>
        <v>9</v>
      </c>
      <c r="G71" s="81">
        <v>6700607</v>
      </c>
      <c r="H71" s="81"/>
      <c r="I71" s="81" t="s">
        <v>150</v>
      </c>
      <c r="J71" s="81">
        <f t="shared" si="9"/>
        <v>-1</v>
      </c>
      <c r="K71" s="83" t="s">
        <v>32</v>
      </c>
      <c r="L71" s="83" t="s">
        <v>136</v>
      </c>
      <c r="M71" s="83" t="s">
        <v>86</v>
      </c>
      <c r="N71" s="83">
        <v>69</v>
      </c>
      <c r="O71" s="83">
        <v>271</v>
      </c>
      <c r="P71" s="83">
        <v>333</v>
      </c>
      <c r="Q71" s="84"/>
      <c r="S71" s="83" t="s">
        <v>106</v>
      </c>
      <c r="V71" s="109"/>
      <c r="W71" s="83">
        <v>1.5</v>
      </c>
      <c r="X71" s="110"/>
      <c r="AA71" s="83">
        <v>9000</v>
      </c>
      <c r="AB71" s="83">
        <v>0.18</v>
      </c>
      <c r="AC71" s="83">
        <v>800</v>
      </c>
      <c r="AD71" s="83">
        <v>1</v>
      </c>
      <c r="AE71" s="83">
        <v>32</v>
      </c>
      <c r="AF71" s="83">
        <v>0.56000000000000005</v>
      </c>
      <c r="AG71" s="84">
        <v>1</v>
      </c>
      <c r="AH71" s="84">
        <v>0.98509999999999998</v>
      </c>
      <c r="AI71" s="84">
        <v>0.20039999999999999</v>
      </c>
      <c r="AJ71" s="81">
        <v>500</v>
      </c>
      <c r="AK71" s="83">
        <v>671</v>
      </c>
      <c r="AL71" s="83">
        <v>50</v>
      </c>
      <c r="AM71" s="86">
        <v>10.7</v>
      </c>
      <c r="AN71" s="86" t="s">
        <v>250</v>
      </c>
      <c r="AO71" s="83">
        <v>0.38</v>
      </c>
      <c r="AP71" s="83">
        <v>0.99</v>
      </c>
      <c r="AQ71" s="82">
        <v>1</v>
      </c>
      <c r="AR71" s="86"/>
    </row>
    <row r="72" spans="1:44" s="83" customFormat="1" x14ac:dyDescent="0.25">
      <c r="A72" s="83" t="s">
        <v>548</v>
      </c>
      <c r="B72" s="83">
        <v>2</v>
      </c>
      <c r="C72" s="83">
        <v>67</v>
      </c>
      <c r="D72" s="83">
        <f>D71</f>
        <v>2</v>
      </c>
      <c r="E72" s="83">
        <f t="shared" si="10"/>
        <v>9</v>
      </c>
      <c r="F72" s="83">
        <f t="shared" si="11"/>
        <v>10</v>
      </c>
      <c r="G72" s="81">
        <v>6700632</v>
      </c>
      <c r="H72" s="81">
        <v>6397</v>
      </c>
      <c r="I72" s="117" t="s">
        <v>517</v>
      </c>
      <c r="J72" s="81">
        <f t="shared" si="9"/>
        <v>1</v>
      </c>
      <c r="K72" s="61" t="s">
        <v>31</v>
      </c>
      <c r="L72" s="103" t="s">
        <v>518</v>
      </c>
      <c r="M72" s="83" t="s">
        <v>86</v>
      </c>
      <c r="N72" s="61">
        <v>0</v>
      </c>
      <c r="O72" s="61">
        <v>0</v>
      </c>
      <c r="P72" s="61">
        <v>0</v>
      </c>
      <c r="Q72" s="110">
        <v>1</v>
      </c>
      <c r="S72" s="83" t="s">
        <v>106</v>
      </c>
      <c r="V72" s="109"/>
      <c r="W72" s="83">
        <v>1.5</v>
      </c>
      <c r="X72" s="103">
        <v>0.45</v>
      </c>
      <c r="Y72" s="103">
        <v>0</v>
      </c>
      <c r="AA72" s="83">
        <v>9000</v>
      </c>
      <c r="AB72" s="83">
        <v>0.18</v>
      </c>
      <c r="AC72" s="83">
        <v>800</v>
      </c>
      <c r="AD72" s="83">
        <v>1</v>
      </c>
      <c r="AE72" s="83">
        <v>32</v>
      </c>
      <c r="AF72" s="83">
        <v>0.56000000000000005</v>
      </c>
      <c r="AG72" s="84">
        <v>1</v>
      </c>
      <c r="AH72" s="84">
        <v>0.98509999999999998</v>
      </c>
      <c r="AI72" s="84">
        <v>0.20039999999999999</v>
      </c>
      <c r="AJ72" s="81">
        <v>500</v>
      </c>
      <c r="AK72" s="83">
        <v>671</v>
      </c>
      <c r="AL72" s="83">
        <v>50</v>
      </c>
      <c r="AM72" s="86">
        <v>10.7</v>
      </c>
      <c r="AN72" s="86" t="s">
        <v>250</v>
      </c>
      <c r="AO72" s="83">
        <v>0.38</v>
      </c>
      <c r="AP72" s="83">
        <v>0.99</v>
      </c>
      <c r="AQ72" s="82">
        <v>1</v>
      </c>
      <c r="AR72" s="86" t="s">
        <v>520</v>
      </c>
    </row>
    <row r="73" spans="1:44" s="83" customFormat="1" x14ac:dyDescent="0.25">
      <c r="A73" s="83" t="s">
        <v>548</v>
      </c>
      <c r="B73" s="83">
        <v>2</v>
      </c>
      <c r="C73" s="83">
        <v>67</v>
      </c>
      <c r="D73" s="83">
        <f>D72</f>
        <v>2</v>
      </c>
      <c r="E73" s="83">
        <f t="shared" si="10"/>
        <v>10</v>
      </c>
      <c r="F73" s="83">
        <f t="shared" si="11"/>
        <v>11</v>
      </c>
      <c r="G73" s="81">
        <v>6701000</v>
      </c>
      <c r="H73" s="81">
        <v>6259</v>
      </c>
      <c r="I73" s="81" t="s">
        <v>541</v>
      </c>
      <c r="J73" s="81">
        <f t="shared" si="9"/>
        <v>1</v>
      </c>
      <c r="K73" s="61" t="s">
        <v>31</v>
      </c>
      <c r="L73" s="61" t="s">
        <v>280</v>
      </c>
      <c r="M73" s="61" t="s">
        <v>86</v>
      </c>
      <c r="N73" s="61">
        <v>0</v>
      </c>
      <c r="O73" s="61">
        <v>0</v>
      </c>
      <c r="P73" s="61">
        <v>0</v>
      </c>
      <c r="Q73" s="110">
        <v>1</v>
      </c>
      <c r="R73" s="61"/>
      <c r="S73" s="61" t="s">
        <v>106</v>
      </c>
      <c r="V73" s="109"/>
      <c r="W73" s="83">
        <v>1.5</v>
      </c>
      <c r="X73" s="110">
        <v>5.4729999999999999</v>
      </c>
      <c r="Y73" s="65">
        <f>Z73</f>
        <v>2.5</v>
      </c>
      <c r="Z73" s="61">
        <v>2.5</v>
      </c>
      <c r="AA73" s="83">
        <v>9000</v>
      </c>
      <c r="AB73" s="83">
        <v>0.18</v>
      </c>
      <c r="AC73" s="83">
        <v>800</v>
      </c>
      <c r="AD73" s="83">
        <v>1</v>
      </c>
      <c r="AE73" s="83">
        <v>32</v>
      </c>
      <c r="AF73" s="83">
        <v>0.56000000000000005</v>
      </c>
      <c r="AG73" s="84">
        <v>1</v>
      </c>
      <c r="AH73" s="84">
        <v>0.98509999999999998</v>
      </c>
      <c r="AI73" s="84">
        <v>0.20039999999999999</v>
      </c>
      <c r="AJ73" s="81">
        <v>500</v>
      </c>
      <c r="AK73" s="83">
        <v>671</v>
      </c>
      <c r="AL73" s="83">
        <v>50</v>
      </c>
      <c r="AM73" s="86">
        <v>10.7</v>
      </c>
      <c r="AN73" s="86" t="s">
        <v>250</v>
      </c>
      <c r="AO73" s="83">
        <v>0.38</v>
      </c>
      <c r="AP73" s="83">
        <v>0.99</v>
      </c>
      <c r="AQ73" s="82">
        <v>1</v>
      </c>
      <c r="AR73" s="86"/>
    </row>
    <row r="74" spans="1:44" s="83" customFormat="1" x14ac:dyDescent="0.25">
      <c r="A74" s="83" t="s">
        <v>548</v>
      </c>
      <c r="B74" s="83">
        <v>2</v>
      </c>
      <c r="C74" s="83">
        <v>67</v>
      </c>
      <c r="D74" s="83">
        <f>D73</f>
        <v>2</v>
      </c>
      <c r="E74" s="83">
        <f t="shared" si="10"/>
        <v>11</v>
      </c>
      <c r="F74" s="83">
        <f t="shared" si="11"/>
        <v>12</v>
      </c>
      <c r="G74" s="81">
        <v>6701014</v>
      </c>
      <c r="H74" s="81">
        <v>6256</v>
      </c>
      <c r="I74" s="117" t="s">
        <v>542</v>
      </c>
      <c r="J74" s="81">
        <f t="shared" si="9"/>
        <v>1</v>
      </c>
      <c r="K74" s="61" t="s">
        <v>31</v>
      </c>
      <c r="L74" s="61" t="s">
        <v>533</v>
      </c>
      <c r="M74" s="61" t="s">
        <v>86</v>
      </c>
      <c r="N74" s="61">
        <v>0</v>
      </c>
      <c r="O74" s="61">
        <v>0</v>
      </c>
      <c r="P74" s="61">
        <v>0</v>
      </c>
      <c r="Q74" s="110">
        <v>1</v>
      </c>
      <c r="R74" s="61"/>
      <c r="S74" s="61" t="s">
        <v>106</v>
      </c>
      <c r="V74" s="109"/>
      <c r="W74" s="83">
        <v>1.5</v>
      </c>
      <c r="X74" s="110">
        <v>10.96</v>
      </c>
      <c r="Y74" s="65">
        <v>2.5</v>
      </c>
      <c r="Z74" s="61"/>
      <c r="AA74" s="83">
        <v>9000</v>
      </c>
      <c r="AB74" s="83">
        <v>0.18</v>
      </c>
      <c r="AC74" s="83">
        <v>800</v>
      </c>
      <c r="AD74" s="83">
        <v>1</v>
      </c>
      <c r="AE74" s="83">
        <v>32</v>
      </c>
      <c r="AF74" s="83">
        <v>0.56000000000000005</v>
      </c>
      <c r="AG74" s="84">
        <v>1</v>
      </c>
      <c r="AH74" s="84">
        <v>0.98509999999999998</v>
      </c>
      <c r="AI74" s="84">
        <v>0.20039999999999999</v>
      </c>
      <c r="AJ74" s="81">
        <v>500</v>
      </c>
      <c r="AK74" s="83">
        <v>671</v>
      </c>
      <c r="AL74" s="83">
        <v>50</v>
      </c>
      <c r="AM74" s="86">
        <v>10.7</v>
      </c>
      <c r="AN74" s="86" t="s">
        <v>250</v>
      </c>
      <c r="AO74" s="83">
        <v>0.38</v>
      </c>
      <c r="AP74" s="83">
        <v>0.99</v>
      </c>
      <c r="AQ74" s="82">
        <v>1</v>
      </c>
      <c r="AR74" s="80" t="s">
        <v>532</v>
      </c>
    </row>
    <row r="75" spans="1:44" s="83" customFormat="1" x14ac:dyDescent="0.25">
      <c r="A75" s="83" t="s">
        <v>548</v>
      </c>
      <c r="B75" s="83">
        <v>2</v>
      </c>
      <c r="C75" s="83">
        <v>67</v>
      </c>
      <c r="D75" s="83">
        <f>D74</f>
        <v>2</v>
      </c>
      <c r="E75" s="83">
        <f t="shared" si="10"/>
        <v>12</v>
      </c>
      <c r="F75" s="83">
        <f t="shared" si="11"/>
        <v>13</v>
      </c>
      <c r="G75" s="81">
        <v>6701015</v>
      </c>
      <c r="H75" s="81">
        <v>6256</v>
      </c>
      <c r="I75" s="117" t="s">
        <v>543</v>
      </c>
      <c r="J75" s="81">
        <f t="shared" si="9"/>
        <v>1</v>
      </c>
      <c r="K75" s="61" t="s">
        <v>31</v>
      </c>
      <c r="L75" s="61" t="s">
        <v>534</v>
      </c>
      <c r="M75" s="61" t="s">
        <v>86</v>
      </c>
      <c r="N75" s="61">
        <v>0</v>
      </c>
      <c r="O75" s="61">
        <v>0</v>
      </c>
      <c r="P75" s="61">
        <v>0</v>
      </c>
      <c r="Q75" s="110">
        <v>1</v>
      </c>
      <c r="R75" s="61"/>
      <c r="S75" s="61" t="s">
        <v>106</v>
      </c>
      <c r="V75" s="109"/>
      <c r="W75" s="83">
        <v>1.5</v>
      </c>
      <c r="X75" s="110">
        <v>10.08</v>
      </c>
      <c r="Y75" s="65">
        <v>2.5</v>
      </c>
      <c r="Z75" s="61"/>
      <c r="AA75" s="83">
        <v>9000</v>
      </c>
      <c r="AB75" s="83">
        <v>0.18</v>
      </c>
      <c r="AC75" s="83">
        <v>800</v>
      </c>
      <c r="AD75" s="83">
        <v>1</v>
      </c>
      <c r="AE75" s="83">
        <v>32</v>
      </c>
      <c r="AF75" s="83">
        <v>0.56000000000000005</v>
      </c>
      <c r="AG75" s="84">
        <v>1</v>
      </c>
      <c r="AH75" s="84">
        <v>0.98509999999999998</v>
      </c>
      <c r="AI75" s="84">
        <v>0.20039999999999999</v>
      </c>
      <c r="AJ75" s="81">
        <v>500</v>
      </c>
      <c r="AK75" s="83">
        <v>671</v>
      </c>
      <c r="AL75" s="83">
        <v>50</v>
      </c>
      <c r="AM75" s="86">
        <v>10.7</v>
      </c>
      <c r="AN75" s="86" t="s">
        <v>250</v>
      </c>
      <c r="AO75" s="83">
        <v>0.38</v>
      </c>
      <c r="AP75" s="83">
        <v>0.99</v>
      </c>
      <c r="AQ75" s="82">
        <v>1</v>
      </c>
      <c r="AR75" s="80" t="s">
        <v>532</v>
      </c>
    </row>
    <row r="76" spans="1:44" s="68" customFormat="1" x14ac:dyDescent="0.25">
      <c r="A76" s="68" t="s">
        <v>548</v>
      </c>
      <c r="B76" s="68">
        <v>2</v>
      </c>
      <c r="C76" s="68">
        <v>67</v>
      </c>
      <c r="D76" s="68">
        <f>D75</f>
        <v>2</v>
      </c>
      <c r="E76" s="68">
        <f t="shared" si="10"/>
        <v>13</v>
      </c>
      <c r="F76" s="68">
        <f t="shared" si="11"/>
        <v>14</v>
      </c>
      <c r="G76" s="69">
        <v>6700614</v>
      </c>
      <c r="H76" s="69"/>
      <c r="I76" s="69" t="s">
        <v>151</v>
      </c>
      <c r="J76" s="69">
        <f t="shared" si="9"/>
        <v>-1</v>
      </c>
      <c r="K76" s="68" t="s">
        <v>32</v>
      </c>
      <c r="L76" s="68" t="s">
        <v>137</v>
      </c>
      <c r="M76" s="68" t="s">
        <v>86</v>
      </c>
      <c r="N76" s="68">
        <v>33.9</v>
      </c>
      <c r="O76" s="68">
        <v>161</v>
      </c>
      <c r="P76" s="68">
        <v>189</v>
      </c>
      <c r="Q76" s="70"/>
      <c r="S76" s="68" t="s">
        <v>106</v>
      </c>
      <c r="V76" s="71"/>
      <c r="W76" s="68">
        <v>1.5</v>
      </c>
      <c r="X76" s="70"/>
      <c r="Y76" s="71"/>
      <c r="Z76" s="71"/>
      <c r="AA76" s="68">
        <v>9000</v>
      </c>
      <c r="AB76" s="68">
        <v>0.18</v>
      </c>
      <c r="AC76" s="68">
        <v>800</v>
      </c>
      <c r="AD76" s="68">
        <v>1</v>
      </c>
      <c r="AE76" s="68">
        <v>32</v>
      </c>
      <c r="AF76" s="68">
        <v>0.56000000000000005</v>
      </c>
      <c r="AG76" s="70">
        <v>1</v>
      </c>
      <c r="AH76" s="70">
        <v>0.98509999999999998</v>
      </c>
      <c r="AI76" s="70">
        <v>0.20039999999999999</v>
      </c>
      <c r="AJ76" s="69">
        <v>500</v>
      </c>
      <c r="AK76" s="68">
        <v>671</v>
      </c>
      <c r="AL76" s="68">
        <v>50</v>
      </c>
      <c r="AM76" s="72">
        <v>10.7</v>
      </c>
      <c r="AN76" s="72" t="s">
        <v>250</v>
      </c>
      <c r="AO76" s="68">
        <v>0.38</v>
      </c>
      <c r="AP76" s="68">
        <v>0.99</v>
      </c>
      <c r="AQ76" s="71">
        <v>1</v>
      </c>
      <c r="AR76" s="72"/>
    </row>
    <row r="77" spans="1:44" x14ac:dyDescent="0.25">
      <c r="A77" s="61" t="s">
        <v>548</v>
      </c>
      <c r="B77" s="61">
        <v>2</v>
      </c>
      <c r="C77" s="61">
        <v>67</v>
      </c>
      <c r="D77" s="61">
        <f>D76+1</f>
        <v>3</v>
      </c>
      <c r="E77" s="61">
        <v>1</v>
      </c>
      <c r="F77" s="61">
        <f t="shared" ref="F77:F91" si="12">F76+1</f>
        <v>15</v>
      </c>
      <c r="G77" s="75">
        <v>6709500</v>
      </c>
      <c r="I77" s="75" t="s">
        <v>144</v>
      </c>
      <c r="J77" s="81">
        <f t="shared" si="9"/>
        <v>0</v>
      </c>
      <c r="K77" s="61" t="s">
        <v>33</v>
      </c>
      <c r="L77" s="61" t="s">
        <v>138</v>
      </c>
      <c r="M77" s="61" t="s">
        <v>86</v>
      </c>
      <c r="N77" s="61">
        <v>16.8</v>
      </c>
      <c r="O77" s="61">
        <v>69</v>
      </c>
      <c r="P77" s="61">
        <v>307</v>
      </c>
      <c r="S77" s="61" t="s">
        <v>106</v>
      </c>
      <c r="V77" s="103"/>
      <c r="W77" s="80">
        <v>1</v>
      </c>
      <c r="X77" s="110"/>
      <c r="Y77" s="103"/>
      <c r="Z77" s="103"/>
      <c r="AA77" s="61">
        <v>17500</v>
      </c>
      <c r="AB77" s="61">
        <v>0.18</v>
      </c>
      <c r="AC77" s="61">
        <v>1000</v>
      </c>
      <c r="AD77" s="61">
        <v>1</v>
      </c>
      <c r="AE77" s="61">
        <v>32</v>
      </c>
      <c r="AF77" s="61">
        <v>0.56000000000000005</v>
      </c>
      <c r="AG77" s="79">
        <v>1</v>
      </c>
      <c r="AH77" s="79">
        <v>0.83</v>
      </c>
      <c r="AI77" s="79">
        <v>0.2</v>
      </c>
      <c r="AJ77" s="75">
        <v>500</v>
      </c>
      <c r="AK77" s="61">
        <v>673</v>
      </c>
      <c r="AL77" s="61">
        <v>50</v>
      </c>
      <c r="AM77" s="78">
        <v>29.7</v>
      </c>
      <c r="AN77" s="86" t="s">
        <v>250</v>
      </c>
      <c r="AO77" s="61">
        <v>0.38</v>
      </c>
      <c r="AP77" s="61">
        <v>0.99</v>
      </c>
      <c r="AQ77" s="65">
        <v>1</v>
      </c>
    </row>
    <row r="78" spans="1:44" x14ac:dyDescent="0.25">
      <c r="A78" s="61" t="s">
        <v>548</v>
      </c>
      <c r="B78" s="61">
        <v>2</v>
      </c>
      <c r="C78" s="61">
        <v>67</v>
      </c>
      <c r="D78" s="61">
        <f t="shared" ref="D78:D84" si="13">D77</f>
        <v>3</v>
      </c>
      <c r="E78" s="61">
        <f t="shared" ref="E78:E84" si="14">E77+1</f>
        <v>2</v>
      </c>
      <c r="F78" s="61">
        <f t="shared" si="12"/>
        <v>16</v>
      </c>
      <c r="G78" s="75">
        <v>6700663</v>
      </c>
      <c r="H78" s="75">
        <v>6398</v>
      </c>
      <c r="I78" s="119" t="s">
        <v>544</v>
      </c>
      <c r="J78" s="81">
        <f t="shared" si="9"/>
        <v>1</v>
      </c>
      <c r="K78" s="61" t="s">
        <v>31</v>
      </c>
      <c r="L78" s="122" t="s">
        <v>521</v>
      </c>
      <c r="M78" s="61" t="s">
        <v>86</v>
      </c>
      <c r="N78" s="61">
        <v>0</v>
      </c>
      <c r="O78" s="61">
        <v>0</v>
      </c>
      <c r="P78" s="61">
        <v>0</v>
      </c>
      <c r="Q78" s="79">
        <v>1</v>
      </c>
      <c r="S78" s="61" t="s">
        <v>106</v>
      </c>
      <c r="V78" s="103"/>
      <c r="W78" s="80">
        <v>1</v>
      </c>
      <c r="X78" s="110">
        <v>0.83</v>
      </c>
      <c r="Y78" s="103">
        <v>0</v>
      </c>
      <c r="Z78" s="103"/>
      <c r="AA78" s="61">
        <v>17500</v>
      </c>
      <c r="AB78" s="61">
        <v>0.18</v>
      </c>
      <c r="AC78" s="61">
        <v>1000</v>
      </c>
      <c r="AD78" s="61">
        <v>1</v>
      </c>
      <c r="AE78" s="61">
        <v>32</v>
      </c>
      <c r="AF78" s="61">
        <v>0.56000000000000005</v>
      </c>
      <c r="AG78" s="79">
        <v>1</v>
      </c>
      <c r="AH78" s="79">
        <v>0.83</v>
      </c>
      <c r="AI78" s="79">
        <v>0.2</v>
      </c>
      <c r="AJ78" s="75">
        <v>500</v>
      </c>
      <c r="AK78" s="61">
        <v>673</v>
      </c>
      <c r="AL78" s="61">
        <v>50</v>
      </c>
      <c r="AM78" s="80">
        <v>29.7</v>
      </c>
      <c r="AN78" s="80" t="s">
        <v>250</v>
      </c>
      <c r="AO78" s="61">
        <v>0.38</v>
      </c>
      <c r="AP78" s="61">
        <v>0.99</v>
      </c>
      <c r="AQ78" s="65">
        <v>1</v>
      </c>
      <c r="AR78" s="80" t="s">
        <v>522</v>
      </c>
    </row>
    <row r="79" spans="1:44" x14ac:dyDescent="0.25">
      <c r="A79" s="61" t="s">
        <v>548</v>
      </c>
      <c r="B79" s="61">
        <v>2</v>
      </c>
      <c r="C79" s="61">
        <v>67</v>
      </c>
      <c r="D79" s="61">
        <f t="shared" si="13"/>
        <v>3</v>
      </c>
      <c r="E79" s="61">
        <f t="shared" si="14"/>
        <v>3</v>
      </c>
      <c r="F79" s="61">
        <f t="shared" si="12"/>
        <v>17</v>
      </c>
      <c r="G79" s="75">
        <v>6700612</v>
      </c>
      <c r="I79" s="75" t="s">
        <v>152</v>
      </c>
      <c r="J79" s="81">
        <f t="shared" si="9"/>
        <v>-1</v>
      </c>
      <c r="K79" s="61" t="s">
        <v>32</v>
      </c>
      <c r="L79" s="61" t="s">
        <v>139</v>
      </c>
      <c r="M79" s="61" t="s">
        <v>86</v>
      </c>
      <c r="N79" s="61">
        <v>2.2999999999999998</v>
      </c>
      <c r="O79" s="61">
        <v>9</v>
      </c>
      <c r="P79" s="61">
        <v>11.3</v>
      </c>
      <c r="S79" s="61" t="s">
        <v>106</v>
      </c>
      <c r="V79" s="103"/>
      <c r="W79" s="80">
        <v>1</v>
      </c>
      <c r="X79" s="110"/>
      <c r="Y79" s="103"/>
      <c r="Z79" s="103"/>
      <c r="AA79" s="61">
        <v>17500</v>
      </c>
      <c r="AB79" s="61">
        <v>0.18</v>
      </c>
      <c r="AC79" s="61">
        <v>1000</v>
      </c>
      <c r="AD79" s="61">
        <v>1</v>
      </c>
      <c r="AE79" s="61">
        <v>32</v>
      </c>
      <c r="AF79" s="61">
        <v>0.56000000000000005</v>
      </c>
      <c r="AG79" s="79">
        <v>1</v>
      </c>
      <c r="AH79" s="79">
        <v>0.83</v>
      </c>
      <c r="AI79" s="79">
        <v>0.2</v>
      </c>
      <c r="AJ79" s="75">
        <v>500</v>
      </c>
      <c r="AK79" s="61">
        <v>673</v>
      </c>
      <c r="AL79" s="61">
        <v>50</v>
      </c>
      <c r="AM79" s="80">
        <v>29.7</v>
      </c>
      <c r="AN79" s="80" t="s">
        <v>250</v>
      </c>
      <c r="AO79" s="61">
        <v>0.38</v>
      </c>
      <c r="AP79" s="61">
        <v>0.99</v>
      </c>
      <c r="AQ79" s="65">
        <v>1</v>
      </c>
    </row>
    <row r="80" spans="1:44" x14ac:dyDescent="0.25">
      <c r="A80" s="61" t="s">
        <v>548</v>
      </c>
      <c r="B80" s="61">
        <v>2</v>
      </c>
      <c r="C80" s="61">
        <v>67</v>
      </c>
      <c r="D80" s="61">
        <f t="shared" si="13"/>
        <v>3</v>
      </c>
      <c r="E80" s="61">
        <f t="shared" si="14"/>
        <v>4</v>
      </c>
      <c r="F80" s="61">
        <f t="shared" si="12"/>
        <v>18</v>
      </c>
      <c r="G80" s="75">
        <v>6701011</v>
      </c>
      <c r="H80" s="75">
        <v>6257</v>
      </c>
      <c r="I80" s="75" t="s">
        <v>546</v>
      </c>
      <c r="J80" s="81">
        <f t="shared" si="9"/>
        <v>1</v>
      </c>
      <c r="K80" s="61" t="s">
        <v>31</v>
      </c>
      <c r="L80" s="61" t="s">
        <v>281</v>
      </c>
      <c r="M80" s="61" t="s">
        <v>86</v>
      </c>
      <c r="N80" s="61">
        <v>0</v>
      </c>
      <c r="O80" s="61">
        <v>0</v>
      </c>
      <c r="P80" s="61">
        <v>0</v>
      </c>
      <c r="Q80" s="79">
        <v>1</v>
      </c>
      <c r="S80" s="61" t="s">
        <v>106</v>
      </c>
      <c r="V80" s="103"/>
      <c r="W80" s="80">
        <v>1</v>
      </c>
      <c r="X80" s="110">
        <v>4.0869999999999997</v>
      </c>
      <c r="Y80" s="65">
        <f>Z80</f>
        <v>2.5</v>
      </c>
      <c r="Z80" s="61">
        <v>2.5</v>
      </c>
      <c r="AA80" s="61">
        <v>17500</v>
      </c>
      <c r="AB80" s="61">
        <v>0.18</v>
      </c>
      <c r="AC80" s="61">
        <v>1000</v>
      </c>
      <c r="AD80" s="61">
        <v>1</v>
      </c>
      <c r="AE80" s="61">
        <v>32</v>
      </c>
      <c r="AF80" s="61">
        <v>0.56000000000000005</v>
      </c>
      <c r="AG80" s="79">
        <v>1</v>
      </c>
      <c r="AH80" s="79">
        <v>0.83</v>
      </c>
      <c r="AI80" s="79">
        <v>0.2</v>
      </c>
      <c r="AJ80" s="75">
        <v>500</v>
      </c>
      <c r="AK80" s="61">
        <v>673</v>
      </c>
      <c r="AL80" s="61">
        <v>50</v>
      </c>
      <c r="AM80" s="80">
        <v>29.7</v>
      </c>
      <c r="AN80" s="80" t="s">
        <v>250</v>
      </c>
      <c r="AO80" s="61">
        <v>0.38</v>
      </c>
      <c r="AP80" s="61">
        <v>0.99</v>
      </c>
      <c r="AQ80" s="65">
        <v>1</v>
      </c>
      <c r="AR80" s="80" t="s">
        <v>524</v>
      </c>
    </row>
    <row r="81" spans="1:44" x14ac:dyDescent="0.25">
      <c r="A81" s="61" t="s">
        <v>548</v>
      </c>
      <c r="B81" s="61">
        <v>2</v>
      </c>
      <c r="C81" s="61">
        <v>67</v>
      </c>
      <c r="D81" s="61">
        <f t="shared" si="13"/>
        <v>3</v>
      </c>
      <c r="E81" s="61">
        <f t="shared" si="14"/>
        <v>5</v>
      </c>
      <c r="F81" s="61">
        <f t="shared" si="12"/>
        <v>19</v>
      </c>
      <c r="G81" s="75">
        <v>6700611</v>
      </c>
      <c r="H81" s="75">
        <v>6399</v>
      </c>
      <c r="I81" s="119" t="s">
        <v>545</v>
      </c>
      <c r="J81" s="81">
        <f t="shared" si="9"/>
        <v>1</v>
      </c>
      <c r="K81" s="61" t="s">
        <v>31</v>
      </c>
      <c r="L81" s="61" t="s">
        <v>523</v>
      </c>
      <c r="M81" s="61" t="s">
        <v>86</v>
      </c>
      <c r="N81" s="61">
        <v>0</v>
      </c>
      <c r="O81" s="61">
        <v>0</v>
      </c>
      <c r="P81" s="61">
        <v>0</v>
      </c>
      <c r="Q81" s="79">
        <v>1</v>
      </c>
      <c r="S81" s="61" t="s">
        <v>106</v>
      </c>
      <c r="V81" s="103"/>
      <c r="W81" s="80">
        <v>1</v>
      </c>
      <c r="X81" s="110">
        <v>0.96</v>
      </c>
      <c r="Y81" s="103">
        <v>0</v>
      </c>
      <c r="AA81" s="61">
        <v>17500</v>
      </c>
      <c r="AB81" s="61">
        <v>0.18</v>
      </c>
      <c r="AC81" s="61">
        <v>1000</v>
      </c>
      <c r="AD81" s="61">
        <v>1</v>
      </c>
      <c r="AE81" s="61">
        <v>32</v>
      </c>
      <c r="AF81" s="61">
        <v>0.56000000000000005</v>
      </c>
      <c r="AG81" s="79">
        <v>1</v>
      </c>
      <c r="AH81" s="79">
        <v>0.83</v>
      </c>
      <c r="AI81" s="79">
        <v>0.2</v>
      </c>
      <c r="AJ81" s="75">
        <v>500</v>
      </c>
      <c r="AK81" s="61">
        <v>673</v>
      </c>
      <c r="AL81" s="61">
        <v>50</v>
      </c>
      <c r="AM81" s="80">
        <v>29.7</v>
      </c>
      <c r="AN81" s="80" t="s">
        <v>250</v>
      </c>
      <c r="AO81" s="61">
        <v>0.38</v>
      </c>
      <c r="AP81" s="61">
        <v>0.99</v>
      </c>
      <c r="AQ81" s="65">
        <v>1</v>
      </c>
      <c r="AR81" s="80" t="s">
        <v>522</v>
      </c>
    </row>
    <row r="82" spans="1:44" x14ac:dyDescent="0.25">
      <c r="A82" s="61" t="s">
        <v>548</v>
      </c>
      <c r="B82" s="61">
        <v>2</v>
      </c>
      <c r="C82" s="61">
        <v>67</v>
      </c>
      <c r="D82" s="61">
        <f t="shared" si="13"/>
        <v>3</v>
      </c>
      <c r="E82" s="61">
        <f t="shared" si="14"/>
        <v>6</v>
      </c>
      <c r="F82" s="61">
        <f t="shared" si="12"/>
        <v>20</v>
      </c>
      <c r="G82" s="75">
        <v>6709502</v>
      </c>
      <c r="H82" s="75">
        <v>1020</v>
      </c>
      <c r="I82" s="75" t="s">
        <v>145</v>
      </c>
      <c r="J82" s="81">
        <f t="shared" si="9"/>
        <v>1</v>
      </c>
      <c r="K82" s="61" t="s">
        <v>31</v>
      </c>
      <c r="L82" s="61" t="s">
        <v>157</v>
      </c>
      <c r="M82" s="61" t="s">
        <v>86</v>
      </c>
      <c r="N82" s="61">
        <v>29.1</v>
      </c>
      <c r="O82" s="61">
        <v>23.8</v>
      </c>
      <c r="P82" s="61">
        <v>15.5</v>
      </c>
      <c r="S82" s="61" t="s">
        <v>106</v>
      </c>
      <c r="V82" s="103"/>
      <c r="W82" s="80">
        <v>1</v>
      </c>
      <c r="X82" s="110"/>
      <c r="Y82" s="103"/>
      <c r="Z82" s="103"/>
      <c r="AA82" s="61">
        <v>17500</v>
      </c>
      <c r="AB82" s="61">
        <v>0.18</v>
      </c>
      <c r="AC82" s="61">
        <v>1000</v>
      </c>
      <c r="AD82" s="61">
        <v>1</v>
      </c>
      <c r="AE82" s="61">
        <v>32</v>
      </c>
      <c r="AF82" s="61">
        <v>0.56000000000000005</v>
      </c>
      <c r="AG82" s="79">
        <v>1</v>
      </c>
      <c r="AH82" s="79">
        <v>0.83</v>
      </c>
      <c r="AI82" s="79">
        <v>0.2</v>
      </c>
      <c r="AJ82" s="75">
        <v>500</v>
      </c>
      <c r="AK82" s="61">
        <v>673</v>
      </c>
      <c r="AL82" s="61">
        <v>50</v>
      </c>
      <c r="AM82" s="80">
        <v>29.7</v>
      </c>
      <c r="AN82" s="80" t="s">
        <v>250</v>
      </c>
      <c r="AO82" s="61">
        <v>0.38</v>
      </c>
      <c r="AP82" s="61">
        <v>0.99</v>
      </c>
      <c r="AQ82" s="65">
        <v>1</v>
      </c>
    </row>
    <row r="83" spans="1:44" x14ac:dyDescent="0.25">
      <c r="A83" s="61" t="s">
        <v>548</v>
      </c>
      <c r="B83" s="61">
        <v>2</v>
      </c>
      <c r="C83" s="61">
        <v>67</v>
      </c>
      <c r="D83" s="61">
        <f t="shared" si="13"/>
        <v>3</v>
      </c>
      <c r="E83" s="61">
        <f t="shared" si="14"/>
        <v>7</v>
      </c>
      <c r="F83" s="61">
        <f t="shared" si="12"/>
        <v>21</v>
      </c>
      <c r="G83" s="75">
        <v>6700617</v>
      </c>
      <c r="H83" s="75">
        <v>6391</v>
      </c>
      <c r="I83" s="75" t="s">
        <v>153</v>
      </c>
      <c r="J83" s="81">
        <f t="shared" si="9"/>
        <v>-1</v>
      </c>
      <c r="K83" s="61" t="s">
        <v>32</v>
      </c>
      <c r="N83" s="61">
        <v>0</v>
      </c>
      <c r="O83" s="61">
        <v>0</v>
      </c>
      <c r="P83" s="61">
        <v>0</v>
      </c>
      <c r="S83" s="61" t="s">
        <v>106</v>
      </c>
      <c r="V83" s="103"/>
      <c r="W83" s="80">
        <v>1</v>
      </c>
      <c r="X83" s="110"/>
      <c r="Y83" s="103"/>
      <c r="Z83" s="103"/>
      <c r="AA83" s="61">
        <v>17500</v>
      </c>
      <c r="AB83" s="61">
        <v>0.18</v>
      </c>
      <c r="AC83" s="61">
        <v>1000</v>
      </c>
      <c r="AD83" s="61">
        <v>1</v>
      </c>
      <c r="AE83" s="61">
        <v>32</v>
      </c>
      <c r="AF83" s="61">
        <v>0.56000000000000005</v>
      </c>
      <c r="AG83" s="79">
        <v>1</v>
      </c>
      <c r="AH83" s="79">
        <v>0.83</v>
      </c>
      <c r="AI83" s="79">
        <v>0.2</v>
      </c>
      <c r="AJ83" s="75">
        <v>500</v>
      </c>
      <c r="AK83" s="61">
        <v>673</v>
      </c>
      <c r="AL83" s="61">
        <v>50</v>
      </c>
      <c r="AM83" s="80">
        <v>29.7</v>
      </c>
      <c r="AN83" s="80" t="s">
        <v>250</v>
      </c>
      <c r="AO83" s="61">
        <v>0.38</v>
      </c>
      <c r="AP83" s="61">
        <v>0.99</v>
      </c>
      <c r="AQ83" s="65">
        <v>1</v>
      </c>
      <c r="AR83" s="80" t="s">
        <v>257</v>
      </c>
    </row>
    <row r="84" spans="1:44" x14ac:dyDescent="0.25">
      <c r="A84" s="61" t="s">
        <v>548</v>
      </c>
      <c r="B84" s="61">
        <v>2</v>
      </c>
      <c r="C84" s="61">
        <v>67</v>
      </c>
      <c r="D84" s="61">
        <f t="shared" si="13"/>
        <v>3</v>
      </c>
      <c r="E84" s="61">
        <f t="shared" si="14"/>
        <v>8</v>
      </c>
      <c r="F84" s="61">
        <f t="shared" si="12"/>
        <v>22</v>
      </c>
      <c r="G84" s="75">
        <v>6700608</v>
      </c>
      <c r="I84" s="75" t="s">
        <v>154</v>
      </c>
      <c r="J84" s="81">
        <f t="shared" si="9"/>
        <v>-1</v>
      </c>
      <c r="K84" s="61" t="s">
        <v>32</v>
      </c>
      <c r="L84" s="61" t="s">
        <v>140</v>
      </c>
      <c r="M84" s="61" t="s">
        <v>86</v>
      </c>
      <c r="N84" s="61">
        <v>21.4</v>
      </c>
      <c r="O84" s="61">
        <v>27.6</v>
      </c>
      <c r="P84" s="61">
        <v>56.7</v>
      </c>
      <c r="S84" s="61" t="s">
        <v>106</v>
      </c>
      <c r="V84" s="103"/>
      <c r="W84" s="80">
        <v>1</v>
      </c>
      <c r="X84" s="110"/>
      <c r="Y84" s="103"/>
      <c r="Z84" s="103"/>
      <c r="AA84" s="61">
        <v>17500</v>
      </c>
      <c r="AB84" s="61">
        <v>0.18</v>
      </c>
      <c r="AC84" s="61">
        <v>1000</v>
      </c>
      <c r="AD84" s="61">
        <v>1</v>
      </c>
      <c r="AE84" s="61">
        <v>32</v>
      </c>
      <c r="AF84" s="61">
        <v>0.56000000000000005</v>
      </c>
      <c r="AG84" s="79">
        <v>1</v>
      </c>
      <c r="AH84" s="79">
        <v>0.83</v>
      </c>
      <c r="AI84" s="79">
        <v>0.2</v>
      </c>
      <c r="AJ84" s="75">
        <v>500</v>
      </c>
      <c r="AK84" s="61">
        <v>673</v>
      </c>
      <c r="AL84" s="61">
        <v>50</v>
      </c>
      <c r="AM84" s="80">
        <v>29.7</v>
      </c>
      <c r="AN84" s="80" t="s">
        <v>250</v>
      </c>
      <c r="AO84" s="61">
        <v>0.38</v>
      </c>
      <c r="AP84" s="61">
        <v>0.99</v>
      </c>
      <c r="AQ84" s="65">
        <v>1</v>
      </c>
    </row>
    <row r="85" spans="1:44" s="73" customFormat="1" x14ac:dyDescent="0.25">
      <c r="A85" s="73" t="s">
        <v>548</v>
      </c>
      <c r="B85" s="73">
        <v>2</v>
      </c>
      <c r="C85" s="73">
        <v>67</v>
      </c>
      <c r="D85" s="73">
        <f>D84+1</f>
        <v>4</v>
      </c>
      <c r="E85" s="73">
        <v>1</v>
      </c>
      <c r="F85" s="73">
        <f t="shared" si="12"/>
        <v>23</v>
      </c>
      <c r="G85" s="74">
        <v>6700904</v>
      </c>
      <c r="H85" s="74"/>
      <c r="I85" s="74" t="s">
        <v>146</v>
      </c>
      <c r="J85" s="74">
        <f t="shared" si="9"/>
        <v>0</v>
      </c>
      <c r="K85" s="73" t="s">
        <v>33</v>
      </c>
      <c r="L85" s="73" t="s">
        <v>141</v>
      </c>
      <c r="M85" s="73" t="s">
        <v>86</v>
      </c>
      <c r="N85" s="73">
        <v>68.400000000000006</v>
      </c>
      <c r="O85" s="73">
        <v>148</v>
      </c>
      <c r="P85" s="73">
        <v>329</v>
      </c>
      <c r="Q85" s="76"/>
      <c r="S85" s="73" t="s">
        <v>106</v>
      </c>
      <c r="W85" s="73">
        <v>0.8</v>
      </c>
      <c r="X85" s="76"/>
      <c r="AA85" s="73">
        <v>17500</v>
      </c>
      <c r="AB85" s="73">
        <v>0.18</v>
      </c>
      <c r="AC85" s="73">
        <v>1000</v>
      </c>
      <c r="AD85" s="73">
        <v>1</v>
      </c>
      <c r="AE85" s="73">
        <v>32</v>
      </c>
      <c r="AF85" s="73">
        <v>0.56000000000000005</v>
      </c>
      <c r="AG85" s="76">
        <v>1</v>
      </c>
      <c r="AH85" s="76">
        <v>0.70640000000000003</v>
      </c>
      <c r="AI85" s="76">
        <v>0.19439999999999999</v>
      </c>
      <c r="AJ85" s="74">
        <v>500</v>
      </c>
      <c r="AK85" s="73">
        <v>674</v>
      </c>
      <c r="AL85" s="73">
        <v>50</v>
      </c>
      <c r="AM85" s="78">
        <v>12.4</v>
      </c>
      <c r="AN85" s="78" t="s">
        <v>250</v>
      </c>
      <c r="AO85" s="73">
        <v>0.38</v>
      </c>
      <c r="AP85" s="73">
        <v>0.99</v>
      </c>
      <c r="AQ85" s="77">
        <v>1</v>
      </c>
      <c r="AR85" s="78"/>
    </row>
    <row r="86" spans="1:44" s="83" customFormat="1" x14ac:dyDescent="0.25">
      <c r="A86" s="83" t="s">
        <v>548</v>
      </c>
      <c r="B86" s="83">
        <v>2</v>
      </c>
      <c r="C86" s="83">
        <v>67</v>
      </c>
      <c r="D86" s="83">
        <f>D85</f>
        <v>4</v>
      </c>
      <c r="E86" s="83">
        <f>E85+1</f>
        <v>2</v>
      </c>
      <c r="F86" s="83">
        <f t="shared" si="12"/>
        <v>24</v>
      </c>
      <c r="G86" s="81">
        <v>6700727</v>
      </c>
      <c r="H86" s="81">
        <v>6400</v>
      </c>
      <c r="I86" s="117" t="s">
        <v>527</v>
      </c>
      <c r="J86" s="81">
        <f t="shared" si="9"/>
        <v>1</v>
      </c>
      <c r="K86" s="61" t="s">
        <v>31</v>
      </c>
      <c r="L86" s="122" t="s">
        <v>525</v>
      </c>
      <c r="M86" s="83" t="s">
        <v>86</v>
      </c>
      <c r="N86" s="61">
        <v>0</v>
      </c>
      <c r="O86" s="61">
        <v>0</v>
      </c>
      <c r="P86" s="61">
        <v>0</v>
      </c>
      <c r="Q86" s="79">
        <v>1</v>
      </c>
      <c r="R86" s="61"/>
      <c r="S86" s="61" t="s">
        <v>106</v>
      </c>
      <c r="W86" s="83">
        <v>0.8</v>
      </c>
      <c r="X86" s="110">
        <v>3.65</v>
      </c>
      <c r="Y86" s="103">
        <v>0</v>
      </c>
      <c r="Z86" s="103"/>
      <c r="AA86" s="83">
        <v>17500</v>
      </c>
      <c r="AB86" s="83">
        <v>0.18</v>
      </c>
      <c r="AC86" s="83">
        <v>1000</v>
      </c>
      <c r="AD86" s="83">
        <v>1</v>
      </c>
      <c r="AE86" s="83">
        <v>32</v>
      </c>
      <c r="AF86" s="83">
        <v>0.56000000000000005</v>
      </c>
      <c r="AG86" s="84">
        <v>1</v>
      </c>
      <c r="AH86" s="84">
        <v>0.70640000000000003</v>
      </c>
      <c r="AI86" s="84">
        <v>0.19439999999999999</v>
      </c>
      <c r="AJ86" s="81">
        <v>500</v>
      </c>
      <c r="AK86" s="83">
        <v>674</v>
      </c>
      <c r="AL86" s="83">
        <v>50</v>
      </c>
      <c r="AM86" s="86">
        <v>12.4</v>
      </c>
      <c r="AN86" s="86" t="s">
        <v>250</v>
      </c>
      <c r="AO86" s="83">
        <v>0.38</v>
      </c>
      <c r="AP86" s="83">
        <v>0.99</v>
      </c>
      <c r="AQ86" s="82">
        <v>1</v>
      </c>
      <c r="AR86" s="80" t="s">
        <v>563</v>
      </c>
    </row>
    <row r="87" spans="1:44" s="83" customFormat="1" x14ac:dyDescent="0.25">
      <c r="A87" s="83" t="s">
        <v>548</v>
      </c>
      <c r="B87" s="83">
        <v>2</v>
      </c>
      <c r="C87" s="83">
        <v>67</v>
      </c>
      <c r="D87" s="83">
        <f>D86</f>
        <v>4</v>
      </c>
      <c r="E87" s="83">
        <f>E86+1</f>
        <v>3</v>
      </c>
      <c r="F87" s="83">
        <f t="shared" si="12"/>
        <v>25</v>
      </c>
      <c r="G87" s="81">
        <v>6700618</v>
      </c>
      <c r="H87" s="63">
        <v>6400</v>
      </c>
      <c r="I87" s="117" t="s">
        <v>528</v>
      </c>
      <c r="J87" s="81">
        <f t="shared" si="9"/>
        <v>1</v>
      </c>
      <c r="K87" s="61" t="s">
        <v>31</v>
      </c>
      <c r="L87" s="103" t="s">
        <v>526</v>
      </c>
      <c r="M87" s="83" t="s">
        <v>86</v>
      </c>
      <c r="N87" s="61">
        <v>0</v>
      </c>
      <c r="O87" s="61">
        <v>0</v>
      </c>
      <c r="P87" s="61">
        <v>0</v>
      </c>
      <c r="Q87" s="79">
        <v>1</v>
      </c>
      <c r="R87" s="61"/>
      <c r="S87" s="61" t="s">
        <v>106</v>
      </c>
      <c r="W87" s="83">
        <v>0.8</v>
      </c>
      <c r="X87" s="110">
        <v>2.3199999999999998</v>
      </c>
      <c r="Y87" s="103">
        <v>0</v>
      </c>
      <c r="Z87" s="103"/>
      <c r="AA87" s="83">
        <v>17500</v>
      </c>
      <c r="AB87" s="83">
        <v>0.18</v>
      </c>
      <c r="AC87" s="83">
        <v>1000</v>
      </c>
      <c r="AD87" s="83">
        <v>1</v>
      </c>
      <c r="AE87" s="83">
        <v>32</v>
      </c>
      <c r="AF87" s="83">
        <v>0.56000000000000005</v>
      </c>
      <c r="AG87" s="84">
        <v>1</v>
      </c>
      <c r="AH87" s="84">
        <v>0.70640000000000003</v>
      </c>
      <c r="AI87" s="84">
        <v>0.19439999999999999</v>
      </c>
      <c r="AJ87" s="81">
        <v>500</v>
      </c>
      <c r="AK87" s="83">
        <v>674</v>
      </c>
      <c r="AL87" s="83">
        <v>50</v>
      </c>
      <c r="AM87" s="86">
        <v>12.4</v>
      </c>
      <c r="AN87" s="86" t="s">
        <v>250</v>
      </c>
      <c r="AO87" s="83">
        <v>0.38</v>
      </c>
      <c r="AP87" s="83">
        <v>0.99</v>
      </c>
      <c r="AQ87" s="82">
        <v>1</v>
      </c>
      <c r="AR87" s="80" t="s">
        <v>522</v>
      </c>
    </row>
    <row r="88" spans="1:44" s="83" customFormat="1" x14ac:dyDescent="0.25">
      <c r="A88" s="83" t="s">
        <v>548</v>
      </c>
      <c r="B88" s="83">
        <v>2</v>
      </c>
      <c r="C88" s="83">
        <v>67</v>
      </c>
      <c r="D88" s="83">
        <f>D87</f>
        <v>4</v>
      </c>
      <c r="E88" s="83">
        <f>E87+1</f>
        <v>4</v>
      </c>
      <c r="F88" s="83">
        <f t="shared" si="12"/>
        <v>26</v>
      </c>
      <c r="G88" s="81">
        <v>6700616</v>
      </c>
      <c r="H88" s="81"/>
      <c r="I88" s="81" t="s">
        <v>155</v>
      </c>
      <c r="J88" s="81">
        <f t="shared" si="9"/>
        <v>-1</v>
      </c>
      <c r="K88" s="83" t="s">
        <v>32</v>
      </c>
      <c r="N88" s="83">
        <v>0</v>
      </c>
      <c r="O88" s="83">
        <v>0</v>
      </c>
      <c r="P88" s="83">
        <v>0</v>
      </c>
      <c r="Q88" s="84"/>
      <c r="S88" s="83" t="s">
        <v>106</v>
      </c>
      <c r="V88" s="103"/>
      <c r="W88" s="83">
        <v>0.8</v>
      </c>
      <c r="X88" s="110"/>
      <c r="Y88" s="103"/>
      <c r="Z88" s="103"/>
      <c r="AA88" s="83">
        <v>17500</v>
      </c>
      <c r="AB88" s="83">
        <v>0.18</v>
      </c>
      <c r="AC88" s="83">
        <v>1000</v>
      </c>
      <c r="AD88" s="83">
        <v>1</v>
      </c>
      <c r="AE88" s="83">
        <v>32</v>
      </c>
      <c r="AF88" s="83">
        <v>0.56000000000000005</v>
      </c>
      <c r="AG88" s="84">
        <v>1</v>
      </c>
      <c r="AH88" s="84">
        <v>0.70640000000000003</v>
      </c>
      <c r="AI88" s="84">
        <v>0.19439999999999999</v>
      </c>
      <c r="AJ88" s="81">
        <v>500</v>
      </c>
      <c r="AK88" s="83">
        <v>674</v>
      </c>
      <c r="AL88" s="83">
        <v>50</v>
      </c>
      <c r="AM88" s="86">
        <v>12.4</v>
      </c>
      <c r="AN88" s="86" t="s">
        <v>250</v>
      </c>
      <c r="AO88" s="83">
        <v>0.38</v>
      </c>
      <c r="AP88" s="83">
        <v>0.99</v>
      </c>
      <c r="AQ88" s="82">
        <v>1</v>
      </c>
      <c r="AR88" s="86"/>
    </row>
    <row r="89" spans="1:44" s="83" customFormat="1" x14ac:dyDescent="0.25">
      <c r="A89" s="83" t="s">
        <v>548</v>
      </c>
      <c r="B89" s="83">
        <v>2</v>
      </c>
      <c r="C89" s="83">
        <v>67</v>
      </c>
      <c r="D89" s="83">
        <f>D88</f>
        <v>4</v>
      </c>
      <c r="E89" s="83">
        <f>E88+1</f>
        <v>5</v>
      </c>
      <c r="F89" s="83">
        <f t="shared" si="12"/>
        <v>27</v>
      </c>
      <c r="G89" s="81">
        <v>6709507</v>
      </c>
      <c r="H89" s="63">
        <v>1082</v>
      </c>
      <c r="I89" s="117" t="s">
        <v>530</v>
      </c>
      <c r="J89" s="81">
        <f t="shared" si="9"/>
        <v>1</v>
      </c>
      <c r="K89" s="61" t="s">
        <v>31</v>
      </c>
      <c r="L89" s="103" t="s">
        <v>529</v>
      </c>
      <c r="M89" s="83" t="s">
        <v>86</v>
      </c>
      <c r="N89" s="83">
        <v>1</v>
      </c>
      <c r="O89" s="83">
        <v>3</v>
      </c>
      <c r="P89" s="83">
        <v>5</v>
      </c>
      <c r="Q89" s="84"/>
      <c r="S89" s="83" t="s">
        <v>106</v>
      </c>
      <c r="V89" s="103"/>
      <c r="W89" s="83">
        <v>0.8</v>
      </c>
      <c r="X89" s="110"/>
      <c r="Y89" s="103"/>
      <c r="Z89" s="103"/>
      <c r="AA89" s="83">
        <v>17500</v>
      </c>
      <c r="AB89" s="83">
        <v>0.18</v>
      </c>
      <c r="AC89" s="83">
        <v>1000</v>
      </c>
      <c r="AD89" s="83">
        <v>1</v>
      </c>
      <c r="AE89" s="83">
        <v>32</v>
      </c>
      <c r="AF89" s="83">
        <v>0.56000000000000005</v>
      </c>
      <c r="AG89" s="84">
        <v>1</v>
      </c>
      <c r="AH89" s="84">
        <v>0.70640000000000003</v>
      </c>
      <c r="AI89" s="84">
        <v>0.19439999999999999</v>
      </c>
      <c r="AJ89" s="81">
        <v>500</v>
      </c>
      <c r="AK89" s="83">
        <v>674</v>
      </c>
      <c r="AL89" s="83">
        <v>50</v>
      </c>
      <c r="AM89" s="86">
        <v>12.4</v>
      </c>
      <c r="AN89" s="86" t="s">
        <v>250</v>
      </c>
      <c r="AO89" s="83">
        <v>0.38</v>
      </c>
      <c r="AP89" s="83">
        <v>0.99</v>
      </c>
      <c r="AQ89" s="82">
        <v>1</v>
      </c>
      <c r="AR89" s="80" t="s">
        <v>522</v>
      </c>
    </row>
    <row r="90" spans="1:44" s="68" customFormat="1" x14ac:dyDescent="0.25">
      <c r="A90" s="68" t="s">
        <v>548</v>
      </c>
      <c r="B90" s="68">
        <v>2</v>
      </c>
      <c r="C90" s="68">
        <v>67</v>
      </c>
      <c r="D90" s="68">
        <f>D89</f>
        <v>4</v>
      </c>
      <c r="E90" s="68">
        <f>E89+1</f>
        <v>6</v>
      </c>
      <c r="F90" s="68">
        <f t="shared" si="12"/>
        <v>28</v>
      </c>
      <c r="G90" s="69">
        <v>6709511</v>
      </c>
      <c r="H90" s="69">
        <v>6390</v>
      </c>
      <c r="I90" s="69" t="s">
        <v>156</v>
      </c>
      <c r="J90" s="69">
        <f t="shared" si="9"/>
        <v>-1</v>
      </c>
      <c r="K90" s="68" t="s">
        <v>32</v>
      </c>
      <c r="L90" s="68" t="s">
        <v>142</v>
      </c>
      <c r="M90" s="68" t="s">
        <v>86</v>
      </c>
      <c r="N90" s="68">
        <v>0</v>
      </c>
      <c r="O90" s="68">
        <v>5.7</v>
      </c>
      <c r="P90" s="68">
        <v>35.4</v>
      </c>
      <c r="Q90" s="70"/>
      <c r="S90" s="68" t="s">
        <v>106</v>
      </c>
      <c r="T90" s="68">
        <v>4.5999999999999996</v>
      </c>
      <c r="U90" s="68">
        <v>3.8</v>
      </c>
      <c r="W90" s="68">
        <v>0.8</v>
      </c>
      <c r="X90" s="70"/>
      <c r="AA90" s="68">
        <v>17500</v>
      </c>
      <c r="AB90" s="68">
        <v>0.18</v>
      </c>
      <c r="AC90" s="68">
        <v>1000</v>
      </c>
      <c r="AD90" s="68">
        <v>1</v>
      </c>
      <c r="AE90" s="68">
        <v>32</v>
      </c>
      <c r="AF90" s="68">
        <v>0.56000000000000005</v>
      </c>
      <c r="AG90" s="70">
        <v>1</v>
      </c>
      <c r="AH90" s="70">
        <v>0.70640000000000003</v>
      </c>
      <c r="AI90" s="70">
        <v>0.19439999999999999</v>
      </c>
      <c r="AJ90" s="69">
        <v>500</v>
      </c>
      <c r="AK90" s="68">
        <v>674</v>
      </c>
      <c r="AL90" s="68">
        <v>50</v>
      </c>
      <c r="AM90" s="72">
        <v>12.4</v>
      </c>
      <c r="AN90" s="72" t="s">
        <v>250</v>
      </c>
      <c r="AO90" s="68">
        <v>0.38</v>
      </c>
      <c r="AP90" s="68">
        <v>0.99</v>
      </c>
      <c r="AQ90" s="71">
        <v>1</v>
      </c>
      <c r="AR90" s="72"/>
    </row>
    <row r="91" spans="1:44" s="73" customFormat="1" x14ac:dyDescent="0.25">
      <c r="A91" s="73" t="s">
        <v>548</v>
      </c>
      <c r="B91" s="73">
        <v>2</v>
      </c>
      <c r="C91" s="73">
        <v>67</v>
      </c>
      <c r="D91" s="73">
        <f>D90+1</f>
        <v>5</v>
      </c>
      <c r="E91" s="73">
        <v>1</v>
      </c>
      <c r="F91" s="73">
        <f t="shared" si="12"/>
        <v>29</v>
      </c>
      <c r="G91" s="74">
        <v>6709510</v>
      </c>
      <c r="H91" s="74"/>
      <c r="I91" s="74" t="s">
        <v>147</v>
      </c>
      <c r="J91" s="74">
        <f t="shared" si="9"/>
        <v>0</v>
      </c>
      <c r="K91" s="73" t="s">
        <v>33</v>
      </c>
      <c r="L91" s="73" t="s">
        <v>143</v>
      </c>
      <c r="M91" s="73" t="s">
        <v>86</v>
      </c>
      <c r="N91" s="73">
        <v>157</v>
      </c>
      <c r="O91" s="73">
        <v>313</v>
      </c>
      <c r="P91" s="73">
        <v>451</v>
      </c>
      <c r="Q91" s="76"/>
      <c r="S91" s="73" t="s">
        <v>106</v>
      </c>
      <c r="T91" s="78">
        <v>0.1</v>
      </c>
      <c r="U91" s="78">
        <v>0.1</v>
      </c>
      <c r="V91" s="77"/>
      <c r="W91" s="74">
        <v>0</v>
      </c>
      <c r="X91" s="76"/>
      <c r="Y91" s="77"/>
      <c r="Z91" s="77"/>
      <c r="AA91" s="73">
        <v>17500</v>
      </c>
      <c r="AB91" s="73">
        <v>0.18</v>
      </c>
      <c r="AC91" s="73">
        <v>1000</v>
      </c>
      <c r="AD91" s="73">
        <v>1</v>
      </c>
      <c r="AE91" s="73">
        <v>32</v>
      </c>
      <c r="AF91" s="73">
        <v>0.56000000000000005</v>
      </c>
      <c r="AG91" s="76">
        <v>1</v>
      </c>
      <c r="AH91" s="76">
        <v>0.70640000000000003</v>
      </c>
      <c r="AI91" s="76">
        <v>0.19439999999999999</v>
      </c>
      <c r="AJ91" s="74">
        <v>500</v>
      </c>
      <c r="AK91" s="73">
        <v>674</v>
      </c>
      <c r="AL91" s="73">
        <v>50</v>
      </c>
      <c r="AM91" s="74">
        <v>0</v>
      </c>
      <c r="AN91" s="74" t="s">
        <v>249</v>
      </c>
      <c r="AO91" s="73">
        <v>0.38</v>
      </c>
      <c r="AP91" s="73">
        <v>0.99</v>
      </c>
      <c r="AQ91" s="77">
        <v>1</v>
      </c>
      <c r="AR91" s="78"/>
    </row>
    <row r="92" spans="1:44" s="104" customFormat="1" ht="15.75" thickBot="1" x14ac:dyDescent="0.3">
      <c r="A92" s="104" t="s">
        <v>548</v>
      </c>
      <c r="G92" s="104" t="str">
        <f>"CID"&amp;H92</f>
        <v>CID6389</v>
      </c>
      <c r="H92" s="105">
        <v>6389</v>
      </c>
      <c r="I92" s="104" t="s">
        <v>158</v>
      </c>
      <c r="Q92" s="106"/>
      <c r="S92" s="104" t="s">
        <v>106</v>
      </c>
      <c r="W92" s="107"/>
      <c r="X92" s="106"/>
      <c r="AG92" s="106"/>
      <c r="AH92" s="106"/>
      <c r="AI92" s="106"/>
      <c r="AJ92" s="105"/>
      <c r="AM92" s="105"/>
      <c r="AN92" s="105"/>
      <c r="AQ92" s="107"/>
      <c r="AR92" s="10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"/>
  <sheetViews>
    <sheetView workbookViewId="0"/>
  </sheetViews>
  <sheetFormatPr defaultRowHeight="15" x14ac:dyDescent="0.25"/>
  <cols>
    <col min="2" max="2" width="9.140625" style="61"/>
    <col min="3" max="3" width="34" bestFit="1" customWidth="1"/>
    <col min="4" max="4" width="11.5703125" bestFit="1" customWidth="1"/>
    <col min="5" max="5" width="10" bestFit="1" customWidth="1"/>
  </cols>
  <sheetData>
    <row r="1" spans="1:7" x14ac:dyDescent="0.25">
      <c r="A1" t="s">
        <v>132</v>
      </c>
      <c r="B1" s="61" t="s">
        <v>282</v>
      </c>
      <c r="C1" t="s">
        <v>133</v>
      </c>
      <c r="D1" t="s">
        <v>94</v>
      </c>
      <c r="E1" t="s">
        <v>128</v>
      </c>
    </row>
    <row r="2" spans="1:7" x14ac:dyDescent="0.25">
      <c r="A2">
        <v>1700800</v>
      </c>
      <c r="B2" s="61" t="s">
        <v>253</v>
      </c>
      <c r="C2" t="s">
        <v>192</v>
      </c>
      <c r="D2">
        <v>1.25</v>
      </c>
      <c r="E2" t="s">
        <v>195</v>
      </c>
    </row>
    <row r="3" spans="1:7" x14ac:dyDescent="0.25">
      <c r="A3">
        <v>1700801</v>
      </c>
      <c r="B3" s="61" t="s">
        <v>254</v>
      </c>
      <c r="C3" t="s">
        <v>99</v>
      </c>
      <c r="D3">
        <v>0.95</v>
      </c>
      <c r="E3" t="s">
        <v>103</v>
      </c>
    </row>
    <row r="4" spans="1:7" x14ac:dyDescent="0.25">
      <c r="A4">
        <v>1701000</v>
      </c>
      <c r="B4" s="61" t="s">
        <v>273</v>
      </c>
      <c r="C4" t="s">
        <v>258</v>
      </c>
      <c r="D4">
        <v>1.7</v>
      </c>
      <c r="E4" t="s">
        <v>259</v>
      </c>
    </row>
    <row r="5" spans="1:7" x14ac:dyDescent="0.25">
      <c r="A5">
        <v>6701006</v>
      </c>
      <c r="B5" s="61" t="s">
        <v>255</v>
      </c>
      <c r="C5" t="s">
        <v>264</v>
      </c>
      <c r="D5">
        <v>1.4</v>
      </c>
      <c r="E5" t="s">
        <v>265</v>
      </c>
    </row>
    <row r="6" spans="1:7" x14ac:dyDescent="0.25">
      <c r="A6">
        <v>6701002</v>
      </c>
      <c r="B6" s="61" t="s">
        <v>255</v>
      </c>
      <c r="C6" t="s">
        <v>268</v>
      </c>
      <c r="D6">
        <v>0.3</v>
      </c>
      <c r="E6" t="s">
        <v>269</v>
      </c>
    </row>
    <row r="7" spans="1:7" x14ac:dyDescent="0.25">
      <c r="A7">
        <v>6701005</v>
      </c>
      <c r="B7" s="61" t="s">
        <v>275</v>
      </c>
      <c r="C7" t="s">
        <v>274</v>
      </c>
      <c r="D7">
        <v>0.2</v>
      </c>
      <c r="E7" t="s">
        <v>276</v>
      </c>
    </row>
    <row r="8" spans="1:7" x14ac:dyDescent="0.25">
      <c r="A8" s="26">
        <v>6701004</v>
      </c>
      <c r="B8" s="61" t="s">
        <v>285</v>
      </c>
      <c r="C8" t="s">
        <v>290</v>
      </c>
      <c r="D8">
        <v>2.1999999999999997</v>
      </c>
      <c r="E8" t="s">
        <v>277</v>
      </c>
      <c r="F8" t="s">
        <v>283</v>
      </c>
      <c r="G8">
        <v>4.2220000000000004</v>
      </c>
    </row>
    <row r="9" spans="1:7" x14ac:dyDescent="0.25">
      <c r="A9" s="26">
        <v>6701003</v>
      </c>
      <c r="B9" s="61" t="s">
        <v>286</v>
      </c>
      <c r="C9" t="s">
        <v>289</v>
      </c>
      <c r="D9">
        <v>0.6</v>
      </c>
      <c r="E9" t="s">
        <v>278</v>
      </c>
      <c r="F9" t="s">
        <v>284</v>
      </c>
      <c r="G9">
        <f>0.53283+0.47464616256346</f>
        <v>1.0074761625634601</v>
      </c>
    </row>
    <row r="10" spans="1:7" x14ac:dyDescent="0.25">
      <c r="A10" s="26">
        <v>6701001</v>
      </c>
      <c r="B10" s="61" t="s">
        <v>291</v>
      </c>
      <c r="C10" t="s">
        <v>288</v>
      </c>
      <c r="D10">
        <v>0.4</v>
      </c>
      <c r="E10" t="s">
        <v>279</v>
      </c>
      <c r="F10" t="s">
        <v>287</v>
      </c>
      <c r="G10">
        <v>0.75960368505903098</v>
      </c>
    </row>
    <row r="11" spans="1:7" x14ac:dyDescent="0.25">
      <c r="A11" s="26">
        <v>6701000</v>
      </c>
      <c r="B11" s="61" t="s">
        <v>293</v>
      </c>
      <c r="C11" t="s">
        <v>292</v>
      </c>
      <c r="D11">
        <v>2.5</v>
      </c>
      <c r="E11" t="s">
        <v>280</v>
      </c>
      <c r="G11">
        <v>5.4726012619094604</v>
      </c>
    </row>
    <row r="12" spans="1:7" x14ac:dyDescent="0.25">
      <c r="A12" s="26">
        <v>6701011</v>
      </c>
      <c r="B12" s="61" t="s">
        <v>294</v>
      </c>
      <c r="C12" t="s">
        <v>295</v>
      </c>
      <c r="D12">
        <v>2.5</v>
      </c>
      <c r="E12" t="s">
        <v>281</v>
      </c>
      <c r="G12">
        <f>0.551666+ 0.415474+ 0.772424+0.330931+2.01682727822963</f>
        <v>4.0873222782296299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95"/>
  <sheetViews>
    <sheetView workbookViewId="0">
      <pane xSplit="9" ySplit="1" topLeftCell="AM79" activePane="bottomRight" state="frozen"/>
      <selection pane="topRight" activeCell="K1" sqref="K1"/>
      <selection pane="bottomLeft" activeCell="A2" sqref="A2"/>
      <selection pane="bottomRight" activeCell="A95" sqref="A95:BG95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13.140625" customWidth="1"/>
    <col min="29" max="29" width="5.85546875" customWidth="1"/>
    <col min="30" max="31" width="11.28515625" bestFit="1" customWidth="1"/>
    <col min="32" max="32" width="8.140625" style="26" customWidth="1"/>
    <col min="33" max="34" width="9" style="26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 t="s">
        <v>312</v>
      </c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24" t="s">
        <v>162</v>
      </c>
      <c r="AG1" s="24" t="s">
        <v>73</v>
      </c>
      <c r="AH1" s="24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U2" s="17"/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25">
        <v>6</v>
      </c>
      <c r="AG2" s="25">
        <v>0.63519999999999999</v>
      </c>
      <c r="AH2" s="25">
        <v>0.2797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U3" s="5"/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24">
        <v>6</v>
      </c>
      <c r="AG3" s="24">
        <v>0.63519999999999999</v>
      </c>
      <c r="AH3" s="24">
        <v>0.2797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/>
      <c r="U4" s="1"/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6">
        <v>6</v>
      </c>
      <c r="AG4" s="26">
        <v>0.63519999999999999</v>
      </c>
      <c r="AH4" s="26">
        <v>0.2797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1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>
        <v>1403507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U5" s="1"/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6">
        <v>6</v>
      </c>
      <c r="AG5" s="26">
        <v>0.63519999999999999</v>
      </c>
      <c r="AH5" s="26">
        <v>0.2797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U6" s="1"/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6">
        <v>6</v>
      </c>
      <c r="AG6" s="26">
        <v>0.63519999999999999</v>
      </c>
      <c r="AH6" s="26">
        <v>0.2797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U7" s="1"/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6">
        <v>6</v>
      </c>
      <c r="AG7" s="26">
        <v>0.63519999999999999</v>
      </c>
      <c r="AH7" s="26">
        <v>0.2797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U8" s="1"/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6">
        <v>6</v>
      </c>
      <c r="AG8" s="26">
        <v>0.63519999999999999</v>
      </c>
      <c r="AH8" s="26">
        <v>0.2797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U9" s="1"/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6">
        <v>6</v>
      </c>
      <c r="AG9" s="26">
        <v>0.63519999999999999</v>
      </c>
      <c r="AH9" s="26">
        <v>0.2797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U10" s="1"/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6">
        <v>6</v>
      </c>
      <c r="AG10" s="26">
        <v>0.63519999999999999</v>
      </c>
      <c r="AH10" s="26">
        <v>0.2797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U11" s="1"/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6">
        <v>6</v>
      </c>
      <c r="AG11" s="26">
        <v>0.63519999999999999</v>
      </c>
      <c r="AH11" s="26">
        <v>0.2797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U12" s="1"/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6">
        <v>6</v>
      </c>
      <c r="AG12" s="26">
        <v>0.63519999999999999</v>
      </c>
      <c r="AH12" s="26">
        <v>0.2797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U13" s="1"/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6">
        <v>6</v>
      </c>
      <c r="AG13" s="26">
        <v>0.63519999999999999</v>
      </c>
      <c r="AH13" s="26">
        <v>0.2797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U14" s="5"/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24">
        <v>6</v>
      </c>
      <c r="AG14" s="24">
        <v>0.63519999999999999</v>
      </c>
      <c r="AH14" s="24">
        <v>0.2797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U15" s="1"/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6">
        <v>4</v>
      </c>
      <c r="AG15" s="26">
        <v>0.67910000000000004</v>
      </c>
      <c r="AH15" s="26">
        <v>0.22839999999999999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U16" s="1"/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6">
        <v>4</v>
      </c>
      <c r="AG16" s="26">
        <v>0.67910000000000004</v>
      </c>
      <c r="AH16" s="26">
        <v>0.22839999999999999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U17" s="1"/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6">
        <v>4</v>
      </c>
      <c r="AG17" s="26">
        <v>0.67910000000000004</v>
      </c>
      <c r="AH17" s="26">
        <v>0.22839999999999999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U18" s="1"/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6">
        <v>4</v>
      </c>
      <c r="AG18" s="26">
        <v>0.67910000000000004</v>
      </c>
      <c r="AH18" s="26">
        <v>0.22839999999999999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U19" s="1"/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6">
        <v>4</v>
      </c>
      <c r="AG19" s="26">
        <v>0.67910000000000004</v>
      </c>
      <c r="AH19" s="26">
        <v>0.22839999999999999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U20" s="1"/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6">
        <v>4</v>
      </c>
      <c r="AG20" s="26">
        <v>0.67910000000000004</v>
      </c>
      <c r="AH20" s="26">
        <v>0.22839999999999999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U21" s="5"/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24">
        <v>4</v>
      </c>
      <c r="AG21" s="24">
        <v>0.67910000000000004</v>
      </c>
      <c r="AH21" s="24">
        <v>0.22839999999999999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ref="A22:C37" si="6">A21</f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U22" s="1"/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6">
        <v>4</v>
      </c>
      <c r="AG22" s="26">
        <v>0.56440000000000001</v>
      </c>
      <c r="AH22" s="26">
        <v>0.24690000000000001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6"/>
        <v>2</v>
      </c>
      <c r="B23">
        <v>17</v>
      </c>
      <c r="C23">
        <f t="shared" si="6"/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U23" s="1"/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6">
        <v>4</v>
      </c>
      <c r="AG23" s="26">
        <v>0.56440000000000001</v>
      </c>
      <c r="AH23" s="26">
        <v>0.24690000000000001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si="6"/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U24" s="1"/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6">
        <v>4</v>
      </c>
      <c r="AG24" s="26">
        <v>0.56440000000000001</v>
      </c>
      <c r="AH24" s="26">
        <v>0.24690000000000001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U25" s="5"/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24">
        <v>4</v>
      </c>
      <c r="AG25" s="24">
        <v>0.56440000000000001</v>
      </c>
      <c r="AH25" s="24">
        <v>0.24690000000000001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U26" s="1"/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6">
        <v>4</v>
      </c>
      <c r="AG26" s="26">
        <v>0.70189999999999997</v>
      </c>
      <c r="AH26" s="26">
        <v>0.2102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U27" s="1"/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6">
        <v>4</v>
      </c>
      <c r="AG27" s="26">
        <v>0.70189999999999997</v>
      </c>
      <c r="AH27" s="26">
        <v>0.2102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U28" s="1"/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6">
        <v>4</v>
      </c>
      <c r="AG28" s="26">
        <v>0.70189999999999997</v>
      </c>
      <c r="AH28" s="26">
        <v>0.2102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U29" s="1"/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6">
        <v>4</v>
      </c>
      <c r="AG29" s="26">
        <v>0.70189999999999997</v>
      </c>
      <c r="AH29" s="26">
        <v>0.2102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U30" s="1"/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6">
        <v>4</v>
      </c>
      <c r="AG30" s="26">
        <v>0.70189999999999997</v>
      </c>
      <c r="AH30" s="26">
        <v>0.2102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U31" s="5"/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24">
        <v>4</v>
      </c>
      <c r="AG31" s="24">
        <v>0.70189999999999997</v>
      </c>
      <c r="AH31" s="24">
        <v>0.2102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U32" s="1"/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6">
        <v>3.5</v>
      </c>
      <c r="AG32" s="26">
        <v>0.49640000000000001</v>
      </c>
      <c r="AH32" s="26">
        <v>0.2626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U33" s="1"/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6">
        <v>3.5</v>
      </c>
      <c r="AG33" s="26">
        <v>0.49640000000000001</v>
      </c>
      <c r="AH33" s="26">
        <v>0.2626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U34" s="1"/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6">
        <v>3.5</v>
      </c>
      <c r="AG34" s="26">
        <v>0.49640000000000001</v>
      </c>
      <c r="AH34" s="26">
        <v>0.2626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U35" s="1"/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6">
        <v>3.5</v>
      </c>
      <c r="AG35" s="26">
        <v>0.49640000000000001</v>
      </c>
      <c r="AH35" s="26">
        <v>0.2626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U36" s="5"/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24">
        <v>3.5</v>
      </c>
      <c r="AG36" s="24">
        <v>0.49640000000000001</v>
      </c>
      <c r="AH36" s="24">
        <v>0.2626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U37" s="1"/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6">
        <v>3</v>
      </c>
      <c r="AG37" s="26">
        <v>1.1425000000000001</v>
      </c>
      <c r="AH37" s="26">
        <v>0.14080000000000001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ref="A38:C41" si="8">A37</f>
        <v>2</v>
      </c>
      <c r="B38">
        <v>17</v>
      </c>
      <c r="C38">
        <f t="shared" si="8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U38" s="1"/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6">
        <v>3</v>
      </c>
      <c r="AG38" s="26">
        <v>1.1425000000000001</v>
      </c>
      <c r="AH38" s="26">
        <v>0.14080000000000001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8"/>
        <v>2</v>
      </c>
      <c r="B39">
        <v>17</v>
      </c>
      <c r="C39">
        <f t="shared" si="8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U39" s="1"/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6">
        <v>3</v>
      </c>
      <c r="AG39" s="26">
        <v>1.1425000000000001</v>
      </c>
      <c r="AH39" s="26">
        <v>0.14080000000000001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si="8"/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U40" s="5"/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24">
        <v>3</v>
      </c>
      <c r="AG40" s="24">
        <v>1.1425000000000001</v>
      </c>
      <c r="AH40" s="24">
        <v>0.14080000000000001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U41" s="1"/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6">
        <v>3</v>
      </c>
      <c r="AG41" s="26">
        <v>1.1425000000000001</v>
      </c>
      <c r="AH41" s="26">
        <v>0.14080000000000001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U42" s="1"/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6">
        <v>3</v>
      </c>
      <c r="AG42" s="26">
        <v>1.1425000000000001</v>
      </c>
      <c r="AH42" s="26">
        <v>0.14080000000000001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U43" s="1"/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6">
        <v>3</v>
      </c>
      <c r="AG43" s="26">
        <v>1.1425000000000001</v>
      </c>
      <c r="AH43" s="26">
        <v>0.14080000000000001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U44" s="1"/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6">
        <v>3</v>
      </c>
      <c r="AG44" s="26">
        <v>1.1425000000000001</v>
      </c>
      <c r="AH44" s="26">
        <v>0.14080000000000001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27"/>
      <c r="AG45" s="27"/>
      <c r="AH45" s="27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U46" s="51"/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2">
        <v>1</v>
      </c>
      <c r="AG46" s="52">
        <v>1.1377999999999999</v>
      </c>
      <c r="AH46" s="52">
        <v>0.1648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0.2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>IF(J47="Inflow",1,IF(J47="Outflow",-1,IF(J47="Gage",0,IF(J47="Top",0,""))))</f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U47" s="17"/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25">
        <v>1</v>
      </c>
      <c r="AG47" s="25">
        <v>1.1377999999999999</v>
      </c>
      <c r="AH47" s="25">
        <v>0.1648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0.2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27"/>
      <c r="AG48" s="27"/>
      <c r="AH48" s="27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U49" s="51"/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2">
        <v>1</v>
      </c>
      <c r="AG49" s="52">
        <v>1.1377999999999999</v>
      </c>
      <c r="AH49" s="52">
        <v>0.1648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0.2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>IF(J50="Inflow",1,IF(J50="Outflow",-1,IF(J50="Gage",0,IF(J50="Top",0,""))))</f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U50" s="17"/>
      <c r="V50" s="17">
        <f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25">
        <v>1</v>
      </c>
      <c r="AG50" s="25">
        <v>1.1377999999999999</v>
      </c>
      <c r="AH50" s="25">
        <v>0.1648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0.2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>IF(J51="Inflow",1,IF(J51="Outflow",-1,IF(J51="Gage",0,IF(J51="Top",0,""))))</f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U51" s="21"/>
      <c r="V51" s="21">
        <f>Y$52/SUM(Y$49:Y$51)</f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27">
        <v>1</v>
      </c>
      <c r="AG51" s="27">
        <v>1.1377999999999999</v>
      </c>
      <c r="AH51" s="27">
        <v>0.1648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0.2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27"/>
      <c r="AG52" s="27"/>
      <c r="AH52" s="27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U53" s="51"/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2">
        <v>1</v>
      </c>
      <c r="AG53" s="52">
        <v>1.1377999999999999</v>
      </c>
      <c r="AH53" s="52">
        <v>0.1648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0.2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>IF(J54="Inflow",1,IF(J54="Outflow",-1,IF(J54="Gage",0,IF(J54="Top",0,""))))</f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U54" s="17"/>
      <c r="V54" s="17">
        <f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25">
        <v>1</v>
      </c>
      <c r="AG54" s="25">
        <v>1.1377999999999999</v>
      </c>
      <c r="AH54" s="25">
        <v>0.1648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0.2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>IF(J55="Inflow",1,IF(J55="Outflow",-1,IF(J55="Gage",0,IF(J55="Top",0,""))))</f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U55" s="21"/>
      <c r="V55" s="21">
        <f>Y$56/SUM(W$53,Y$53:Y$55)</f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27">
        <v>1</v>
      </c>
      <c r="AG55" s="27">
        <v>1.1377999999999999</v>
      </c>
      <c r="AH55" s="27">
        <v>0.1648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0.2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27"/>
      <c r="AG56" s="27"/>
      <c r="AH56" s="27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U57" s="44"/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3">
        <v>1</v>
      </c>
      <c r="AG57" s="43">
        <v>1.1377999999999999</v>
      </c>
      <c r="AH57" s="43">
        <v>0.1648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0.2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U58" s="21"/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27">
        <v>1</v>
      </c>
      <c r="AG58" s="27">
        <v>1.1377999999999999</v>
      </c>
      <c r="AH58" s="27">
        <v>0.1648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0.2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>IF(J59="Inflow",1,IF(J59="Outflow",-1,IF(J59="Gage",0,IF(J59="Top",0,""))))</f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U59" s="21"/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27">
        <v>1</v>
      </c>
      <c r="AG59" s="27">
        <v>1.1377999999999999</v>
      </c>
      <c r="AH59" s="27">
        <v>0.1648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0.2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27"/>
      <c r="AG60" s="27"/>
      <c r="AH60" s="27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U61" s="44"/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3">
        <v>1</v>
      </c>
      <c r="AG61" s="43">
        <v>1.1377999999999999</v>
      </c>
      <c r="AH61" s="43">
        <v>0.1648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>IF(J62="Inflow",1,IF(J62="Outflow",-1,IF(J62="Gage",0,IF(J62="Top",0,""))))</f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U62" s="21"/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27">
        <v>1</v>
      </c>
      <c r="AG62" s="27">
        <v>1.1377999999999999</v>
      </c>
      <c r="AH62" s="27">
        <v>0.1648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6"/>
      <c r="AG63" s="46"/>
      <c r="AH63" s="46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/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27">
        <v>1</v>
      </c>
      <c r="AG64" s="27">
        <v>0.83</v>
      </c>
      <c r="AH64" s="27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>IF(J65="Inflow",1,IF(J65="Outflow",-1,IF(J65="Gage",0,IF(J65="Top",0,""))))</f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/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27">
        <v>1</v>
      </c>
      <c r="AG65" s="27">
        <v>0.83</v>
      </c>
      <c r="AH65" s="27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>IF(J66="Inflow",1,IF(J66="Outflow",-1,IF(J66="Gage",0,IF(J66="Top",0,""))))</f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U66" s="21"/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27">
        <v>1</v>
      </c>
      <c r="AG66" s="27">
        <v>0.83</v>
      </c>
      <c r="AH66" s="27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F67" s="35"/>
      <c r="AG67" s="35"/>
      <c r="AH67" s="35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U68" s="21"/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27">
        <v>1</v>
      </c>
      <c r="AG68" s="27">
        <v>0.83</v>
      </c>
      <c r="AH68" s="27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>IF(J69="Inflow",1,IF(J69="Outflow",-1,IF(J69="Gage",0,IF(J69="Top",0,""))))</f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U69" s="21"/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27">
        <v>1</v>
      </c>
      <c r="AG69" s="27">
        <v>0.83</v>
      </c>
      <c r="AH69" s="27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>IF(J70="Inflow",1,IF(J70="Outflow",-1,IF(J70="Gage",0,IF(J70="Top",0,""))))</f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U70" s="21"/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27">
        <v>1</v>
      </c>
      <c r="AG70" s="27">
        <v>0.83</v>
      </c>
      <c r="AH70" s="27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>IF(J71="Inflow",1,IF(J71="Outflow",-1,IF(J71="Gage",0,IF(J71="Top",0,""))))</f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U71" s="21"/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27">
        <v>1</v>
      </c>
      <c r="AG71" s="27">
        <v>0.83</v>
      </c>
      <c r="AH71" s="27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F72" s="35"/>
      <c r="AG72" s="35"/>
      <c r="AH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9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/>
      <c r="T73" s="14"/>
      <c r="U73" s="1"/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 s="26">
        <v>1</v>
      </c>
      <c r="AG73" s="26">
        <v>0.98509999999999998</v>
      </c>
      <c r="AH73" s="26">
        <v>0.20039999999999999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9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/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25">
        <v>1</v>
      </c>
      <c r="AG74" s="25">
        <v>0.98509999999999998</v>
      </c>
      <c r="AH74" s="25">
        <v>0.20039999999999999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10">E74+1</f>
        <v>3</v>
      </c>
      <c r="F75" s="7">
        <v>6700610</v>
      </c>
      <c r="G75" s="7"/>
      <c r="H75" s="7" t="s">
        <v>149</v>
      </c>
      <c r="I75" s="7">
        <f t="shared" si="9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27">
        <v>1</v>
      </c>
      <c r="AG75" s="27">
        <v>0.98509999999999998</v>
      </c>
      <c r="AH75" s="27">
        <v>0.20039999999999999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11">D75+1</f>
        <v>3</v>
      </c>
      <c r="E76" s="6">
        <f t="shared" si="10"/>
        <v>4</v>
      </c>
      <c r="F76" s="7">
        <v>6700613</v>
      </c>
      <c r="G76" s="7"/>
      <c r="H76" s="7" t="s">
        <v>148</v>
      </c>
      <c r="I76" s="7">
        <f t="shared" si="9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27">
        <v>1</v>
      </c>
      <c r="AG76" s="27">
        <v>0.98509999999999998</v>
      </c>
      <c r="AH76" s="27">
        <v>0.20039999999999999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11"/>
        <v>4</v>
      </c>
      <c r="E77" s="6">
        <f t="shared" si="10"/>
        <v>5</v>
      </c>
      <c r="F77" s="26">
        <v>6701004</v>
      </c>
      <c r="G77" s="61">
        <v>1015</v>
      </c>
      <c r="H77" t="s">
        <v>290</v>
      </c>
      <c r="I77" s="7">
        <f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U77" s="20"/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27">
        <v>1</v>
      </c>
      <c r="AG77" s="27">
        <v>0.98509999999999998</v>
      </c>
      <c r="AH77" s="27">
        <v>0.20039999999999999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11"/>
        <v>5</v>
      </c>
      <c r="E78" s="6">
        <f t="shared" si="10"/>
        <v>6</v>
      </c>
      <c r="F78" s="26">
        <v>6701003</v>
      </c>
      <c r="G78" s="61">
        <v>5986</v>
      </c>
      <c r="H78" t="s">
        <v>289</v>
      </c>
      <c r="I78" s="7">
        <f t="shared" si="9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U78" s="20"/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27">
        <v>1</v>
      </c>
      <c r="AG78" s="27">
        <v>0.98509999999999998</v>
      </c>
      <c r="AH78" s="27">
        <v>0.20039999999999999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11"/>
        <v>6</v>
      </c>
      <c r="E79" s="6">
        <f t="shared" si="10"/>
        <v>7</v>
      </c>
      <c r="F79" s="26">
        <v>6701001</v>
      </c>
      <c r="G79" s="61">
        <v>1018</v>
      </c>
      <c r="H79" t="s">
        <v>288</v>
      </c>
      <c r="I79" s="7">
        <f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U79" s="20"/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27">
        <v>1</v>
      </c>
      <c r="AG79" s="27">
        <v>0.98509999999999998</v>
      </c>
      <c r="AH79" s="27">
        <v>0.20039999999999999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11"/>
        <v>7</v>
      </c>
      <c r="E80" s="6">
        <f t="shared" si="10"/>
        <v>8</v>
      </c>
      <c r="F80" s="7">
        <v>6700607</v>
      </c>
      <c r="G80" s="7"/>
      <c r="H80" s="7" t="s">
        <v>150</v>
      </c>
      <c r="I80" s="7">
        <f t="shared" si="9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U80" s="20"/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27">
        <v>1</v>
      </c>
      <c r="AG80" s="27">
        <v>0.98509999999999998</v>
      </c>
      <c r="AH80" s="27">
        <v>0.20039999999999999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11"/>
        <v>8</v>
      </c>
      <c r="E81" s="6">
        <f t="shared" si="10"/>
        <v>9</v>
      </c>
      <c r="F81" s="7">
        <v>6701000</v>
      </c>
      <c r="G81" s="7">
        <v>6259</v>
      </c>
      <c r="H81" s="7" t="s">
        <v>292</v>
      </c>
      <c r="I81" s="7">
        <f t="shared" si="9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U81" s="20"/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27">
        <v>1</v>
      </c>
      <c r="AG81" s="27">
        <v>0.98509999999999998</v>
      </c>
      <c r="AH81" s="27">
        <v>0.20039999999999999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11"/>
        <v>9</v>
      </c>
      <c r="E82" s="3">
        <f t="shared" si="10"/>
        <v>10</v>
      </c>
      <c r="F82" s="4">
        <v>6700614</v>
      </c>
      <c r="G82" s="4"/>
      <c r="H82" s="4" t="s">
        <v>151</v>
      </c>
      <c r="I82" s="4">
        <f t="shared" si="9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U82" s="5"/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24">
        <v>1</v>
      </c>
      <c r="AG82" s="24">
        <v>0.98509999999999998</v>
      </c>
      <c r="AH82" s="24">
        <v>0.20039999999999999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10"/>
        <v>11</v>
      </c>
      <c r="F83" s="2">
        <v>6709500</v>
      </c>
      <c r="H83" s="2" t="s">
        <v>144</v>
      </c>
      <c r="I83" s="7">
        <f t="shared" si="9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U83" s="19"/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 s="26">
        <v>1</v>
      </c>
      <c r="AG83" s="26">
        <v>0.83</v>
      </c>
      <c r="AH83" s="26">
        <v>0.2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11"/>
        <v>2</v>
      </c>
      <c r="E84">
        <f t="shared" si="10"/>
        <v>12</v>
      </c>
      <c r="F84" s="2">
        <v>6700612</v>
      </c>
      <c r="H84" s="2" t="s">
        <v>152</v>
      </c>
      <c r="I84" s="7">
        <f t="shared" si="9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U84" s="19"/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 s="26">
        <v>1</v>
      </c>
      <c r="AG84" s="26">
        <v>0.83</v>
      </c>
      <c r="AH84" s="26">
        <v>0.2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11"/>
        <v>3</v>
      </c>
      <c r="E85">
        <f t="shared" si="10"/>
        <v>13</v>
      </c>
      <c r="F85" s="2">
        <v>6701011</v>
      </c>
      <c r="G85" s="2">
        <v>6257</v>
      </c>
      <c r="H85" s="2" t="s">
        <v>295</v>
      </c>
      <c r="I85" s="7">
        <f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U85" s="19"/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 s="26">
        <v>1</v>
      </c>
      <c r="AG85" s="26">
        <v>0.83</v>
      </c>
      <c r="AH85" s="26">
        <v>0.2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11"/>
        <v>4</v>
      </c>
      <c r="E86">
        <f t="shared" si="10"/>
        <v>14</v>
      </c>
      <c r="F86" s="2">
        <v>6709502</v>
      </c>
      <c r="G86" s="2">
        <v>1020</v>
      </c>
      <c r="H86" s="2" t="s">
        <v>145</v>
      </c>
      <c r="I86" s="7">
        <f t="shared" si="9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U86" s="19"/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 s="26">
        <v>1</v>
      </c>
      <c r="AG86" s="26">
        <v>0.83</v>
      </c>
      <c r="AH86" s="26">
        <v>0.2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11"/>
        <v>5</v>
      </c>
      <c r="E87">
        <f t="shared" si="10"/>
        <v>15</v>
      </c>
      <c r="F87" s="2">
        <v>6700617</v>
      </c>
      <c r="G87" s="2">
        <v>6391</v>
      </c>
      <c r="H87" s="2" t="s">
        <v>153</v>
      </c>
      <c r="I87" s="7">
        <f t="shared" si="9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U87" s="19"/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 s="26">
        <v>1</v>
      </c>
      <c r="AG87" s="26">
        <v>0.83</v>
      </c>
      <c r="AH87" s="26">
        <v>0.2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11"/>
        <v>6</v>
      </c>
      <c r="E88">
        <f t="shared" si="10"/>
        <v>16</v>
      </c>
      <c r="F88" s="2">
        <v>6700608</v>
      </c>
      <c r="H88" s="2" t="s">
        <v>154</v>
      </c>
      <c r="I88" s="7">
        <f t="shared" si="9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U88" s="19"/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 s="26">
        <v>1</v>
      </c>
      <c r="AG88" s="26">
        <v>0.83</v>
      </c>
      <c r="AH88" s="26">
        <v>0.2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10"/>
        <v>17</v>
      </c>
      <c r="F89" s="16">
        <v>6700904</v>
      </c>
      <c r="G89" s="16"/>
      <c r="H89" s="16" t="s">
        <v>146</v>
      </c>
      <c r="I89" s="16">
        <f t="shared" si="9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25">
        <v>1</v>
      </c>
      <c r="AG89" s="25">
        <v>0.70640000000000003</v>
      </c>
      <c r="AH89" s="25">
        <v>0.19439999999999999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11"/>
        <v>2</v>
      </c>
      <c r="E90" s="6">
        <f t="shared" si="10"/>
        <v>18</v>
      </c>
      <c r="F90" s="7">
        <v>6700616</v>
      </c>
      <c r="G90" s="7"/>
      <c r="H90" s="7" t="s">
        <v>155</v>
      </c>
      <c r="I90" s="7">
        <f t="shared" si="9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U90" s="19"/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27">
        <v>1</v>
      </c>
      <c r="AG90" s="27">
        <v>0.70640000000000003</v>
      </c>
      <c r="AH90" s="27">
        <v>0.19439999999999999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11"/>
        <v>3</v>
      </c>
      <c r="E91" s="3">
        <f t="shared" si="10"/>
        <v>19</v>
      </c>
      <c r="F91" s="4">
        <v>6709511</v>
      </c>
      <c r="G91" s="4">
        <v>6390</v>
      </c>
      <c r="H91" s="4" t="s">
        <v>156</v>
      </c>
      <c r="I91" s="4">
        <f t="shared" si="9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24">
        <v>1</v>
      </c>
      <c r="AG91" s="24">
        <v>0.70640000000000003</v>
      </c>
      <c r="AH91" s="24">
        <v>0.19439999999999999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10"/>
        <v>20</v>
      </c>
      <c r="F92" s="16">
        <v>6709510</v>
      </c>
      <c r="G92" s="16"/>
      <c r="H92" s="16" t="s">
        <v>147</v>
      </c>
      <c r="I92" s="16">
        <f t="shared" si="9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/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25">
        <v>1</v>
      </c>
      <c r="AG92" s="25">
        <v>0.70640000000000003</v>
      </c>
      <c r="AH92" s="25">
        <v>0.19439999999999999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F93" s="35"/>
      <c r="AG93" s="35"/>
      <c r="AH93" s="35"/>
      <c r="AI93" s="34"/>
      <c r="AL93" s="34"/>
      <c r="AM93" s="34"/>
      <c r="AP93" s="37"/>
      <c r="AQ93" s="40"/>
    </row>
    <row r="95" spans="1:43" x14ac:dyDescent="0.25">
      <c r="A95" s="73"/>
      <c r="B95" s="73"/>
      <c r="C95" s="73">
        <f>SR!D207+1</f>
        <v>1</v>
      </c>
      <c r="D95" s="73">
        <v>1</v>
      </c>
      <c r="E95" s="73">
        <f>SR!F207+1</f>
        <v>1</v>
      </c>
      <c r="F95" s="76">
        <v>6709512</v>
      </c>
      <c r="G95" s="121"/>
      <c r="H95" s="118" t="s">
        <v>515</v>
      </c>
      <c r="I95" s="74">
        <f>IF(J95="Inflow",1,IF(J95="Outflow",-1,IF(J95="Gage",0,IF(J95="Top",0,""))))</f>
        <v>0</v>
      </c>
      <c r="J95" s="73" t="s">
        <v>33</v>
      </c>
      <c r="K95" s="73" t="s">
        <v>516</v>
      </c>
      <c r="L95" s="73" t="s">
        <v>86</v>
      </c>
      <c r="M95" s="73">
        <v>150</v>
      </c>
      <c r="N95" s="73">
        <v>542</v>
      </c>
      <c r="O95" s="73">
        <v>831</v>
      </c>
      <c r="P95" s="76"/>
      <c r="Q95" s="73"/>
      <c r="R95" s="73" t="s">
        <v>106</v>
      </c>
      <c r="S95" s="73"/>
      <c r="T95" s="73"/>
      <c r="U95" s="114"/>
      <c r="V95" s="73">
        <v>1.5</v>
      </c>
      <c r="W95" s="115"/>
      <c r="X95" s="77"/>
      <c r="Y95" s="73"/>
      <c r="Z95" s="73">
        <v>9000</v>
      </c>
      <c r="AA95" s="73">
        <v>0.18</v>
      </c>
      <c r="AB95" s="73">
        <v>800</v>
      </c>
      <c r="AC95" s="73">
        <v>1</v>
      </c>
      <c r="AD95" s="73">
        <v>32</v>
      </c>
      <c r="AE95" s="73">
        <v>0.56000000000000005</v>
      </c>
      <c r="AF95" s="76">
        <v>1</v>
      </c>
      <c r="AG95" s="76">
        <v>0.98509999999999998</v>
      </c>
      <c r="AH95" s="76">
        <v>0.20039999999999999</v>
      </c>
      <c r="AI95" s="74">
        <v>500</v>
      </c>
      <c r="AJ95" s="73">
        <v>671</v>
      </c>
      <c r="AK95" s="73">
        <v>50</v>
      </c>
      <c r="AL95" s="78">
        <v>10.7</v>
      </c>
      <c r="AM95" s="78" t="s">
        <v>250</v>
      </c>
      <c r="AN95" s="73">
        <v>0.38</v>
      </c>
      <c r="AO95" s="73">
        <v>0.99</v>
      </c>
      <c r="AP95" s="77">
        <v>1</v>
      </c>
      <c r="AQ95" s="78" t="s">
        <v>519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9"/>
  <sheetViews>
    <sheetView workbookViewId="0">
      <selection activeCell="J72" sqref="J7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6.28515625" bestFit="1" customWidth="1"/>
    <col min="5" max="5" width="5" bestFit="1" customWidth="1"/>
    <col min="6" max="7" width="8" bestFit="1" customWidth="1"/>
    <col min="8" max="8" width="40.5703125" bestFit="1" customWidth="1"/>
    <col min="10" max="12" width="7.5703125" customWidth="1"/>
    <col min="13" max="13" width="11.5703125" style="1" bestFit="1" customWidth="1"/>
    <col min="14" max="14" width="6.28515625" style="1" customWidth="1"/>
    <col min="15" max="15" width="8.5703125" customWidth="1"/>
    <col min="16" max="16" width="7.140625" customWidth="1"/>
    <col min="17" max="17" width="7.5703125" customWidth="1"/>
    <col min="18" max="18" width="6.5703125" style="1" customWidth="1"/>
    <col min="19" max="19" width="7.5703125" style="26" customWidth="1"/>
    <col min="20" max="20" width="4.5703125" style="26" bestFit="1" customWidth="1"/>
    <col min="21" max="21" width="6.42578125" bestFit="1" customWidth="1"/>
  </cols>
  <sheetData>
    <row r="1" spans="1:21" x14ac:dyDescent="0.25">
      <c r="A1" t="s">
        <v>6</v>
      </c>
      <c r="B1" t="s">
        <v>93</v>
      </c>
      <c r="C1" t="s">
        <v>0</v>
      </c>
      <c r="D1" t="s">
        <v>76</v>
      </c>
      <c r="E1" t="s">
        <v>91</v>
      </c>
      <c r="F1" t="s">
        <v>132</v>
      </c>
      <c r="G1" t="s">
        <v>245</v>
      </c>
      <c r="H1" t="s">
        <v>133</v>
      </c>
      <c r="J1" s="3" t="s">
        <v>1</v>
      </c>
      <c r="K1" s="3" t="s">
        <v>2</v>
      </c>
      <c r="L1" s="5" t="s">
        <v>77</v>
      </c>
      <c r="M1" s="5" t="s">
        <v>94</v>
      </c>
      <c r="N1" s="5"/>
      <c r="O1" s="3" t="s">
        <v>104</v>
      </c>
      <c r="P1" s="5" t="s">
        <v>79</v>
      </c>
      <c r="Q1" s="3"/>
      <c r="R1" s="5"/>
      <c r="S1" s="5" t="s">
        <v>78</v>
      </c>
      <c r="T1" s="24"/>
      <c r="U1" s="5"/>
    </row>
    <row r="2" spans="1:21" x14ac:dyDescent="0.25">
      <c r="A2">
        <v>2</v>
      </c>
      <c r="B2">
        <v>17</v>
      </c>
      <c r="C2">
        <v>1</v>
      </c>
      <c r="D2">
        <v>1</v>
      </c>
      <c r="E2">
        <v>1</v>
      </c>
      <c r="F2">
        <v>1403526</v>
      </c>
      <c r="H2" t="s">
        <v>92</v>
      </c>
      <c r="J2" s="15">
        <f>P2</f>
        <v>0.2</v>
      </c>
      <c r="K2" s="15">
        <f>Q2</f>
        <v>0.9</v>
      </c>
      <c r="L2" s="17">
        <v>0.67</v>
      </c>
      <c r="M2" s="17">
        <f>1*L2*(SUM(P$2:P$3)/SUM(P$2:P$14))</f>
        <v>8.7391304347826104E-3</v>
      </c>
      <c r="N2" s="17"/>
      <c r="O2" s="15"/>
      <c r="P2" s="15">
        <v>0.2</v>
      </c>
      <c r="Q2" s="15">
        <v>0.9</v>
      </c>
      <c r="R2" s="17">
        <f>P2/(SUM(P$2:P$3))</f>
        <v>0.66666666666666663</v>
      </c>
      <c r="S2" s="25"/>
      <c r="T2" s="25"/>
      <c r="U2" s="17">
        <v>0</v>
      </c>
    </row>
    <row r="3" spans="1:21" x14ac:dyDescent="0.25">
      <c r="A3">
        <v>2</v>
      </c>
      <c r="B3">
        <v>17</v>
      </c>
      <c r="C3">
        <v>1</v>
      </c>
      <c r="D3">
        <v>2</v>
      </c>
      <c r="E3">
        <v>2</v>
      </c>
      <c r="F3">
        <v>1400534</v>
      </c>
      <c r="H3" t="s">
        <v>90</v>
      </c>
      <c r="J3" s="3">
        <f>P3</f>
        <v>0.1</v>
      </c>
      <c r="K3" s="3">
        <f>Q3</f>
        <v>0.9</v>
      </c>
      <c r="L3" s="5">
        <v>0.33</v>
      </c>
      <c r="M3" s="5">
        <f>1*L3*(SUM(P$2:P$3)/SUM(P$2:P$14))</f>
        <v>4.3043478260869576E-3</v>
      </c>
      <c r="N3" s="5"/>
      <c r="O3" s="3"/>
      <c r="P3" s="3">
        <v>0.1</v>
      </c>
      <c r="Q3" s="3">
        <v>0.9</v>
      </c>
      <c r="R3" s="5">
        <f>P3/(SUM(P$2:P$3))</f>
        <v>0.33333333333333331</v>
      </c>
      <c r="S3" s="24"/>
      <c r="T3" s="24"/>
      <c r="U3" s="5">
        <v>0</v>
      </c>
    </row>
    <row r="4" spans="1:21" x14ac:dyDescent="0.25">
      <c r="A4">
        <v>2</v>
      </c>
      <c r="B4">
        <v>17</v>
      </c>
      <c r="C4">
        <v>2</v>
      </c>
      <c r="D4">
        <v>1</v>
      </c>
      <c r="E4">
        <v>3</v>
      </c>
      <c r="F4">
        <v>1409500</v>
      </c>
      <c r="H4" t="s">
        <v>14</v>
      </c>
      <c r="J4" s="14">
        <f>ROUND(P4,1)</f>
        <v>1</v>
      </c>
      <c r="K4">
        <f t="shared" ref="K4:K43" si="0">ROUND(Q4,1)</f>
        <v>0.9</v>
      </c>
      <c r="L4" s="1">
        <f>ROUND(R4,2)</f>
        <v>0.04</v>
      </c>
      <c r="M4" s="1">
        <f t="shared" ref="M4:M14" si="1">1*L4*(SUM(P$4:P$14)/SUM(P$2:P$14))</f>
        <v>3.947826086956522E-2</v>
      </c>
      <c r="O4" s="14"/>
      <c r="P4" s="14">
        <v>1</v>
      </c>
      <c r="Q4">
        <v>0.9</v>
      </c>
      <c r="R4" s="1">
        <f t="shared" ref="R4:R14" si="2">P4/(SUM(P$4:P$14))</f>
        <v>4.4052863436123343E-2</v>
      </c>
      <c r="S4" s="26">
        <v>1</v>
      </c>
      <c r="T4" s="26">
        <v>0.9</v>
      </c>
      <c r="U4">
        <v>0.04</v>
      </c>
    </row>
    <row r="5" spans="1:21" x14ac:dyDescent="0.25">
      <c r="A5">
        <v>2</v>
      </c>
      <c r="B5">
        <v>17</v>
      </c>
      <c r="C5">
        <v>2</v>
      </c>
      <c r="D5">
        <v>2</v>
      </c>
      <c r="E5">
        <v>4</v>
      </c>
      <c r="F5" t="s">
        <v>252</v>
      </c>
      <c r="G5">
        <v>6384</v>
      </c>
      <c r="H5" t="s">
        <v>22</v>
      </c>
      <c r="J5">
        <f t="shared" ref="J5:J43" si="3">ROUND(P5,1)</f>
        <v>0.5</v>
      </c>
      <c r="K5">
        <f t="shared" si="0"/>
        <v>0.4</v>
      </c>
      <c r="L5" s="1">
        <f t="shared" ref="L5:L14" si="4">ROUND(R5,2)</f>
        <v>0.02</v>
      </c>
      <c r="M5" s="1">
        <f t="shared" si="1"/>
        <v>1.973913043478261E-2</v>
      </c>
      <c r="O5">
        <v>201.43</v>
      </c>
      <c r="P5">
        <v>0.5</v>
      </c>
      <c r="Q5">
        <v>0.4</v>
      </c>
      <c r="R5" s="1">
        <f t="shared" si="2"/>
        <v>2.2026431718061672E-2</v>
      </c>
      <c r="S5" s="26">
        <v>0.5</v>
      </c>
      <c r="T5" s="26">
        <v>0.4</v>
      </c>
      <c r="U5">
        <v>0.02</v>
      </c>
    </row>
    <row r="6" spans="1:21" x14ac:dyDescent="0.25">
      <c r="A6">
        <v>2</v>
      </c>
      <c r="B6">
        <v>17</v>
      </c>
      <c r="C6">
        <v>2</v>
      </c>
      <c r="D6">
        <v>3</v>
      </c>
      <c r="E6">
        <v>5</v>
      </c>
      <c r="F6">
        <v>1400618</v>
      </c>
      <c r="H6" t="s">
        <v>207</v>
      </c>
      <c r="J6">
        <f t="shared" si="3"/>
        <v>0.8</v>
      </c>
      <c r="K6">
        <f t="shared" si="0"/>
        <v>0.6</v>
      </c>
      <c r="L6" s="1">
        <f t="shared" si="4"/>
        <v>0.04</v>
      </c>
      <c r="M6" s="1">
        <f t="shared" si="1"/>
        <v>3.947826086956522E-2</v>
      </c>
      <c r="O6">
        <f>O8+2.73</f>
        <v>200.59</v>
      </c>
      <c r="P6" s="1">
        <f>(O5-O6)/(O5-O7)*S7</f>
        <v>0.80590405904059137</v>
      </c>
      <c r="Q6" s="1">
        <f>(O5-O6)/(O5-O7)*T7</f>
        <v>0.58892988929889367</v>
      </c>
      <c r="R6" s="1">
        <f t="shared" si="2"/>
        <v>3.5502381455532653E-2</v>
      </c>
    </row>
    <row r="7" spans="1:21" x14ac:dyDescent="0.25">
      <c r="A7">
        <v>2</v>
      </c>
      <c r="B7">
        <v>17</v>
      </c>
      <c r="C7">
        <v>2</v>
      </c>
      <c r="D7">
        <v>4</v>
      </c>
      <c r="E7">
        <v>6</v>
      </c>
      <c r="F7">
        <v>1403694</v>
      </c>
      <c r="H7" t="s">
        <v>95</v>
      </c>
      <c r="J7">
        <f t="shared" si="3"/>
        <v>1.8</v>
      </c>
      <c r="K7">
        <f t="shared" si="0"/>
        <v>1.3</v>
      </c>
      <c r="L7" s="1">
        <f t="shared" si="4"/>
        <v>0.08</v>
      </c>
      <c r="M7" s="1">
        <f t="shared" si="1"/>
        <v>7.8956521739130439E-2</v>
      </c>
      <c r="O7">
        <v>198.72</v>
      </c>
      <c r="P7" s="1">
        <f>(O6-O7)/(O5-O7)*S7</f>
        <v>1.7940959409594088</v>
      </c>
      <c r="Q7" s="1">
        <f>(O6-O7)/(O5-O7)*T7</f>
        <v>1.3110701107011062</v>
      </c>
      <c r="R7" s="1">
        <f t="shared" si="2"/>
        <v>7.903506347838804E-2</v>
      </c>
      <c r="S7" s="26">
        <v>2.6</v>
      </c>
      <c r="T7" s="26">
        <v>1.9</v>
      </c>
      <c r="U7">
        <v>0.11</v>
      </c>
    </row>
    <row r="8" spans="1:21" x14ac:dyDescent="0.25">
      <c r="A8">
        <v>2</v>
      </c>
      <c r="B8">
        <v>17</v>
      </c>
      <c r="C8">
        <v>2</v>
      </c>
      <c r="D8">
        <v>5</v>
      </c>
      <c r="E8">
        <v>7</v>
      </c>
      <c r="F8">
        <v>1400589</v>
      </c>
      <c r="H8" t="s">
        <v>23</v>
      </c>
      <c r="J8">
        <f t="shared" si="3"/>
        <v>0.8</v>
      </c>
      <c r="K8">
        <f t="shared" si="0"/>
        <v>0.6</v>
      </c>
      <c r="L8" s="1">
        <f t="shared" si="4"/>
        <v>0.03</v>
      </c>
      <c r="M8" s="1">
        <f t="shared" si="1"/>
        <v>2.9608695652173913E-2</v>
      </c>
      <c r="O8">
        <v>197.86</v>
      </c>
      <c r="P8" s="1">
        <f>(O7-O8)/(O7-O9)*S9</f>
        <v>0.78594024604568102</v>
      </c>
      <c r="Q8" s="1">
        <f>(O7-O8)/(O7-O9)*T9</f>
        <v>0.57434094903338229</v>
      </c>
      <c r="R8" s="1">
        <f t="shared" si="2"/>
        <v>3.4622918328003564E-2</v>
      </c>
    </row>
    <row r="9" spans="1:21" x14ac:dyDescent="0.25">
      <c r="A9">
        <v>2</v>
      </c>
      <c r="B9">
        <v>17</v>
      </c>
      <c r="C9">
        <v>2</v>
      </c>
      <c r="D9">
        <v>6</v>
      </c>
      <c r="E9">
        <v>8</v>
      </c>
      <c r="F9">
        <v>1400536</v>
      </c>
      <c r="H9" t="s">
        <v>96</v>
      </c>
      <c r="J9">
        <f t="shared" si="3"/>
        <v>4.4000000000000004</v>
      </c>
      <c r="K9">
        <f t="shared" si="0"/>
        <v>3.2</v>
      </c>
      <c r="L9" s="1">
        <f t="shared" si="4"/>
        <v>0.19</v>
      </c>
      <c r="M9" s="1">
        <f t="shared" si="1"/>
        <v>0.18752173913043479</v>
      </c>
      <c r="O9">
        <f>O8-4.83</f>
        <v>193.03</v>
      </c>
      <c r="P9" s="1">
        <f>(O8-O9)/(O7-O9)*S9</f>
        <v>4.4140597539543194</v>
      </c>
      <c r="Q9" s="1">
        <f>(O8-O9)/(O7-O9)*T9</f>
        <v>3.2256590509666174</v>
      </c>
      <c r="R9" s="1">
        <f t="shared" si="2"/>
        <v>0.19445197153983784</v>
      </c>
      <c r="S9" s="26">
        <v>5.2</v>
      </c>
      <c r="T9" s="26">
        <v>3.8</v>
      </c>
      <c r="U9">
        <v>0.23</v>
      </c>
    </row>
    <row r="10" spans="1:21" x14ac:dyDescent="0.25">
      <c r="A10">
        <v>2</v>
      </c>
      <c r="B10">
        <v>17</v>
      </c>
      <c r="C10">
        <v>2</v>
      </c>
      <c r="D10">
        <v>7</v>
      </c>
      <c r="E10">
        <v>9</v>
      </c>
      <c r="F10">
        <v>1400800</v>
      </c>
      <c r="G10">
        <v>952</v>
      </c>
      <c r="H10" t="s">
        <v>24</v>
      </c>
      <c r="J10">
        <f t="shared" si="3"/>
        <v>0.3</v>
      </c>
      <c r="K10">
        <f t="shared" si="0"/>
        <v>0.2</v>
      </c>
      <c r="L10" s="1">
        <f t="shared" si="4"/>
        <v>0.02</v>
      </c>
      <c r="M10" s="1">
        <f t="shared" si="1"/>
        <v>1.973913043478261E-2</v>
      </c>
      <c r="O10" s="1">
        <v>192</v>
      </c>
      <c r="P10" s="1">
        <f>(O9-O10)/(O9-O11)*S11</f>
        <v>0.3417061611374389</v>
      </c>
      <c r="Q10" s="1">
        <f>(O9-O10)/(O9-O11)*T11</f>
        <v>0.24407582938388495</v>
      </c>
      <c r="R10" s="1">
        <f t="shared" si="2"/>
        <v>1.5053134851869553E-2</v>
      </c>
    </row>
    <row r="11" spans="1:21" x14ac:dyDescent="0.25">
      <c r="A11">
        <v>2</v>
      </c>
      <c r="B11">
        <v>17</v>
      </c>
      <c r="C11">
        <v>2</v>
      </c>
      <c r="D11">
        <v>8</v>
      </c>
      <c r="E11">
        <v>10</v>
      </c>
      <c r="F11">
        <v>1400620</v>
      </c>
      <c r="G11">
        <v>6385</v>
      </c>
      <c r="H11" t="s">
        <v>65</v>
      </c>
      <c r="J11">
        <f t="shared" si="3"/>
        <v>0.4</v>
      </c>
      <c r="K11">
        <f t="shared" si="0"/>
        <v>0.3</v>
      </c>
      <c r="L11" s="1">
        <f t="shared" si="4"/>
        <v>0.02</v>
      </c>
      <c r="M11" s="1">
        <f t="shared" si="1"/>
        <v>1.973913043478261E-2</v>
      </c>
      <c r="O11">
        <f>O9-2.11</f>
        <v>190.92</v>
      </c>
      <c r="P11" s="1">
        <f>(O10-O11)/(O9-O11)*S11</f>
        <v>0.35829383886256105</v>
      </c>
      <c r="Q11" s="1">
        <f>(O10-O11)/(O9-O11)*T11</f>
        <v>0.25592417061611505</v>
      </c>
      <c r="R11" s="1">
        <f t="shared" si="2"/>
        <v>1.5783869553416784E-2</v>
      </c>
      <c r="S11" s="26">
        <v>0.7</v>
      </c>
      <c r="T11" s="26">
        <v>0.5</v>
      </c>
      <c r="U11">
        <v>0.03</v>
      </c>
    </row>
    <row r="12" spans="1:21" x14ac:dyDescent="0.25">
      <c r="A12">
        <v>2</v>
      </c>
      <c r="B12">
        <v>17</v>
      </c>
      <c r="C12">
        <v>2</v>
      </c>
      <c r="D12">
        <v>9</v>
      </c>
      <c r="E12">
        <v>11</v>
      </c>
      <c r="F12">
        <v>1409508</v>
      </c>
      <c r="G12">
        <v>948</v>
      </c>
      <c r="H12" t="s">
        <v>26</v>
      </c>
      <c r="J12">
        <f t="shared" si="3"/>
        <v>5.6</v>
      </c>
      <c r="K12">
        <f t="shared" si="0"/>
        <v>4.0999999999999996</v>
      </c>
      <c r="L12" s="1">
        <f t="shared" si="4"/>
        <v>0.25</v>
      </c>
      <c r="M12" s="1">
        <f t="shared" si="1"/>
        <v>0.24673913043478263</v>
      </c>
      <c r="O12">
        <v>186.27</v>
      </c>
      <c r="P12">
        <v>5.6</v>
      </c>
      <c r="Q12">
        <v>4.0999999999999996</v>
      </c>
      <c r="R12" s="1">
        <f t="shared" si="2"/>
        <v>0.2466960352422907</v>
      </c>
      <c r="S12" s="26">
        <v>5.6</v>
      </c>
      <c r="T12" s="26">
        <v>4.0999999999999996</v>
      </c>
      <c r="U12">
        <v>0.24</v>
      </c>
    </row>
    <row r="13" spans="1:21" x14ac:dyDescent="0.25">
      <c r="A13">
        <v>2</v>
      </c>
      <c r="B13">
        <v>17</v>
      </c>
      <c r="C13">
        <v>2</v>
      </c>
      <c r="D13">
        <v>10</v>
      </c>
      <c r="E13">
        <v>12</v>
      </c>
      <c r="F13">
        <v>1400539</v>
      </c>
      <c r="H13" t="s">
        <v>28</v>
      </c>
      <c r="J13">
        <f t="shared" si="3"/>
        <v>2.7</v>
      </c>
      <c r="K13">
        <f t="shared" si="0"/>
        <v>2</v>
      </c>
      <c r="L13" s="1">
        <f t="shared" si="4"/>
        <v>0.12</v>
      </c>
      <c r="M13" s="1">
        <f t="shared" si="1"/>
        <v>0.11843478260869565</v>
      </c>
      <c r="O13" s="1"/>
      <c r="P13">
        <v>2.7</v>
      </c>
      <c r="Q13">
        <v>2</v>
      </c>
      <c r="R13" s="1">
        <f t="shared" si="2"/>
        <v>0.11894273127753303</v>
      </c>
      <c r="S13" s="26">
        <v>2.7</v>
      </c>
      <c r="T13" s="26">
        <v>2</v>
      </c>
      <c r="U13">
        <v>0.12</v>
      </c>
    </row>
    <row r="14" spans="1:21" x14ac:dyDescent="0.25">
      <c r="A14">
        <v>2</v>
      </c>
      <c r="B14">
        <v>17</v>
      </c>
      <c r="C14">
        <v>2</v>
      </c>
      <c r="D14">
        <v>11</v>
      </c>
      <c r="E14">
        <v>13</v>
      </c>
      <c r="F14">
        <v>1509501</v>
      </c>
      <c r="G14">
        <v>945</v>
      </c>
      <c r="H14" t="s">
        <v>29</v>
      </c>
      <c r="J14" s="3">
        <f t="shared" si="3"/>
        <v>4.4000000000000004</v>
      </c>
      <c r="K14" s="3">
        <f t="shared" si="0"/>
        <v>3.3</v>
      </c>
      <c r="L14" s="5">
        <f t="shared" si="4"/>
        <v>0.19</v>
      </c>
      <c r="M14" s="5">
        <f t="shared" si="1"/>
        <v>0.18752173913043479</v>
      </c>
      <c r="N14" s="5"/>
      <c r="O14" s="3"/>
      <c r="P14" s="3">
        <v>4.4000000000000004</v>
      </c>
      <c r="Q14" s="3">
        <v>3.3</v>
      </c>
      <c r="R14" s="5">
        <f t="shared" si="2"/>
        <v>0.19383259911894271</v>
      </c>
      <c r="S14" s="24">
        <v>4.4000000000000004</v>
      </c>
      <c r="T14" s="24">
        <v>3.3</v>
      </c>
      <c r="U14" s="3">
        <v>0.19</v>
      </c>
    </row>
    <row r="15" spans="1:21" x14ac:dyDescent="0.25">
      <c r="A15">
        <v>2</v>
      </c>
      <c r="B15">
        <v>17</v>
      </c>
      <c r="C15">
        <v>3</v>
      </c>
      <c r="D15">
        <v>1</v>
      </c>
      <c r="E15">
        <v>14</v>
      </c>
      <c r="F15">
        <v>1409503</v>
      </c>
      <c r="H15" t="s">
        <v>15</v>
      </c>
      <c r="J15">
        <f t="shared" si="3"/>
        <v>0.3</v>
      </c>
      <c r="K15">
        <f t="shared" si="0"/>
        <v>0.2</v>
      </c>
      <c r="L15" s="1">
        <v>0.01</v>
      </c>
      <c r="M15" s="1">
        <f t="shared" ref="M15:M21" si="5">3.9*L15*(SUM(P$15:P$21)/SUM(P$15:P$36))</f>
        <v>1.1567796610169491E-2</v>
      </c>
      <c r="P15">
        <v>0.3</v>
      </c>
      <c r="Q15">
        <v>0.2</v>
      </c>
      <c r="R15" s="1">
        <f t="shared" ref="R15:R21" si="6">P15/(SUM(P$15:P$21))</f>
        <v>1.4285714285714285E-2</v>
      </c>
      <c r="S15" s="26">
        <v>0.3</v>
      </c>
      <c r="T15" s="26">
        <v>0.2</v>
      </c>
      <c r="U15" s="1">
        <v>0.01</v>
      </c>
    </row>
    <row r="16" spans="1:21" x14ac:dyDescent="0.25">
      <c r="A16">
        <v>2</v>
      </c>
      <c r="B16">
        <v>17</v>
      </c>
      <c r="C16">
        <v>3</v>
      </c>
      <c r="D16">
        <v>2</v>
      </c>
      <c r="E16">
        <v>15</v>
      </c>
      <c r="F16">
        <v>1420020</v>
      </c>
      <c r="G16">
        <v>947</v>
      </c>
      <c r="H16" t="s">
        <v>34</v>
      </c>
      <c r="J16">
        <f t="shared" si="3"/>
        <v>2.9</v>
      </c>
      <c r="K16">
        <f t="shared" si="0"/>
        <v>2.1</v>
      </c>
      <c r="L16" s="1">
        <v>0.14000000000000001</v>
      </c>
      <c r="M16" s="1">
        <f t="shared" si="5"/>
        <v>0.16194915254237288</v>
      </c>
      <c r="P16">
        <v>2.9</v>
      </c>
      <c r="Q16">
        <v>2.1</v>
      </c>
      <c r="R16" s="1">
        <f t="shared" si="6"/>
        <v>0.1380952380952381</v>
      </c>
      <c r="S16" s="26">
        <v>2.9</v>
      </c>
      <c r="T16" s="26">
        <v>2.1</v>
      </c>
      <c r="U16" s="1">
        <v>0.14000000000000001</v>
      </c>
    </row>
    <row r="17" spans="1:21" x14ac:dyDescent="0.25">
      <c r="A17">
        <v>2</v>
      </c>
      <c r="B17">
        <v>17</v>
      </c>
      <c r="C17">
        <v>3</v>
      </c>
      <c r="D17">
        <v>3</v>
      </c>
      <c r="E17">
        <v>16</v>
      </c>
      <c r="F17">
        <v>1400538</v>
      </c>
      <c r="H17" t="s">
        <v>35</v>
      </c>
      <c r="J17">
        <f t="shared" si="3"/>
        <v>3.3</v>
      </c>
      <c r="K17">
        <f t="shared" si="0"/>
        <v>2.4</v>
      </c>
      <c r="L17" s="1">
        <v>0.16</v>
      </c>
      <c r="M17" s="1">
        <f t="shared" si="5"/>
        <v>0.18508474576271186</v>
      </c>
      <c r="P17">
        <v>3.3</v>
      </c>
      <c r="Q17">
        <v>2.4</v>
      </c>
      <c r="R17" s="1">
        <f t="shared" si="6"/>
        <v>0.15714285714285714</v>
      </c>
      <c r="S17" s="26">
        <v>3.3</v>
      </c>
      <c r="T17" s="26">
        <v>2.4</v>
      </c>
      <c r="U17" s="1">
        <v>0.16</v>
      </c>
    </row>
    <row r="18" spans="1:21" x14ac:dyDescent="0.25">
      <c r="A18">
        <v>2</v>
      </c>
      <c r="B18">
        <v>17</v>
      </c>
      <c r="C18">
        <v>3</v>
      </c>
      <c r="D18">
        <v>4</v>
      </c>
      <c r="E18">
        <v>17</v>
      </c>
      <c r="F18">
        <v>1700540</v>
      </c>
      <c r="H18" t="s">
        <v>36</v>
      </c>
      <c r="J18">
        <f t="shared" si="3"/>
        <v>4.5999999999999996</v>
      </c>
      <c r="K18">
        <f t="shared" si="0"/>
        <v>3.4</v>
      </c>
      <c r="L18" s="1">
        <v>0.22</v>
      </c>
      <c r="M18" s="1">
        <f t="shared" si="5"/>
        <v>0.25449152542372877</v>
      </c>
      <c r="P18">
        <v>4.5999999999999996</v>
      </c>
      <c r="Q18">
        <v>3.4</v>
      </c>
      <c r="R18" s="1">
        <f t="shared" si="6"/>
        <v>0.21904761904761902</v>
      </c>
      <c r="S18" s="26">
        <v>4.5999999999999996</v>
      </c>
      <c r="T18" s="26">
        <v>3.4</v>
      </c>
      <c r="U18" s="1">
        <v>0.22</v>
      </c>
    </row>
    <row r="19" spans="1:21" x14ac:dyDescent="0.25">
      <c r="A19">
        <v>2</v>
      </c>
      <c r="B19">
        <v>17</v>
      </c>
      <c r="C19">
        <v>3</v>
      </c>
      <c r="D19">
        <v>5</v>
      </c>
      <c r="E19">
        <v>18</v>
      </c>
      <c r="F19">
        <v>1409506</v>
      </c>
      <c r="G19">
        <v>937</v>
      </c>
      <c r="H19" t="s">
        <v>37</v>
      </c>
      <c r="J19">
        <f t="shared" si="3"/>
        <v>0.5</v>
      </c>
      <c r="K19">
        <f t="shared" si="0"/>
        <v>0.4</v>
      </c>
      <c r="L19" s="1">
        <v>0.02</v>
      </c>
      <c r="M19" s="1">
        <f t="shared" si="5"/>
        <v>2.3135593220338983E-2</v>
      </c>
      <c r="P19">
        <v>0.5</v>
      </c>
      <c r="Q19">
        <v>0.4</v>
      </c>
      <c r="R19" s="1">
        <f t="shared" si="6"/>
        <v>2.3809523809523808E-2</v>
      </c>
      <c r="S19" s="26">
        <v>0.5</v>
      </c>
      <c r="T19" s="26">
        <v>0.4</v>
      </c>
      <c r="U19" s="1">
        <v>0.02</v>
      </c>
    </row>
    <row r="20" spans="1:21" x14ac:dyDescent="0.25">
      <c r="A20">
        <v>2</v>
      </c>
      <c r="B20">
        <v>17</v>
      </c>
      <c r="C20">
        <v>3</v>
      </c>
      <c r="D20">
        <v>6</v>
      </c>
      <c r="E20">
        <v>19</v>
      </c>
      <c r="F20">
        <v>1700542</v>
      </c>
      <c r="H20" t="s">
        <v>89</v>
      </c>
      <c r="J20">
        <f t="shared" si="3"/>
        <v>6.5</v>
      </c>
      <c r="K20">
        <f t="shared" si="0"/>
        <v>4.8</v>
      </c>
      <c r="L20" s="1">
        <v>0.31</v>
      </c>
      <c r="M20" s="1">
        <f t="shared" si="5"/>
        <v>0.35860169491525423</v>
      </c>
      <c r="P20">
        <v>6.5</v>
      </c>
      <c r="Q20">
        <v>4.8</v>
      </c>
      <c r="R20" s="1">
        <f t="shared" si="6"/>
        <v>0.30952380952380953</v>
      </c>
      <c r="S20" s="26">
        <v>6.5</v>
      </c>
      <c r="T20" s="26">
        <v>4.8</v>
      </c>
      <c r="U20" s="1">
        <v>0.31</v>
      </c>
    </row>
    <row r="21" spans="1:21" x14ac:dyDescent="0.25">
      <c r="A21">
        <v>2</v>
      </c>
      <c r="B21">
        <v>17</v>
      </c>
      <c r="C21">
        <v>3</v>
      </c>
      <c r="D21">
        <v>7</v>
      </c>
      <c r="E21">
        <v>20</v>
      </c>
      <c r="F21">
        <v>1700541</v>
      </c>
      <c r="H21" t="s">
        <v>38</v>
      </c>
      <c r="J21" s="3">
        <f t="shared" si="3"/>
        <v>2.9</v>
      </c>
      <c r="K21" s="3">
        <f t="shared" si="0"/>
        <v>2.1</v>
      </c>
      <c r="L21" s="5">
        <v>0.14000000000000001</v>
      </c>
      <c r="M21" s="5">
        <f t="shared" si="5"/>
        <v>0.16194915254237288</v>
      </c>
      <c r="N21" s="5"/>
      <c r="O21" s="3"/>
      <c r="P21" s="3">
        <v>2.9</v>
      </c>
      <c r="Q21" s="3">
        <v>2.1</v>
      </c>
      <c r="R21" s="5">
        <f t="shared" si="6"/>
        <v>0.1380952380952381</v>
      </c>
      <c r="S21" s="24">
        <v>2.9</v>
      </c>
      <c r="T21" s="24">
        <v>2.1</v>
      </c>
      <c r="U21" s="5">
        <v>0.14000000000000001</v>
      </c>
    </row>
    <row r="22" spans="1:21" x14ac:dyDescent="0.25">
      <c r="A22">
        <v>2</v>
      </c>
      <c r="B22">
        <v>17</v>
      </c>
      <c r="C22">
        <v>4</v>
      </c>
      <c r="D22">
        <v>1</v>
      </c>
      <c r="E22">
        <v>21</v>
      </c>
      <c r="F22">
        <v>1409502</v>
      </c>
      <c r="H22" t="s">
        <v>16</v>
      </c>
      <c r="J22">
        <f t="shared" si="3"/>
        <v>9.6</v>
      </c>
      <c r="K22">
        <f t="shared" si="0"/>
        <v>7.1</v>
      </c>
      <c r="L22" s="1">
        <v>0.54</v>
      </c>
      <c r="M22" s="1">
        <f>3.9*L22*(SUM(P$22:P$25)/SUM(P$15:P$36))</f>
        <v>0.52352542372881361</v>
      </c>
      <c r="P22">
        <v>9.6</v>
      </c>
      <c r="Q22">
        <v>7.1</v>
      </c>
      <c r="R22" s="28">
        <f>P22/(SUM(P$22:P$25))</f>
        <v>0.54545454545454541</v>
      </c>
      <c r="S22" s="26">
        <v>9.6</v>
      </c>
      <c r="T22" s="26">
        <v>7.1</v>
      </c>
      <c r="U22" s="1">
        <v>0.55000000000000004</v>
      </c>
    </row>
    <row r="23" spans="1:21" x14ac:dyDescent="0.25">
      <c r="A23">
        <v>2</v>
      </c>
      <c r="B23">
        <v>17</v>
      </c>
      <c r="C23">
        <v>4</v>
      </c>
      <c r="D23">
        <v>2</v>
      </c>
      <c r="E23">
        <v>22</v>
      </c>
      <c r="F23">
        <v>1700557</v>
      </c>
      <c r="H23" t="s">
        <v>43</v>
      </c>
      <c r="J23">
        <f t="shared" si="3"/>
        <v>5.8</v>
      </c>
      <c r="K23">
        <f t="shared" si="0"/>
        <v>4.3</v>
      </c>
      <c r="L23" s="1">
        <v>0.33</v>
      </c>
      <c r="M23" s="1">
        <f>3.9*L23*(SUM(P$22:P$25)/SUM(P$15:P$36))</f>
        <v>0.31993220338983053</v>
      </c>
      <c r="P23">
        <v>5.8</v>
      </c>
      <c r="Q23">
        <v>4.3</v>
      </c>
      <c r="R23" s="28">
        <f>P23/(SUM(P$22:P$25))</f>
        <v>0.32954545454545453</v>
      </c>
      <c r="S23" s="26">
        <v>5.8</v>
      </c>
      <c r="T23" s="26">
        <v>4.3</v>
      </c>
      <c r="U23">
        <v>0.32</v>
      </c>
    </row>
    <row r="24" spans="1:21" x14ac:dyDescent="0.25">
      <c r="A24">
        <v>2</v>
      </c>
      <c r="B24">
        <v>17</v>
      </c>
      <c r="C24">
        <v>4</v>
      </c>
      <c r="D24">
        <v>3</v>
      </c>
      <c r="E24">
        <v>23</v>
      </c>
      <c r="F24">
        <v>1709502</v>
      </c>
      <c r="G24">
        <v>1024</v>
      </c>
      <c r="H24" t="s">
        <v>44</v>
      </c>
      <c r="J24">
        <f t="shared" si="3"/>
        <v>2.1</v>
      </c>
      <c r="K24">
        <f t="shared" si="0"/>
        <v>1.5</v>
      </c>
      <c r="L24" s="1">
        <v>0.12</v>
      </c>
      <c r="M24" s="1">
        <f>3.9*L24*(SUM(P$22:P$25)/SUM(P$15:P$36))</f>
        <v>0.11633898305084747</v>
      </c>
      <c r="O24">
        <v>142.18</v>
      </c>
      <c r="P24">
        <v>2.1</v>
      </c>
      <c r="Q24">
        <v>1.5</v>
      </c>
      <c r="R24" s="28">
        <v>0.12</v>
      </c>
    </row>
    <row r="25" spans="1:21" x14ac:dyDescent="0.25">
      <c r="A25">
        <v>2</v>
      </c>
      <c r="B25">
        <v>17</v>
      </c>
      <c r="C25">
        <v>4</v>
      </c>
      <c r="D25">
        <v>4</v>
      </c>
      <c r="E25">
        <v>24</v>
      </c>
      <c r="F25">
        <v>1700552</v>
      </c>
      <c r="H25" t="s">
        <v>20</v>
      </c>
      <c r="J25" s="3">
        <f t="shared" si="3"/>
        <v>0.1</v>
      </c>
      <c r="K25" s="3">
        <f t="shared" si="0"/>
        <v>0.1</v>
      </c>
      <c r="L25" s="5">
        <v>0.01</v>
      </c>
      <c r="M25" s="5">
        <f>3.9*L25*(SUM(P$22:P$25)/SUM(P$15:P$36))</f>
        <v>9.6949152542372893E-3</v>
      </c>
      <c r="N25" s="5"/>
      <c r="O25" s="3">
        <v>142.19</v>
      </c>
      <c r="P25" s="3">
        <v>0.1</v>
      </c>
      <c r="Q25" s="3">
        <v>0.1</v>
      </c>
      <c r="R25" s="29">
        <f>P25/(SUM(P$22:P$25))</f>
        <v>5.681818181818182E-3</v>
      </c>
      <c r="S25" s="24">
        <v>2.2000000000000002</v>
      </c>
      <c r="T25" s="24">
        <v>1.6</v>
      </c>
      <c r="U25" s="5">
        <v>0.13</v>
      </c>
    </row>
    <row r="26" spans="1:21" x14ac:dyDescent="0.25">
      <c r="A26">
        <v>2</v>
      </c>
      <c r="B26">
        <v>17</v>
      </c>
      <c r="C26">
        <v>5</v>
      </c>
      <c r="D26">
        <v>1</v>
      </c>
      <c r="E26">
        <v>25</v>
      </c>
      <c r="F26">
        <v>1709503</v>
      </c>
      <c r="H26" t="s">
        <v>17</v>
      </c>
      <c r="J26">
        <f t="shared" si="3"/>
        <v>6.3</v>
      </c>
      <c r="K26">
        <f t="shared" si="0"/>
        <v>4.7</v>
      </c>
      <c r="L26" s="1">
        <f>ROUND(R26,2)</f>
        <v>0.35</v>
      </c>
      <c r="M26" s="1">
        <f t="shared" ref="M26:M31" si="7">3.9*L26*(SUM(P$26:P$31)/SUM(P$15:P$36))</f>
        <v>0.34703389830508474</v>
      </c>
      <c r="P26">
        <v>6.3</v>
      </c>
      <c r="Q26">
        <v>4.7</v>
      </c>
      <c r="R26" s="28">
        <f t="shared" ref="R26:R31" si="8">P26/(SUM(P$26:P$31))</f>
        <v>0.35</v>
      </c>
      <c r="S26" s="26">
        <v>6.3</v>
      </c>
      <c r="T26" s="26">
        <v>4.7</v>
      </c>
      <c r="U26" s="1">
        <v>0.35</v>
      </c>
    </row>
    <row r="27" spans="1:21" x14ac:dyDescent="0.25">
      <c r="A27">
        <v>2</v>
      </c>
      <c r="B27">
        <v>17</v>
      </c>
      <c r="C27">
        <v>5</v>
      </c>
      <c r="D27">
        <v>2</v>
      </c>
      <c r="E27">
        <v>26</v>
      </c>
      <c r="F27">
        <v>1700554</v>
      </c>
      <c r="H27" t="s">
        <v>46</v>
      </c>
      <c r="J27">
        <f t="shared" si="3"/>
        <v>1.5</v>
      </c>
      <c r="K27">
        <f t="shared" si="0"/>
        <v>1.1000000000000001</v>
      </c>
      <c r="L27" s="1">
        <v>0.08</v>
      </c>
      <c r="M27" s="1">
        <f t="shared" si="7"/>
        <v>7.9322033898305083E-2</v>
      </c>
      <c r="P27">
        <v>1.5</v>
      </c>
      <c r="Q27">
        <v>1.1000000000000001</v>
      </c>
      <c r="R27" s="28">
        <f t="shared" si="8"/>
        <v>8.3333333333333329E-2</v>
      </c>
      <c r="S27" s="26">
        <v>1.5</v>
      </c>
      <c r="T27" s="26">
        <v>1.1000000000000001</v>
      </c>
      <c r="U27" s="1">
        <v>0.08</v>
      </c>
    </row>
    <row r="28" spans="1:21" x14ac:dyDescent="0.25">
      <c r="A28">
        <v>2</v>
      </c>
      <c r="B28">
        <v>17</v>
      </c>
      <c r="C28">
        <v>5</v>
      </c>
      <c r="D28">
        <v>3</v>
      </c>
      <c r="E28">
        <v>27</v>
      </c>
      <c r="F28">
        <v>1700558</v>
      </c>
      <c r="H28" t="s">
        <v>47</v>
      </c>
      <c r="J28">
        <f t="shared" si="3"/>
        <v>1</v>
      </c>
      <c r="K28">
        <f t="shared" si="0"/>
        <v>0.7</v>
      </c>
      <c r="L28" s="1">
        <v>0.06</v>
      </c>
      <c r="M28" s="1">
        <f t="shared" si="7"/>
        <v>5.9491525423728805E-2</v>
      </c>
      <c r="O28">
        <v>132.29</v>
      </c>
      <c r="P28">
        <v>1</v>
      </c>
      <c r="Q28">
        <v>0.7</v>
      </c>
      <c r="R28" s="28">
        <f t="shared" si="8"/>
        <v>5.5555555555555552E-2</v>
      </c>
      <c r="S28" s="26">
        <v>1</v>
      </c>
      <c r="T28" s="26">
        <v>0.7</v>
      </c>
      <c r="U28" s="1">
        <v>0.06</v>
      </c>
    </row>
    <row r="29" spans="1:21" x14ac:dyDescent="0.25">
      <c r="A29">
        <v>2</v>
      </c>
      <c r="B29">
        <v>17</v>
      </c>
      <c r="C29">
        <v>5</v>
      </c>
      <c r="D29">
        <v>4</v>
      </c>
      <c r="E29">
        <v>28</v>
      </c>
      <c r="F29">
        <v>1700648</v>
      </c>
      <c r="H29" t="s">
        <v>48</v>
      </c>
      <c r="J29">
        <f t="shared" si="3"/>
        <v>1.3</v>
      </c>
      <c r="K29">
        <f t="shared" si="0"/>
        <v>1</v>
      </c>
      <c r="L29" s="1">
        <v>0.08</v>
      </c>
      <c r="M29" s="1">
        <f t="shared" si="7"/>
        <v>7.9322033898305083E-2</v>
      </c>
      <c r="O29">
        <f>O28-1.4</f>
        <v>130.88999999999999</v>
      </c>
      <c r="P29" s="1">
        <f>(O28-O29)/(O28-O31)*S31</f>
        <v>1.343065693430664</v>
      </c>
      <c r="Q29">
        <f>(O28-O29)/(O28-O31)*T31</f>
        <v>0.99270072992701253</v>
      </c>
      <c r="R29" s="28">
        <f t="shared" si="8"/>
        <v>7.4614760746147993E-2</v>
      </c>
      <c r="U29" s="1"/>
    </row>
    <row r="30" spans="1:21" x14ac:dyDescent="0.25">
      <c r="A30">
        <v>2</v>
      </c>
      <c r="B30">
        <v>17</v>
      </c>
      <c r="C30">
        <v>5</v>
      </c>
      <c r="D30">
        <v>5</v>
      </c>
      <c r="E30">
        <v>29</v>
      </c>
      <c r="F30">
        <v>1700668</v>
      </c>
      <c r="G30">
        <v>6386</v>
      </c>
      <c r="H30" t="s">
        <v>21</v>
      </c>
      <c r="J30">
        <f t="shared" si="3"/>
        <v>1.3</v>
      </c>
      <c r="K30">
        <f t="shared" si="0"/>
        <v>1</v>
      </c>
      <c r="L30" s="1">
        <v>7.0000000000000007E-2</v>
      </c>
      <c r="M30" s="1">
        <f t="shared" si="7"/>
        <v>6.9406779661016951E-2</v>
      </c>
      <c r="O30">
        <f>O28-2.77</f>
        <v>129.51999999999998</v>
      </c>
      <c r="P30">
        <f>(O29-O30)/(O28-O31)*S31</f>
        <v>1.3142857142857201</v>
      </c>
      <c r="Q30">
        <f>(O29-O30)/(O28-O31)*T31</f>
        <v>0.97142857142857564</v>
      </c>
      <c r="R30" s="28">
        <f t="shared" si="8"/>
        <v>7.3015873015873339E-2</v>
      </c>
      <c r="U30" s="1"/>
    </row>
    <row r="31" spans="1:21" x14ac:dyDescent="0.25">
      <c r="A31">
        <v>2</v>
      </c>
      <c r="B31">
        <v>17</v>
      </c>
      <c r="C31">
        <v>5</v>
      </c>
      <c r="D31">
        <v>6</v>
      </c>
      <c r="E31">
        <v>30</v>
      </c>
      <c r="F31">
        <v>1703525</v>
      </c>
      <c r="G31">
        <v>6387</v>
      </c>
      <c r="H31" t="s">
        <v>66</v>
      </c>
      <c r="J31" s="3">
        <f t="shared" si="3"/>
        <v>6.5</v>
      </c>
      <c r="K31" s="3">
        <f t="shared" si="0"/>
        <v>4.8</v>
      </c>
      <c r="L31" s="5">
        <v>0.36</v>
      </c>
      <c r="M31" s="5">
        <f t="shared" si="7"/>
        <v>0.35694915254237286</v>
      </c>
      <c r="N31" s="5"/>
      <c r="O31" s="3">
        <v>122.7</v>
      </c>
      <c r="P31" s="3">
        <f>(O30-O31)/(O28-O31)*S31</f>
        <v>6.5426485922836148</v>
      </c>
      <c r="Q31" s="3">
        <f>(O30-O31)/(O28-O31)*T31</f>
        <v>4.8358706986444115</v>
      </c>
      <c r="R31" s="29">
        <f t="shared" si="8"/>
        <v>0.36348047734908973</v>
      </c>
      <c r="S31" s="24">
        <v>9.1999999999999993</v>
      </c>
      <c r="T31" s="24">
        <v>6.8</v>
      </c>
      <c r="U31" s="5">
        <v>0.51</v>
      </c>
    </row>
    <row r="32" spans="1:21" x14ac:dyDescent="0.25">
      <c r="A32">
        <v>2</v>
      </c>
      <c r="B32">
        <v>17</v>
      </c>
      <c r="C32">
        <v>6</v>
      </c>
      <c r="D32">
        <v>1</v>
      </c>
      <c r="E32">
        <v>31</v>
      </c>
      <c r="F32">
        <v>1709507</v>
      </c>
      <c r="H32" t="s">
        <v>54</v>
      </c>
      <c r="J32">
        <f t="shared" si="3"/>
        <v>6.4</v>
      </c>
      <c r="K32">
        <f t="shared" si="0"/>
        <v>4.7</v>
      </c>
      <c r="L32" s="1">
        <f>ROUND(R32,2)</f>
        <v>0.45</v>
      </c>
      <c r="M32" s="1">
        <f>3.9*L32*(SUM(P$32:P$36)/SUM(P$15:P$36))</f>
        <v>0.3519915254237288</v>
      </c>
      <c r="O32">
        <f>ROUND(O31-5.6650572,2)</f>
        <v>117.03</v>
      </c>
      <c r="P32">
        <v>6.4</v>
      </c>
      <c r="Q32">
        <v>4.7</v>
      </c>
      <c r="R32" s="1">
        <f>P32/(SUM(P$32:P$36))</f>
        <v>0.45070422535211274</v>
      </c>
      <c r="S32" s="26">
        <v>6.4</v>
      </c>
      <c r="T32" s="26">
        <v>4.7</v>
      </c>
      <c r="U32" s="1">
        <v>0.45</v>
      </c>
    </row>
    <row r="33" spans="1:21" x14ac:dyDescent="0.25">
      <c r="A33">
        <v>2</v>
      </c>
      <c r="B33">
        <v>17</v>
      </c>
      <c r="C33">
        <v>6</v>
      </c>
      <c r="D33">
        <v>2</v>
      </c>
      <c r="E33">
        <v>32</v>
      </c>
      <c r="F33" t="s">
        <v>253</v>
      </c>
      <c r="G33">
        <v>1007</v>
      </c>
      <c r="H33" t="s">
        <v>55</v>
      </c>
      <c r="J33">
        <f t="shared" si="3"/>
        <v>0.9</v>
      </c>
      <c r="K33">
        <f t="shared" si="0"/>
        <v>0.6</v>
      </c>
      <c r="L33" s="1">
        <f>ROUND(R33,2)</f>
        <v>0.06</v>
      </c>
      <c r="M33" s="1">
        <f>3.9*L33*(SUM(P$32:P$36)/SUM(P$15:P$36))</f>
        <v>4.6932203389830507E-2</v>
      </c>
      <c r="O33">
        <f>ROUND(O32-0.894105618177762,2)</f>
        <v>116.14</v>
      </c>
      <c r="P33" s="1">
        <f>(O32-O33)/(O32-O34)*S34</f>
        <v>0.85576923076923006</v>
      </c>
      <c r="Q33" s="1">
        <f>(O32-O33)/(O32-O34)*T34</f>
        <v>0.62756410256410211</v>
      </c>
      <c r="R33" s="1">
        <f>P33/(SUM(P$32:P$36))</f>
        <v>6.0265438786565498E-2</v>
      </c>
      <c r="U33" s="1"/>
    </row>
    <row r="34" spans="1:21" x14ac:dyDescent="0.25">
      <c r="A34">
        <v>2</v>
      </c>
      <c r="B34">
        <v>17</v>
      </c>
      <c r="C34">
        <v>6</v>
      </c>
      <c r="D34">
        <v>3</v>
      </c>
      <c r="E34">
        <v>33</v>
      </c>
      <c r="F34">
        <v>1703511</v>
      </c>
      <c r="G34">
        <v>6388</v>
      </c>
      <c r="H34" t="s">
        <v>97</v>
      </c>
      <c r="J34">
        <f t="shared" si="3"/>
        <v>2.1</v>
      </c>
      <c r="K34">
        <f t="shared" si="0"/>
        <v>1.6</v>
      </c>
      <c r="L34" s="1">
        <f>ROUND(R34,2)</f>
        <v>0.15</v>
      </c>
      <c r="M34" s="1">
        <f>3.9*L34*(SUM(P$32:P$36)/SUM(P$15:P$36))</f>
        <v>0.11733050847457627</v>
      </c>
      <c r="O34">
        <v>113.91</v>
      </c>
      <c r="P34" s="1">
        <f>(O33-O34)/(O32-O34)*S34</f>
        <v>2.1442307692307701</v>
      </c>
      <c r="Q34" s="1">
        <f>(O33-O34)/(O32-O34)*T34</f>
        <v>1.5724358974358981</v>
      </c>
      <c r="R34" s="1">
        <f>P34/(SUM(P$32:P$36))</f>
        <v>0.15100216684723733</v>
      </c>
      <c r="S34" s="26">
        <v>3</v>
      </c>
      <c r="T34" s="26">
        <v>2.2000000000000002</v>
      </c>
      <c r="U34" s="1">
        <v>0.21</v>
      </c>
    </row>
    <row r="35" spans="1:21" x14ac:dyDescent="0.25">
      <c r="A35">
        <v>2</v>
      </c>
      <c r="B35">
        <v>17</v>
      </c>
      <c r="C35">
        <v>6</v>
      </c>
      <c r="D35">
        <v>4</v>
      </c>
      <c r="E35">
        <v>34</v>
      </c>
      <c r="F35">
        <v>1700553</v>
      </c>
      <c r="H35" t="s">
        <v>56</v>
      </c>
      <c r="J35">
        <f t="shared" si="3"/>
        <v>1.7</v>
      </c>
      <c r="K35">
        <f t="shared" si="0"/>
        <v>1.3</v>
      </c>
      <c r="L35" s="1">
        <v>0.12</v>
      </c>
      <c r="M35" s="1">
        <f>3.9*L35*(SUM(P$32:P$36)/SUM(P$15:P$36))</f>
        <v>9.3864406779661014E-2</v>
      </c>
      <c r="P35">
        <v>1.7</v>
      </c>
      <c r="Q35">
        <v>1.3</v>
      </c>
      <c r="R35" s="1">
        <f>P35/(SUM(P$32:P$36))</f>
        <v>0.11971830985915494</v>
      </c>
      <c r="S35" s="26">
        <v>1.7</v>
      </c>
      <c r="T35" s="26">
        <v>1.3</v>
      </c>
      <c r="U35" s="1">
        <v>0.12</v>
      </c>
    </row>
    <row r="36" spans="1:21" x14ac:dyDescent="0.25">
      <c r="A36">
        <v>2</v>
      </c>
      <c r="B36">
        <v>17</v>
      </c>
      <c r="C36">
        <v>6</v>
      </c>
      <c r="D36">
        <v>5</v>
      </c>
      <c r="E36">
        <v>35</v>
      </c>
      <c r="F36" t="s">
        <v>254</v>
      </c>
      <c r="G36">
        <v>1005</v>
      </c>
      <c r="H36" t="s">
        <v>100</v>
      </c>
      <c r="J36" s="3">
        <f t="shared" si="3"/>
        <v>3.1</v>
      </c>
      <c r="K36" s="3">
        <f t="shared" si="0"/>
        <v>2.2999999999999998</v>
      </c>
      <c r="L36" s="5">
        <v>0.22</v>
      </c>
      <c r="M36" s="5">
        <f>3.9*L36*(SUM(P$32:P$36)/SUM(P$15:P$36))</f>
        <v>0.17208474576271188</v>
      </c>
      <c r="N36" s="5"/>
      <c r="O36" s="3"/>
      <c r="P36" s="3">
        <v>3.1</v>
      </c>
      <c r="Q36" s="3">
        <v>2.2999999999999998</v>
      </c>
      <c r="R36" s="5">
        <f>P36/(SUM(P$32:P$36))</f>
        <v>0.21830985915492959</v>
      </c>
      <c r="S36" s="24">
        <v>3.1</v>
      </c>
      <c r="T36" s="24">
        <v>2.2999999999999998</v>
      </c>
      <c r="U36" s="5">
        <v>0.22</v>
      </c>
    </row>
    <row r="37" spans="1:21" x14ac:dyDescent="0.25">
      <c r="A37">
        <v>2</v>
      </c>
      <c r="B37">
        <v>17</v>
      </c>
      <c r="C37">
        <v>7</v>
      </c>
      <c r="D37">
        <v>1</v>
      </c>
      <c r="E37">
        <v>36</v>
      </c>
      <c r="F37">
        <v>1709504</v>
      </c>
      <c r="H37" t="s">
        <v>18</v>
      </c>
      <c r="J37">
        <f t="shared" si="3"/>
        <v>0.1</v>
      </c>
      <c r="K37">
        <f t="shared" si="0"/>
        <v>0.1</v>
      </c>
      <c r="L37" s="1">
        <v>0.01</v>
      </c>
      <c r="M37" s="1">
        <f>3*L37*(SUM(P$37:P$40)/SUM(P$37:P$44))</f>
        <v>2.2070844686648505E-2</v>
      </c>
      <c r="P37">
        <v>0.1</v>
      </c>
      <c r="Q37">
        <v>0.1</v>
      </c>
      <c r="R37" s="1">
        <f>P37/(SUM(P$37:P$40))</f>
        <v>3.7037037037037034E-3</v>
      </c>
      <c r="S37" s="26">
        <v>0.1</v>
      </c>
      <c r="T37" s="26">
        <v>0.1</v>
      </c>
      <c r="U37">
        <v>0.01</v>
      </c>
    </row>
    <row r="38" spans="1:21" x14ac:dyDescent="0.25">
      <c r="A38">
        <v>2</v>
      </c>
      <c r="B38">
        <v>17</v>
      </c>
      <c r="C38">
        <v>7</v>
      </c>
      <c r="D38">
        <v>2</v>
      </c>
      <c r="E38">
        <v>37</v>
      </c>
      <c r="F38">
        <v>1720017</v>
      </c>
      <c r="G38">
        <v>913</v>
      </c>
      <c r="H38" t="s">
        <v>59</v>
      </c>
      <c r="J38">
        <f t="shared" si="3"/>
        <v>16.3</v>
      </c>
      <c r="K38">
        <f t="shared" si="0"/>
        <v>12</v>
      </c>
      <c r="L38" s="1">
        <v>0.6</v>
      </c>
      <c r="M38" s="1">
        <f>3*L38*(SUM(P$37:P$40)/SUM(P$37:P$44))</f>
        <v>1.3242506811989101</v>
      </c>
      <c r="P38">
        <v>16.3</v>
      </c>
      <c r="Q38">
        <v>12</v>
      </c>
      <c r="R38" s="1">
        <f>P38/(SUM(P$37:P$40))</f>
        <v>0.60370370370370363</v>
      </c>
      <c r="S38" s="26">
        <v>16.3</v>
      </c>
      <c r="T38" s="26">
        <v>12</v>
      </c>
      <c r="U38" s="1">
        <v>0.6</v>
      </c>
    </row>
    <row r="39" spans="1:21" x14ac:dyDescent="0.25">
      <c r="A39">
        <v>2</v>
      </c>
      <c r="B39">
        <v>17</v>
      </c>
      <c r="C39">
        <v>7</v>
      </c>
      <c r="D39">
        <v>3</v>
      </c>
      <c r="E39">
        <v>38</v>
      </c>
      <c r="F39">
        <v>1700556</v>
      </c>
      <c r="H39" t="s">
        <v>60</v>
      </c>
      <c r="J39">
        <f t="shared" si="3"/>
        <v>1.6</v>
      </c>
      <c r="K39">
        <f t="shared" si="0"/>
        <v>1.2</v>
      </c>
      <c r="L39" s="1">
        <v>0.06</v>
      </c>
      <c r="M39" s="1">
        <f>3*L39*(SUM(P$37:P$40)/SUM(P$37:P$44))</f>
        <v>0.13242506811989102</v>
      </c>
      <c r="P39">
        <v>1.6</v>
      </c>
      <c r="Q39">
        <v>1.2</v>
      </c>
      <c r="R39" s="1">
        <f>P39/(SUM(P$37:P$40))</f>
        <v>5.9259259259259255E-2</v>
      </c>
      <c r="S39" s="26">
        <v>1.6</v>
      </c>
      <c r="T39" s="26">
        <v>1.2</v>
      </c>
      <c r="U39" s="1">
        <v>0.06</v>
      </c>
    </row>
    <row r="40" spans="1:21" x14ac:dyDescent="0.25">
      <c r="A40">
        <v>2</v>
      </c>
      <c r="B40">
        <v>17</v>
      </c>
      <c r="C40">
        <v>7</v>
      </c>
      <c r="D40">
        <v>4</v>
      </c>
      <c r="E40">
        <v>39</v>
      </c>
      <c r="F40">
        <v>1709514</v>
      </c>
      <c r="G40">
        <v>1010</v>
      </c>
      <c r="H40" t="s">
        <v>61</v>
      </c>
      <c r="J40" s="3">
        <f t="shared" si="3"/>
        <v>9</v>
      </c>
      <c r="K40" s="3">
        <f t="shared" si="0"/>
        <v>6.7</v>
      </c>
      <c r="L40" s="5">
        <v>0.33</v>
      </c>
      <c r="M40" s="5">
        <f>3*L40*(SUM(P$37:P$40)/SUM(P$37:P$44))</f>
        <v>0.72833787465940059</v>
      </c>
      <c r="N40" s="5"/>
      <c r="O40" s="3"/>
      <c r="P40" s="3">
        <v>9</v>
      </c>
      <c r="Q40" s="3">
        <v>6.7</v>
      </c>
      <c r="R40" s="5">
        <f>P40/(SUM(P$37:P$40))</f>
        <v>0.33333333333333331</v>
      </c>
      <c r="S40" s="24">
        <v>9</v>
      </c>
      <c r="T40" s="24">
        <v>6.7</v>
      </c>
      <c r="U40" s="5">
        <v>0.33</v>
      </c>
    </row>
    <row r="41" spans="1:21" x14ac:dyDescent="0.25">
      <c r="A41">
        <v>2</v>
      </c>
      <c r="B41">
        <v>17</v>
      </c>
      <c r="C41">
        <v>8</v>
      </c>
      <c r="D41">
        <v>1</v>
      </c>
      <c r="E41">
        <v>40</v>
      </c>
      <c r="F41">
        <v>1709505</v>
      </c>
      <c r="H41" t="s">
        <v>19</v>
      </c>
      <c r="J41">
        <f t="shared" si="3"/>
        <v>3.7</v>
      </c>
      <c r="K41">
        <f t="shared" si="0"/>
        <v>2.7</v>
      </c>
      <c r="L41" s="1">
        <v>0.55000000000000004</v>
      </c>
      <c r="M41" s="1">
        <f>3*L41*(SUM(P$41:P$44)/SUM(P$37:P$44))</f>
        <v>0.4361035422343324</v>
      </c>
      <c r="P41">
        <v>3.7</v>
      </c>
      <c r="Q41">
        <v>2.7</v>
      </c>
      <c r="R41" s="1">
        <f>P41/(SUM(P$41:P$44))</f>
        <v>0.3814432989690722</v>
      </c>
      <c r="S41" s="26">
        <v>3.7</v>
      </c>
      <c r="T41" s="26">
        <v>2.7</v>
      </c>
      <c r="U41" s="1">
        <v>0.55000000000000004</v>
      </c>
    </row>
    <row r="42" spans="1:21" x14ac:dyDescent="0.25">
      <c r="A42">
        <v>2</v>
      </c>
      <c r="B42">
        <v>17</v>
      </c>
      <c r="C42">
        <v>8</v>
      </c>
      <c r="D42">
        <v>2</v>
      </c>
      <c r="E42">
        <v>41</v>
      </c>
      <c r="F42">
        <v>1709518</v>
      </c>
      <c r="G42">
        <v>1011</v>
      </c>
      <c r="H42" t="s">
        <v>64</v>
      </c>
      <c r="J42">
        <f t="shared" si="3"/>
        <v>3</v>
      </c>
      <c r="K42">
        <f t="shared" si="0"/>
        <v>2.2000000000000002</v>
      </c>
      <c r="L42" s="1">
        <v>0.45</v>
      </c>
      <c r="M42" s="1">
        <f>3*L42*(SUM(P$41:P$44)/SUM(P$37:P$44))</f>
        <v>0.35681198910081741</v>
      </c>
      <c r="P42">
        <v>3</v>
      </c>
      <c r="Q42">
        <v>2.2000000000000002</v>
      </c>
      <c r="R42" s="1">
        <f>P42/(SUM(P$41:P$44))</f>
        <v>0.30927835051546393</v>
      </c>
      <c r="S42" s="26">
        <v>3</v>
      </c>
      <c r="T42" s="26">
        <v>2.2000000000000002</v>
      </c>
      <c r="U42" s="1">
        <v>0.45</v>
      </c>
    </row>
    <row r="43" spans="1:21" x14ac:dyDescent="0.25">
      <c r="A43">
        <v>2</v>
      </c>
      <c r="B43">
        <v>17</v>
      </c>
      <c r="C43">
        <v>8</v>
      </c>
      <c r="D43">
        <v>3</v>
      </c>
      <c r="E43">
        <v>42</v>
      </c>
      <c r="F43" t="s">
        <v>255</v>
      </c>
      <c r="G43">
        <v>1013</v>
      </c>
      <c r="H43" t="s">
        <v>247</v>
      </c>
      <c r="J43">
        <f t="shared" si="3"/>
        <v>3</v>
      </c>
      <c r="K43">
        <f t="shared" si="0"/>
        <v>2.2000000000000002</v>
      </c>
      <c r="L43" s="1">
        <v>0.45</v>
      </c>
      <c r="M43" s="1">
        <f>3*L43*(SUM(P$41:P$44)/SUM(P$37:P$44))</f>
        <v>0.35681198910081741</v>
      </c>
      <c r="P43">
        <v>3</v>
      </c>
      <c r="Q43">
        <v>2.2000000000000002</v>
      </c>
      <c r="R43" s="1">
        <f>P43/(SUM(P$41:P$44))</f>
        <v>0.30927835051546393</v>
      </c>
      <c r="S43" s="26">
        <v>3</v>
      </c>
      <c r="T43" s="26">
        <v>2.2000000000000002</v>
      </c>
      <c r="U43" s="1">
        <v>0.45</v>
      </c>
    </row>
    <row r="44" spans="1:21" ht="15.75" thickBot="1" x14ac:dyDescent="0.3">
      <c r="F44">
        <v>6703512</v>
      </c>
      <c r="H44" t="s">
        <v>160</v>
      </c>
      <c r="J44" s="6"/>
      <c r="K44" s="6"/>
      <c r="L44" s="21"/>
      <c r="M44" s="21"/>
      <c r="N44" s="21"/>
      <c r="O44" s="6"/>
      <c r="P44" s="6"/>
      <c r="Q44" s="6"/>
      <c r="R44" s="21"/>
      <c r="S44" s="27"/>
      <c r="T44" s="27"/>
      <c r="U44" s="21"/>
    </row>
    <row r="45" spans="1:21" x14ac:dyDescent="0.25">
      <c r="A45">
        <v>2</v>
      </c>
      <c r="B45">
        <v>171</v>
      </c>
      <c r="C45">
        <v>1</v>
      </c>
      <c r="D45">
        <v>1</v>
      </c>
      <c r="E45">
        <v>1</v>
      </c>
      <c r="F45">
        <v>1700800</v>
      </c>
      <c r="H45" t="s">
        <v>192</v>
      </c>
      <c r="J45" s="49">
        <f>O45-O46</f>
        <v>7.71</v>
      </c>
      <c r="K45" s="49">
        <f>J45</f>
        <v>7.71</v>
      </c>
      <c r="L45" s="51">
        <f>ROUND(J45/(J45+J46),2)</f>
        <v>0.73</v>
      </c>
      <c r="M45" s="53">
        <f>0.1184409*J45</f>
        <v>0.91317933900000003</v>
      </c>
      <c r="N45" s="51">
        <f>1.25*M45</f>
        <v>1.14147417375</v>
      </c>
      <c r="O45" s="49">
        <v>10.58</v>
      </c>
      <c r="P45" s="49"/>
      <c r="Q45" s="49"/>
      <c r="R45" s="51"/>
      <c r="S45" s="52"/>
      <c r="T45" s="52"/>
      <c r="U45" s="51"/>
    </row>
    <row r="46" spans="1:21" x14ac:dyDescent="0.25">
      <c r="A46">
        <v>2</v>
      </c>
      <c r="B46">
        <v>171</v>
      </c>
      <c r="C46">
        <v>2</v>
      </c>
      <c r="D46">
        <v>1</v>
      </c>
      <c r="E46">
        <v>2</v>
      </c>
      <c r="F46">
        <v>1709520</v>
      </c>
      <c r="H46" t="s">
        <v>193</v>
      </c>
      <c r="J46" s="15">
        <v>2.87</v>
      </c>
      <c r="K46" s="15">
        <f>J46</f>
        <v>2.87</v>
      </c>
      <c r="L46" s="17">
        <f>ROUND(J46/(J45+J46),2)</f>
        <v>0.27</v>
      </c>
      <c r="M46" s="32">
        <f>0.1184409*J46</f>
        <v>0.33992538300000003</v>
      </c>
      <c r="N46" s="17">
        <f>1.25*M46</f>
        <v>0.42490672875000002</v>
      </c>
      <c r="O46" s="15">
        <v>2.87</v>
      </c>
      <c r="P46" s="15"/>
      <c r="Q46" s="15"/>
      <c r="R46" s="17"/>
      <c r="S46" s="25"/>
      <c r="T46" s="25"/>
      <c r="U46" s="17"/>
    </row>
    <row r="47" spans="1:21" ht="15.75" thickBot="1" x14ac:dyDescent="0.3">
      <c r="F47" t="s">
        <v>253</v>
      </c>
      <c r="G47">
        <v>1007</v>
      </c>
      <c r="H47" t="s">
        <v>194</v>
      </c>
      <c r="J47" s="6"/>
      <c r="K47" s="6"/>
      <c r="L47" s="21"/>
      <c r="M47" s="21"/>
      <c r="N47" s="21"/>
      <c r="O47" s="6"/>
      <c r="P47" s="6"/>
      <c r="Q47" s="6"/>
      <c r="R47" s="21"/>
      <c r="S47" s="27"/>
      <c r="T47" s="27"/>
      <c r="U47" s="21"/>
    </row>
    <row r="48" spans="1:21" x14ac:dyDescent="0.25">
      <c r="A48">
        <v>2</v>
      </c>
      <c r="B48">
        <v>172</v>
      </c>
      <c r="C48">
        <v>1</v>
      </c>
      <c r="D48">
        <v>1</v>
      </c>
      <c r="E48">
        <v>1</v>
      </c>
      <c r="F48">
        <v>1700801</v>
      </c>
      <c r="H48" t="s">
        <v>99</v>
      </c>
      <c r="J48" s="49">
        <f>P48</f>
        <v>3.97</v>
      </c>
      <c r="K48" s="49">
        <f>J48</f>
        <v>3.97</v>
      </c>
      <c r="L48" s="51">
        <f>ROUND(J48/(J48+J49+J50),2)</f>
        <v>0.64</v>
      </c>
      <c r="M48" s="51">
        <f>0.95*L48</f>
        <v>0.60799999999999998</v>
      </c>
      <c r="N48" s="51"/>
      <c r="O48" s="49">
        <v>6.2</v>
      </c>
      <c r="P48" s="49">
        <f>O48-O49</f>
        <v>3.97</v>
      </c>
      <c r="Q48" s="49" t="e">
        <f>#REF!</f>
        <v>#REF!</v>
      </c>
      <c r="R48" s="51">
        <f>P48/(SUM(P$48:P$48))</f>
        <v>1</v>
      </c>
      <c r="S48" s="52"/>
      <c r="T48" s="52"/>
      <c r="U48" s="51"/>
    </row>
    <row r="49" spans="1:21" x14ac:dyDescent="0.25">
      <c r="A49">
        <v>2</v>
      </c>
      <c r="B49">
        <v>172</v>
      </c>
      <c r="C49">
        <v>2</v>
      </c>
      <c r="D49">
        <v>1</v>
      </c>
      <c r="E49">
        <v>2</v>
      </c>
      <c r="F49">
        <v>1709510</v>
      </c>
      <c r="H49" t="s">
        <v>101</v>
      </c>
      <c r="J49" s="15">
        <f>P49</f>
        <v>0.8899999999999999</v>
      </c>
      <c r="K49" s="15">
        <f>J49</f>
        <v>0.8899999999999999</v>
      </c>
      <c r="L49" s="17">
        <f>ROUND(J49/(J48+J49+J50),2)</f>
        <v>0.14000000000000001</v>
      </c>
      <c r="M49" s="17">
        <f>0.95*L49</f>
        <v>0.13300000000000001</v>
      </c>
      <c r="N49" s="17"/>
      <c r="O49" s="15">
        <v>2.23</v>
      </c>
      <c r="P49" s="15">
        <f>O49-O50</f>
        <v>0.8899999999999999</v>
      </c>
      <c r="Q49" s="15" t="e">
        <f>#REF!</f>
        <v>#REF!</v>
      </c>
      <c r="R49" s="17">
        <f>P49/(SUM(P$49:P$50))</f>
        <v>0.3991031390134529</v>
      </c>
      <c r="S49" s="25"/>
      <c r="T49" s="25"/>
      <c r="U49" s="17"/>
    </row>
    <row r="50" spans="1:21" x14ac:dyDescent="0.25">
      <c r="A50">
        <v>2</v>
      </c>
      <c r="B50">
        <v>172</v>
      </c>
      <c r="C50">
        <v>2</v>
      </c>
      <c r="D50">
        <v>2</v>
      </c>
      <c r="E50">
        <v>3</v>
      </c>
      <c r="F50">
        <v>1700577</v>
      </c>
      <c r="H50" t="s">
        <v>102</v>
      </c>
      <c r="J50" s="6">
        <f>P50</f>
        <v>1.34</v>
      </c>
      <c r="K50" s="6">
        <f>J50</f>
        <v>1.34</v>
      </c>
      <c r="L50" s="21">
        <f>ROUND(J50/(J48+J49+J50),2)</f>
        <v>0.22</v>
      </c>
      <c r="M50" s="21">
        <f>0.95*L50</f>
        <v>0.20899999999999999</v>
      </c>
      <c r="N50" s="21"/>
      <c r="O50" s="6">
        <v>1.34</v>
      </c>
      <c r="P50" s="6">
        <f>O50</f>
        <v>1.34</v>
      </c>
      <c r="Q50" s="6" t="e">
        <f>#REF!</f>
        <v>#REF!</v>
      </c>
      <c r="R50" s="21">
        <f>P50/(SUM(P$49:P$50))</f>
        <v>0.60089686098654715</v>
      </c>
      <c r="S50" s="27"/>
      <c r="T50" s="27"/>
      <c r="U50" s="21"/>
    </row>
    <row r="51" spans="1:21" ht="15.75" thickBot="1" x14ac:dyDescent="0.3">
      <c r="F51" t="s">
        <v>254</v>
      </c>
      <c r="G51">
        <v>1005</v>
      </c>
      <c r="H51" t="s">
        <v>201</v>
      </c>
      <c r="J51" s="6"/>
      <c r="K51" s="6"/>
      <c r="L51" s="21"/>
      <c r="M51" s="21"/>
      <c r="N51" s="21"/>
      <c r="O51" s="6"/>
      <c r="P51" s="6"/>
      <c r="Q51" s="6"/>
      <c r="R51" s="21"/>
      <c r="S51" s="27"/>
      <c r="T51" s="27"/>
      <c r="U51" s="21"/>
    </row>
    <row r="52" spans="1:21" x14ac:dyDescent="0.25">
      <c r="A52">
        <v>2</v>
      </c>
      <c r="B52">
        <v>112</v>
      </c>
      <c r="C52">
        <v>1</v>
      </c>
      <c r="D52">
        <v>1</v>
      </c>
      <c r="E52">
        <v>1</v>
      </c>
      <c r="F52">
        <v>1103503</v>
      </c>
      <c r="H52" t="s">
        <v>107</v>
      </c>
      <c r="J52" s="41">
        <f>P52</f>
        <v>1.71</v>
      </c>
      <c r="K52" s="41">
        <f>J52</f>
        <v>1.71</v>
      </c>
      <c r="L52" s="44">
        <v>1</v>
      </c>
      <c r="M52" s="44">
        <f>1*L52*(SUM(P$2:P$3)/SUM(P$2:P$14))</f>
        <v>1.3043478260869568E-2</v>
      </c>
      <c r="N52" s="44"/>
      <c r="O52" s="41">
        <v>1.71</v>
      </c>
      <c r="P52" s="41">
        <f>O52</f>
        <v>1.71</v>
      </c>
      <c r="Q52" s="41"/>
      <c r="R52" s="44"/>
      <c r="S52" s="43"/>
      <c r="T52" s="43"/>
      <c r="U52" s="44"/>
    </row>
    <row r="53" spans="1:21" x14ac:dyDescent="0.25">
      <c r="A53">
        <v>2</v>
      </c>
      <c r="B53">
        <v>112</v>
      </c>
      <c r="C53">
        <v>1</v>
      </c>
      <c r="D53">
        <v>2</v>
      </c>
      <c r="E53">
        <v>2</v>
      </c>
      <c r="F53">
        <v>1109518</v>
      </c>
      <c r="H53" t="s">
        <v>109</v>
      </c>
      <c r="J53" s="6">
        <f t="shared" ref="J53:J62" si="9">P53</f>
        <v>1.71</v>
      </c>
      <c r="K53" s="6">
        <f>J53</f>
        <v>1.71</v>
      </c>
      <c r="L53" s="21">
        <v>1</v>
      </c>
      <c r="M53" s="21">
        <f>1*L53*(SUM(P$2:P$3)/SUM(P$2:P$14))</f>
        <v>1.3043478260869568E-2</v>
      </c>
      <c r="N53" s="21"/>
      <c r="O53" s="6">
        <v>1.71</v>
      </c>
      <c r="P53" s="6">
        <f>O53</f>
        <v>1.71</v>
      </c>
      <c r="Q53" s="6"/>
      <c r="R53" s="21"/>
      <c r="S53" s="27"/>
      <c r="T53" s="27"/>
      <c r="U53" s="21"/>
    </row>
    <row r="54" spans="1:21" ht="15.75" thickBot="1" x14ac:dyDescent="0.3">
      <c r="F54">
        <v>1120002</v>
      </c>
      <c r="G54">
        <v>1418</v>
      </c>
      <c r="H54" t="s">
        <v>130</v>
      </c>
      <c r="J54" s="33"/>
      <c r="K54" s="33"/>
      <c r="L54" s="38"/>
      <c r="M54" s="36"/>
      <c r="N54" s="36"/>
      <c r="O54" s="38"/>
      <c r="P54" s="38"/>
      <c r="Q54" s="38"/>
      <c r="R54" s="36"/>
      <c r="S54" s="46"/>
      <c r="T54" s="46"/>
      <c r="U54" s="38"/>
    </row>
    <row r="55" spans="1:21" x14ac:dyDescent="0.25">
      <c r="A55">
        <v>2</v>
      </c>
      <c r="B55">
        <v>10</v>
      </c>
      <c r="C55">
        <v>1</v>
      </c>
      <c r="D55">
        <v>1</v>
      </c>
      <c r="E55">
        <v>1</v>
      </c>
      <c r="F55">
        <v>1003657</v>
      </c>
      <c r="H55" t="s">
        <v>111</v>
      </c>
      <c r="J55" s="6">
        <v>50</v>
      </c>
      <c r="K55" s="6">
        <v>50</v>
      </c>
      <c r="L55" s="21">
        <v>0.67</v>
      </c>
      <c r="M55" s="21">
        <v>1</v>
      </c>
      <c r="N55" s="21"/>
      <c r="O55" s="6"/>
      <c r="P55" s="6"/>
      <c r="Q55" s="6"/>
      <c r="R55" s="21"/>
      <c r="S55" s="27"/>
      <c r="T55" s="27"/>
      <c r="U55" s="21"/>
    </row>
    <row r="56" spans="1:21" x14ac:dyDescent="0.25">
      <c r="A56">
        <v>2</v>
      </c>
      <c r="B56">
        <v>10</v>
      </c>
      <c r="C56">
        <v>1</v>
      </c>
      <c r="D56">
        <v>2</v>
      </c>
      <c r="E56">
        <v>2</v>
      </c>
      <c r="F56">
        <v>1009999</v>
      </c>
      <c r="H56" t="s">
        <v>112</v>
      </c>
      <c r="J56" s="6">
        <v>50</v>
      </c>
      <c r="K56" s="6">
        <v>50</v>
      </c>
      <c r="L56" s="21">
        <v>0.33</v>
      </c>
      <c r="M56" s="21">
        <v>1</v>
      </c>
      <c r="N56" s="21"/>
      <c r="O56" s="6"/>
      <c r="P56" s="6"/>
      <c r="Q56" s="6"/>
      <c r="R56" s="21"/>
      <c r="S56" s="27"/>
      <c r="T56" s="27"/>
      <c r="U56" s="21"/>
    </row>
    <row r="57" spans="1:21" x14ac:dyDescent="0.25">
      <c r="A57">
        <v>2</v>
      </c>
      <c r="B57">
        <v>10</v>
      </c>
      <c r="C57">
        <v>1</v>
      </c>
      <c r="D57">
        <v>3</v>
      </c>
      <c r="E57">
        <v>3</v>
      </c>
      <c r="F57">
        <v>1009510</v>
      </c>
      <c r="H57" t="s">
        <v>113</v>
      </c>
      <c r="J57" s="6">
        <v>50</v>
      </c>
      <c r="K57" s="6">
        <v>50</v>
      </c>
      <c r="L57" s="21">
        <v>0.33</v>
      </c>
      <c r="M57" s="21">
        <v>1</v>
      </c>
      <c r="N57" s="21"/>
      <c r="O57" s="6"/>
      <c r="P57" s="6"/>
      <c r="Q57" s="6"/>
      <c r="R57" s="21"/>
      <c r="S57" s="27"/>
      <c r="T57" s="27"/>
      <c r="U57" s="21"/>
    </row>
    <row r="58" spans="1:21" ht="15.75" thickBot="1" x14ac:dyDescent="0.3">
      <c r="F58">
        <v>1400800</v>
      </c>
      <c r="G58">
        <v>952</v>
      </c>
      <c r="H58" t="s">
        <v>123</v>
      </c>
      <c r="J58" s="34"/>
      <c r="K58" s="34"/>
      <c r="L58" s="36"/>
      <c r="M58" s="37"/>
      <c r="N58" s="37"/>
      <c r="O58" s="33">
        <v>361.99</v>
      </c>
      <c r="P58" s="38">
        <v>0</v>
      </c>
      <c r="Q58" s="33"/>
      <c r="R58" s="39"/>
      <c r="S58" s="35"/>
      <c r="T58" s="35"/>
      <c r="U58" s="33"/>
    </row>
    <row r="59" spans="1:21" x14ac:dyDescent="0.25">
      <c r="A59">
        <v>2</v>
      </c>
      <c r="B59">
        <v>11</v>
      </c>
      <c r="C59">
        <v>1</v>
      </c>
      <c r="D59">
        <v>1</v>
      </c>
      <c r="E59">
        <v>1</v>
      </c>
      <c r="F59">
        <v>1109504</v>
      </c>
      <c r="H59" t="s">
        <v>114</v>
      </c>
      <c r="J59" s="7">
        <f t="shared" si="9"/>
        <v>14.889999999999986</v>
      </c>
      <c r="K59" s="7">
        <f>J59</f>
        <v>14.889999999999986</v>
      </c>
      <c r="L59" s="21">
        <f>R59</f>
        <v>0.23552673204682031</v>
      </c>
      <c r="M59" s="21">
        <v>1</v>
      </c>
      <c r="N59" s="21"/>
      <c r="O59" s="6">
        <v>347.1</v>
      </c>
      <c r="P59" s="6">
        <f>O58-O59</f>
        <v>14.889999999999986</v>
      </c>
      <c r="Q59" s="6"/>
      <c r="R59" s="21">
        <f>P59/(SUM(P$58:P$60))</f>
        <v>0.23552673204682031</v>
      </c>
      <c r="S59" s="27"/>
      <c r="T59" s="27"/>
      <c r="U59" s="6"/>
    </row>
    <row r="60" spans="1:21" x14ac:dyDescent="0.25">
      <c r="A60">
        <v>2</v>
      </c>
      <c r="B60">
        <v>11</v>
      </c>
      <c r="C60">
        <v>1</v>
      </c>
      <c r="D60">
        <v>2</v>
      </c>
      <c r="E60">
        <v>2</v>
      </c>
      <c r="F60">
        <v>1120002</v>
      </c>
      <c r="G60">
        <v>1418</v>
      </c>
      <c r="H60" t="s">
        <v>109</v>
      </c>
      <c r="J60" s="7">
        <f t="shared" si="9"/>
        <v>48.330000000000041</v>
      </c>
      <c r="K60" s="7">
        <f>J60</f>
        <v>48.330000000000041</v>
      </c>
      <c r="L60" s="21">
        <f>R60</f>
        <v>0.76447326795317971</v>
      </c>
      <c r="M60" s="21">
        <v>1</v>
      </c>
      <c r="N60" s="21"/>
      <c r="O60" s="6">
        <v>298.77</v>
      </c>
      <c r="P60" s="6">
        <f>O59-O60</f>
        <v>48.330000000000041</v>
      </c>
      <c r="Q60" s="6"/>
      <c r="R60" s="21">
        <f>P60/(SUM(P$58:P$60))</f>
        <v>0.76447326795317971</v>
      </c>
      <c r="S60" s="27"/>
      <c r="T60" s="27"/>
      <c r="U60" s="6"/>
    </row>
    <row r="61" spans="1:21" x14ac:dyDescent="0.25">
      <c r="A61">
        <v>2</v>
      </c>
      <c r="B61">
        <v>11</v>
      </c>
      <c r="C61">
        <v>2</v>
      </c>
      <c r="D61">
        <v>1</v>
      </c>
      <c r="E61">
        <v>3</v>
      </c>
      <c r="F61">
        <v>1109501</v>
      </c>
      <c r="H61" t="s">
        <v>116</v>
      </c>
      <c r="J61" s="7">
        <f t="shared" si="9"/>
        <v>73.72999999999999</v>
      </c>
      <c r="K61" s="7">
        <f>J61</f>
        <v>73.72999999999999</v>
      </c>
      <c r="L61" s="21">
        <v>1</v>
      </c>
      <c r="M61" s="21">
        <v>1</v>
      </c>
      <c r="N61" s="21"/>
      <c r="O61" s="6">
        <v>225.04</v>
      </c>
      <c r="P61" s="6">
        <f>O60-O61</f>
        <v>73.72999999999999</v>
      </c>
      <c r="Q61" s="6"/>
      <c r="R61" s="21"/>
      <c r="S61" s="27"/>
      <c r="T61" s="27"/>
      <c r="U61" s="6"/>
    </row>
    <row r="62" spans="1:21" x14ac:dyDescent="0.25">
      <c r="A62">
        <v>2</v>
      </c>
      <c r="B62">
        <v>11</v>
      </c>
      <c r="C62">
        <v>3</v>
      </c>
      <c r="D62">
        <v>1</v>
      </c>
      <c r="E62">
        <v>4</v>
      </c>
      <c r="F62">
        <v>1209502</v>
      </c>
      <c r="H62" t="s">
        <v>119</v>
      </c>
      <c r="J62" s="7">
        <f t="shared" si="9"/>
        <v>21.97</v>
      </c>
      <c r="K62" s="7">
        <f>J62</f>
        <v>21.97</v>
      </c>
      <c r="L62" s="21">
        <v>1</v>
      </c>
      <c r="M62" s="21">
        <v>1</v>
      </c>
      <c r="N62" s="21"/>
      <c r="O62" s="6">
        <v>203.07</v>
      </c>
      <c r="P62" s="6">
        <f>O61-O62</f>
        <v>21.97</v>
      </c>
      <c r="Q62" s="6"/>
      <c r="R62" s="21"/>
      <c r="S62" s="27"/>
      <c r="T62" s="27"/>
      <c r="U62" s="6"/>
    </row>
    <row r="63" spans="1:21" ht="15.75" thickBot="1" x14ac:dyDescent="0.3">
      <c r="F63">
        <v>1403526</v>
      </c>
      <c r="H63" t="s">
        <v>92</v>
      </c>
      <c r="J63" s="33"/>
      <c r="K63" s="33"/>
      <c r="L63" s="33"/>
      <c r="M63" s="37"/>
      <c r="N63" s="37"/>
      <c r="O63" s="33"/>
      <c r="P63" s="33"/>
      <c r="Q63" s="33"/>
      <c r="R63" s="37"/>
      <c r="S63" s="35"/>
      <c r="T63" s="35"/>
      <c r="U63" s="33"/>
    </row>
    <row r="64" spans="1:2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H64" t="s">
        <v>160</v>
      </c>
      <c r="J64" s="14">
        <v>0.1</v>
      </c>
      <c r="K64" s="14">
        <v>0.1</v>
      </c>
      <c r="L64" s="1">
        <v>1</v>
      </c>
      <c r="M64" s="2">
        <v>0</v>
      </c>
      <c r="N64" s="2"/>
    </row>
    <row r="65" spans="1:21" x14ac:dyDescent="0.25">
      <c r="A65">
        <v>2</v>
      </c>
      <c r="B65">
        <v>67</v>
      </c>
      <c r="C65">
        <v>2</v>
      </c>
      <c r="D65">
        <v>1</v>
      </c>
      <c r="E65">
        <v>2</v>
      </c>
      <c r="F65">
        <v>6709501</v>
      </c>
      <c r="H65" t="s">
        <v>159</v>
      </c>
      <c r="J65" s="16">
        <v>5.9</v>
      </c>
      <c r="K65" s="15">
        <v>4.5999999999999996</v>
      </c>
      <c r="L65" s="15">
        <v>0.26</v>
      </c>
      <c r="M65" s="15">
        <v>1</v>
      </c>
      <c r="N65" s="15"/>
      <c r="O65" s="15"/>
      <c r="P65" s="15"/>
      <c r="Q65" s="15"/>
      <c r="R65" s="17"/>
      <c r="S65" s="17"/>
      <c r="T65" s="25"/>
      <c r="U65" s="15"/>
    </row>
    <row r="66" spans="1:21" x14ac:dyDescent="0.25">
      <c r="A66">
        <v>2</v>
      </c>
      <c r="B66">
        <v>67</v>
      </c>
      <c r="C66">
        <v>2</v>
      </c>
      <c r="D66">
        <v>2</v>
      </c>
      <c r="E66">
        <v>3</v>
      </c>
      <c r="F66">
        <v>6700610</v>
      </c>
      <c r="H66" t="s">
        <v>149</v>
      </c>
      <c r="J66" s="6">
        <v>7.4</v>
      </c>
      <c r="K66" s="6">
        <v>5.6</v>
      </c>
      <c r="L66" s="6">
        <v>0.32</v>
      </c>
      <c r="M66" s="6">
        <v>1</v>
      </c>
      <c r="N66" s="6"/>
      <c r="O66" s="6"/>
      <c r="P66" s="6"/>
      <c r="Q66" s="6"/>
      <c r="R66" s="21"/>
      <c r="S66" s="21"/>
      <c r="T66" s="27"/>
      <c r="U66" s="6"/>
    </row>
    <row r="67" spans="1:21" x14ac:dyDescent="0.25">
      <c r="A67">
        <v>2</v>
      </c>
      <c r="B67">
        <v>67</v>
      </c>
      <c r="C67">
        <v>2</v>
      </c>
      <c r="D67">
        <v>3</v>
      </c>
      <c r="E67">
        <v>4</v>
      </c>
      <c r="F67">
        <v>6700613</v>
      </c>
      <c r="H67" t="s">
        <v>148</v>
      </c>
      <c r="J67" s="6">
        <v>8.3000000000000007</v>
      </c>
      <c r="K67" s="6">
        <v>6.2</v>
      </c>
      <c r="L67" s="6">
        <v>0.35</v>
      </c>
      <c r="M67" s="6">
        <v>1</v>
      </c>
      <c r="N67" s="6"/>
      <c r="O67" s="6"/>
      <c r="P67" s="6"/>
      <c r="Q67" s="6"/>
      <c r="R67" s="21"/>
      <c r="S67" s="21"/>
      <c r="T67" s="27"/>
      <c r="U67" s="6"/>
    </row>
    <row r="68" spans="1:21" x14ac:dyDescent="0.25">
      <c r="A68">
        <v>2</v>
      </c>
      <c r="B68">
        <v>67</v>
      </c>
      <c r="C68">
        <v>2</v>
      </c>
      <c r="D68">
        <v>4</v>
      </c>
      <c r="E68">
        <v>5</v>
      </c>
      <c r="F68">
        <v>6700607</v>
      </c>
      <c r="H68" t="s">
        <v>150</v>
      </c>
      <c r="J68" s="6" t="e">
        <f>ROUND(P68,1)</f>
        <v>#DIV/0!</v>
      </c>
      <c r="K68" s="6" t="e">
        <f>ROUND(Q68,1)</f>
        <v>#DIV/0!</v>
      </c>
      <c r="L68" s="20" t="e">
        <f>ROUND(R68,2)</f>
        <v>#DIV/0!</v>
      </c>
      <c r="M68" s="6">
        <v>1</v>
      </c>
      <c r="N68" s="6"/>
      <c r="O68" s="6">
        <v>48.6</v>
      </c>
      <c r="P68" s="6" t="e">
        <f t="shared" ref="P68:R69" si="10">($X68-$X69)/($X$68-$X$70)*S$68</f>
        <v>#DIV/0!</v>
      </c>
      <c r="Q68" s="6" t="e">
        <f t="shared" si="10"/>
        <v>#DIV/0!</v>
      </c>
      <c r="R68" s="21" t="e">
        <f t="shared" si="10"/>
        <v>#DIV/0!</v>
      </c>
      <c r="S68" s="6">
        <v>1.7</v>
      </c>
      <c r="T68" s="6">
        <v>1.3</v>
      </c>
      <c r="U68" s="19">
        <v>7.0000000000000007E-2</v>
      </c>
    </row>
    <row r="69" spans="1:21" x14ac:dyDescent="0.25">
      <c r="A69">
        <v>2</v>
      </c>
      <c r="B69">
        <v>67</v>
      </c>
      <c r="C69">
        <v>2</v>
      </c>
      <c r="D69">
        <v>5</v>
      </c>
      <c r="E69">
        <v>6</v>
      </c>
      <c r="F69">
        <v>6700614</v>
      </c>
      <c r="H69" t="s">
        <v>151</v>
      </c>
      <c r="J69" s="3" t="e">
        <f>ROUND(P69,1)</f>
        <v>#DIV/0!</v>
      </c>
      <c r="K69" s="3" t="e">
        <f>ROUND(Q69,1)</f>
        <v>#DIV/0!</v>
      </c>
      <c r="L69" s="5" t="e">
        <f>ROUND(R69,2)</f>
        <v>#DIV/0!</v>
      </c>
      <c r="M69" s="3">
        <v>1</v>
      </c>
      <c r="N69" s="3"/>
      <c r="O69" s="3">
        <v>40.299999999999997</v>
      </c>
      <c r="P69" s="3" t="e">
        <f t="shared" si="10"/>
        <v>#DIV/0!</v>
      </c>
      <c r="Q69" s="3" t="e">
        <f t="shared" si="10"/>
        <v>#DIV/0!</v>
      </c>
      <c r="R69" s="5" t="e">
        <f t="shared" si="10"/>
        <v>#DIV/0!</v>
      </c>
      <c r="S69" s="5"/>
      <c r="T69" s="24"/>
      <c r="U69" s="3"/>
    </row>
    <row r="70" spans="1:21" x14ac:dyDescent="0.25">
      <c r="A70">
        <v>2</v>
      </c>
      <c r="B70">
        <v>67</v>
      </c>
      <c r="C70">
        <v>3</v>
      </c>
      <c r="D70">
        <v>1</v>
      </c>
      <c r="E70">
        <v>7</v>
      </c>
      <c r="F70">
        <v>6709500</v>
      </c>
      <c r="H70" t="s">
        <v>144</v>
      </c>
      <c r="J70">
        <v>3.1</v>
      </c>
      <c r="K70">
        <v>2</v>
      </c>
      <c r="L70" s="19">
        <v>0.13</v>
      </c>
      <c r="M70">
        <v>1</v>
      </c>
      <c r="N70"/>
      <c r="O70">
        <v>38.81</v>
      </c>
      <c r="S70" s="1"/>
    </row>
    <row r="71" spans="1:21" x14ac:dyDescent="0.25">
      <c r="A71">
        <v>2</v>
      </c>
      <c r="B71">
        <v>67</v>
      </c>
      <c r="C71">
        <v>3</v>
      </c>
      <c r="D71">
        <v>2</v>
      </c>
      <c r="E71">
        <v>8</v>
      </c>
      <c r="F71">
        <v>6700612</v>
      </c>
      <c r="H71" t="s">
        <v>152</v>
      </c>
      <c r="J71">
        <v>9.6</v>
      </c>
      <c r="K71">
        <v>6.2</v>
      </c>
      <c r="L71" s="19">
        <v>0.39</v>
      </c>
      <c r="M71">
        <v>1</v>
      </c>
      <c r="N71"/>
      <c r="S71" s="1"/>
    </row>
    <row r="72" spans="1:21" x14ac:dyDescent="0.25">
      <c r="A72">
        <v>2</v>
      </c>
      <c r="B72">
        <v>67</v>
      </c>
      <c r="C72">
        <v>3</v>
      </c>
      <c r="D72">
        <v>3</v>
      </c>
      <c r="E72">
        <v>9</v>
      </c>
      <c r="F72">
        <v>6709502</v>
      </c>
      <c r="G72">
        <v>1020</v>
      </c>
      <c r="H72" t="s">
        <v>145</v>
      </c>
      <c r="J72">
        <v>3.7</v>
      </c>
      <c r="K72">
        <v>2.4</v>
      </c>
      <c r="L72" s="19">
        <v>0.16</v>
      </c>
      <c r="M72">
        <v>1</v>
      </c>
      <c r="N72"/>
      <c r="S72" s="1"/>
    </row>
    <row r="73" spans="1:21" x14ac:dyDescent="0.25">
      <c r="A73">
        <v>2</v>
      </c>
      <c r="B73">
        <v>67</v>
      </c>
      <c r="C73">
        <v>3</v>
      </c>
      <c r="D73">
        <v>4</v>
      </c>
      <c r="E73">
        <v>10</v>
      </c>
      <c r="F73">
        <v>6700617</v>
      </c>
      <c r="H73" t="s">
        <v>153</v>
      </c>
      <c r="J73">
        <v>6.7</v>
      </c>
      <c r="K73">
        <v>4.4000000000000004</v>
      </c>
      <c r="L73" s="19">
        <v>0.26</v>
      </c>
      <c r="M73">
        <v>1</v>
      </c>
      <c r="N73"/>
      <c r="S73" s="1"/>
    </row>
    <row r="74" spans="1:21" x14ac:dyDescent="0.25">
      <c r="A74">
        <v>2</v>
      </c>
      <c r="B74">
        <v>67</v>
      </c>
      <c r="C74">
        <v>3</v>
      </c>
      <c r="D74">
        <v>5</v>
      </c>
      <c r="E74">
        <v>11</v>
      </c>
      <c r="F74">
        <v>6700608</v>
      </c>
      <c r="H74" t="s">
        <v>154</v>
      </c>
      <c r="J74">
        <v>1.5</v>
      </c>
      <c r="K74">
        <v>1</v>
      </c>
      <c r="L74" s="19">
        <v>0.06</v>
      </c>
      <c r="M74">
        <v>1</v>
      </c>
      <c r="N74"/>
      <c r="S74" s="1"/>
    </row>
    <row r="75" spans="1:21" x14ac:dyDescent="0.25">
      <c r="A75">
        <v>2</v>
      </c>
      <c r="B75">
        <v>67</v>
      </c>
      <c r="C75">
        <v>4</v>
      </c>
      <c r="D75">
        <v>1</v>
      </c>
      <c r="E75">
        <v>12</v>
      </c>
      <c r="F75">
        <v>6700904</v>
      </c>
      <c r="H75" t="s">
        <v>146</v>
      </c>
      <c r="J75" s="15">
        <v>7.5</v>
      </c>
      <c r="K75" s="15">
        <v>6</v>
      </c>
      <c r="L75" s="15">
        <v>0.36</v>
      </c>
      <c r="M75" s="15">
        <v>1</v>
      </c>
      <c r="N75" s="15"/>
      <c r="O75" s="15"/>
      <c r="P75" s="15"/>
      <c r="Q75" s="15"/>
      <c r="R75" s="17"/>
      <c r="S75" s="17"/>
      <c r="T75" s="25"/>
      <c r="U75" s="15"/>
    </row>
    <row r="76" spans="1:21" x14ac:dyDescent="0.25">
      <c r="A76">
        <v>2</v>
      </c>
      <c r="B76">
        <v>67</v>
      </c>
      <c r="C76">
        <v>4</v>
      </c>
      <c r="D76">
        <v>2</v>
      </c>
      <c r="E76">
        <v>13</v>
      </c>
      <c r="F76">
        <v>6700616</v>
      </c>
      <c r="H76" t="s">
        <v>155</v>
      </c>
      <c r="J76" s="6">
        <v>9.1</v>
      </c>
      <c r="K76" s="6">
        <v>7.3</v>
      </c>
      <c r="L76" s="19">
        <v>0.43</v>
      </c>
      <c r="M76" s="6">
        <v>1</v>
      </c>
      <c r="N76" s="6"/>
      <c r="O76" s="6"/>
      <c r="P76" s="6"/>
      <c r="Q76" s="6"/>
      <c r="R76" s="21"/>
      <c r="S76" s="21"/>
      <c r="T76" s="27"/>
      <c r="U76" s="6"/>
    </row>
    <row r="77" spans="1:21" x14ac:dyDescent="0.25">
      <c r="A77">
        <v>2</v>
      </c>
      <c r="B77">
        <v>67</v>
      </c>
      <c r="C77">
        <v>4</v>
      </c>
      <c r="D77">
        <v>3</v>
      </c>
      <c r="E77">
        <v>14</v>
      </c>
      <c r="F77">
        <v>6709511</v>
      </c>
      <c r="G77">
        <v>6390</v>
      </c>
      <c r="H77" t="s">
        <v>156</v>
      </c>
      <c r="J77" s="3">
        <v>4.5999999999999996</v>
      </c>
      <c r="K77" s="3">
        <v>3.6</v>
      </c>
      <c r="L77" s="3">
        <v>0.21</v>
      </c>
      <c r="M77" s="3">
        <v>1</v>
      </c>
      <c r="N77" s="3"/>
      <c r="O77" s="3"/>
      <c r="P77" s="3"/>
      <c r="Q77" s="3"/>
      <c r="R77" s="5"/>
      <c r="S77" s="5"/>
      <c r="T77" s="24"/>
      <c r="U77" s="3"/>
    </row>
    <row r="78" spans="1:21" x14ac:dyDescent="0.25">
      <c r="A78">
        <v>2</v>
      </c>
      <c r="B78">
        <v>67</v>
      </c>
      <c r="C78">
        <v>5</v>
      </c>
      <c r="D78">
        <v>1</v>
      </c>
      <c r="E78">
        <v>15</v>
      </c>
      <c r="F78">
        <v>6709510</v>
      </c>
      <c r="H78" t="s">
        <v>147</v>
      </c>
      <c r="J78" s="18">
        <v>0.1</v>
      </c>
      <c r="K78" s="18">
        <v>0.1</v>
      </c>
      <c r="L78" s="17">
        <v>1</v>
      </c>
      <c r="M78" s="16">
        <v>0</v>
      </c>
      <c r="N78" s="17"/>
      <c r="O78" s="15"/>
      <c r="P78" s="15"/>
      <c r="Q78" s="15"/>
      <c r="R78" s="17"/>
      <c r="S78" s="25"/>
      <c r="T78" s="25"/>
      <c r="U78" s="15"/>
    </row>
    <row r="79" spans="1:21" ht="15.75" thickBot="1" x14ac:dyDescent="0.3">
      <c r="F79" t="s">
        <v>256</v>
      </c>
      <c r="G79">
        <v>6389</v>
      </c>
      <c r="H79" t="s">
        <v>158</v>
      </c>
      <c r="J79" s="33"/>
      <c r="K79" s="33"/>
      <c r="L79" s="33"/>
      <c r="M79" s="37"/>
      <c r="N79" s="37"/>
      <c r="O79" s="33"/>
      <c r="P79" s="33"/>
      <c r="Q79" s="33"/>
      <c r="R79" s="37"/>
      <c r="S79" s="35"/>
      <c r="T79" s="35"/>
      <c r="U7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SRnewremoved</vt:lpstr>
      <vt:lpstr>SRdougnew</vt:lpstr>
      <vt:lpstr>SRchannel</vt:lpstr>
      <vt:lpstr>SRnewgages</vt:lpstr>
      <vt:lpstr>SR</vt:lpstr>
      <vt:lpstr>SRcal1767</vt:lpstr>
      <vt:lpstr>loss</vt:lpstr>
      <vt:lpstr>Sold</vt:lpstr>
      <vt:lpstr>SRold2</vt:lpstr>
      <vt:lpstr>gagecorrect</vt:lpstr>
      <vt:lpstr>divcorrect</vt:lpstr>
      <vt:lpstr>needids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2022-04-27T17:44:24Z</dcterms:modified>
</cp:coreProperties>
</file>