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020" yWindow="-360" windowWidth="11205" windowHeight="10920" tabRatio="865" activeTab="5"/>
  </bookViews>
  <sheets>
    <sheet name="доходы " sheetId="75" r:id="rId1"/>
    <sheet name="прилож 5" sheetId="71" r:id="rId2"/>
    <sheet name="ведомст.структ" sheetId="78" r:id="rId3"/>
    <sheet name="функциональн.структ" sheetId="79" r:id="rId4"/>
    <sheet name="прилож 4" sheetId="80" r:id="rId5"/>
    <sheet name="приложен 6" sheetId="81" r:id="rId6"/>
  </sheets>
  <externalReferences>
    <externalReference r:id="rId7"/>
    <externalReference r:id="rId8"/>
  </externalReferences>
  <definedNames>
    <definedName name="_xlnm._FilterDatabase" localSheetId="2" hidden="1">ведомст.структ!$A$8:$H$84</definedName>
    <definedName name="_xlnm._FilterDatabase" localSheetId="3" hidden="1">функциональн.структ!$A$8:$G$82</definedName>
    <definedName name="_xlnm.Print_Titles" localSheetId="2">ведомст.структ!$8:$8</definedName>
    <definedName name="_xlnm.Print_Titles" localSheetId="0">'доходы '!$8:$8</definedName>
    <definedName name="_xlnm.Print_Titles" localSheetId="3">функциональн.структ!$8:$8</definedName>
  </definedNames>
  <calcPr calcId="124519"/>
</workbook>
</file>

<file path=xl/calcChain.xml><?xml version="1.0" encoding="utf-8"?>
<calcChain xmlns="http://schemas.openxmlformats.org/spreadsheetml/2006/main">
  <c r="N22" i="78"/>
  <c r="N88"/>
  <c r="N86"/>
  <c r="M59" i="79"/>
  <c r="M84"/>
  <c r="M83" s="1"/>
  <c r="N61" i="78"/>
  <c r="J23" i="75"/>
  <c r="J32"/>
  <c r="J19"/>
  <c r="J15"/>
  <c r="N30" i="78"/>
  <c r="M21" i="79"/>
  <c r="M92"/>
  <c r="N92" s="1"/>
  <c r="I92"/>
  <c r="H92"/>
  <c r="G92"/>
  <c r="M91"/>
  <c r="M90" s="1"/>
  <c r="L91"/>
  <c r="K91"/>
  <c r="J91"/>
  <c r="G91"/>
  <c r="G90" s="1"/>
  <c r="I90"/>
  <c r="H90"/>
  <c r="N93" i="78"/>
  <c r="N92" s="1"/>
  <c r="O94"/>
  <c r="P94" s="1"/>
  <c r="J94"/>
  <c r="I94"/>
  <c r="H94"/>
  <c r="H93"/>
  <c r="N17"/>
  <c r="M128" i="79"/>
  <c r="M127" s="1"/>
  <c r="M126"/>
  <c r="M118"/>
  <c r="M116"/>
  <c r="M114"/>
  <c r="M113"/>
  <c r="M110"/>
  <c r="M109" s="1"/>
  <c r="M108" s="1"/>
  <c r="M103"/>
  <c r="M99"/>
  <c r="M95"/>
  <c r="M88"/>
  <c r="M86"/>
  <c r="M79"/>
  <c r="M76"/>
  <c r="M74"/>
  <c r="M72"/>
  <c r="M55"/>
  <c r="M45"/>
  <c r="M43"/>
  <c r="M41"/>
  <c r="M36"/>
  <c r="M33"/>
  <c r="M30"/>
  <c r="M28"/>
  <c r="M27"/>
  <c r="M25"/>
  <c r="M23"/>
  <c r="M17"/>
  <c r="M16" s="1"/>
  <c r="M15"/>
  <c r="M12"/>
  <c r="M122"/>
  <c r="N107" i="78"/>
  <c r="N51"/>
  <c r="M49" i="79" s="1"/>
  <c r="N49" i="78"/>
  <c r="M47" i="79" s="1"/>
  <c r="N128"/>
  <c r="O128" s="1"/>
  <c r="L127"/>
  <c r="K127"/>
  <c r="J127"/>
  <c r="N126"/>
  <c r="O126" s="1"/>
  <c r="M125"/>
  <c r="N125" s="1"/>
  <c r="L125"/>
  <c r="K125"/>
  <c r="K124" s="1"/>
  <c r="K123" s="1"/>
  <c r="J125"/>
  <c r="L124"/>
  <c r="J124"/>
  <c r="L123"/>
  <c r="J123"/>
  <c r="J122"/>
  <c r="J121" s="1"/>
  <c r="J120" s="1"/>
  <c r="J119" s="1"/>
  <c r="L121"/>
  <c r="K121"/>
  <c r="K120" s="1"/>
  <c r="K119" s="1"/>
  <c r="L120"/>
  <c r="L119" s="1"/>
  <c r="O117"/>
  <c r="N117"/>
  <c r="M117"/>
  <c r="L117"/>
  <c r="K117"/>
  <c r="J117"/>
  <c r="O115"/>
  <c r="N115"/>
  <c r="M115"/>
  <c r="L115"/>
  <c r="K115"/>
  <c r="J115"/>
  <c r="O112"/>
  <c r="O111" s="1"/>
  <c r="N112"/>
  <c r="L112"/>
  <c r="K112"/>
  <c r="K111" s="1"/>
  <c r="J112"/>
  <c r="N111"/>
  <c r="O109"/>
  <c r="N109"/>
  <c r="L109"/>
  <c r="K109"/>
  <c r="J109"/>
  <c r="O108"/>
  <c r="N108"/>
  <c r="L108"/>
  <c r="K108"/>
  <c r="J108"/>
  <c r="J106"/>
  <c r="L104"/>
  <c r="K104"/>
  <c r="J104"/>
  <c r="N103"/>
  <c r="O103" s="1"/>
  <c r="O102" s="1"/>
  <c r="J103"/>
  <c r="N102"/>
  <c r="M102"/>
  <c r="L102"/>
  <c r="L101" s="1"/>
  <c r="L100" s="1"/>
  <c r="K102"/>
  <c r="J102"/>
  <c r="J101" s="1"/>
  <c r="J100" s="1"/>
  <c r="N99"/>
  <c r="O99" s="1"/>
  <c r="O98" s="1"/>
  <c r="M98"/>
  <c r="L98"/>
  <c r="K98"/>
  <c r="J98"/>
  <c r="N97"/>
  <c r="O97" s="1"/>
  <c r="O96" s="1"/>
  <c r="M96"/>
  <c r="L96"/>
  <c r="K96"/>
  <c r="J96"/>
  <c r="N95"/>
  <c r="O95" s="1"/>
  <c r="O94" s="1"/>
  <c r="M94"/>
  <c r="L94"/>
  <c r="K94"/>
  <c r="K93" s="1"/>
  <c r="K89" s="1"/>
  <c r="J94"/>
  <c r="G94"/>
  <c r="G93" s="1"/>
  <c r="I93"/>
  <c r="I88" s="1"/>
  <c r="H93"/>
  <c r="H89" s="1"/>
  <c r="I89"/>
  <c r="O87"/>
  <c r="N87"/>
  <c r="M87"/>
  <c r="L87"/>
  <c r="K87"/>
  <c r="J87"/>
  <c r="I86"/>
  <c r="H86"/>
  <c r="G86"/>
  <c r="O85"/>
  <c r="N85"/>
  <c r="M85"/>
  <c r="L85"/>
  <c r="K85"/>
  <c r="I85"/>
  <c r="I84" s="1"/>
  <c r="H85"/>
  <c r="G85"/>
  <c r="G84" s="1"/>
  <c r="J84"/>
  <c r="H84"/>
  <c r="O83"/>
  <c r="N83"/>
  <c r="N82" s="1"/>
  <c r="L83"/>
  <c r="K83"/>
  <c r="K82" s="1"/>
  <c r="J83"/>
  <c r="G83"/>
  <c r="G82" s="1"/>
  <c r="I82"/>
  <c r="H82"/>
  <c r="O80"/>
  <c r="N80"/>
  <c r="L80"/>
  <c r="K80"/>
  <c r="J80"/>
  <c r="G79"/>
  <c r="G78" s="1"/>
  <c r="O78"/>
  <c r="N78"/>
  <c r="M78"/>
  <c r="L78"/>
  <c r="K78"/>
  <c r="J78"/>
  <c r="I78"/>
  <c r="H78"/>
  <c r="O77"/>
  <c r="N77"/>
  <c r="O75"/>
  <c r="N75"/>
  <c r="M75"/>
  <c r="M70" s="1"/>
  <c r="L75"/>
  <c r="K75"/>
  <c r="J75"/>
  <c r="I74"/>
  <c r="H74"/>
  <c r="G74"/>
  <c r="O73"/>
  <c r="N73"/>
  <c r="L73"/>
  <c r="K73"/>
  <c r="J73"/>
  <c r="G72"/>
  <c r="O71"/>
  <c r="N71"/>
  <c r="N70" s="1"/>
  <c r="L71"/>
  <c r="K71"/>
  <c r="K70" s="1"/>
  <c r="J71"/>
  <c r="I71"/>
  <c r="I70" s="1"/>
  <c r="I68" s="1"/>
  <c r="H71"/>
  <c r="G71"/>
  <c r="G70" s="1"/>
  <c r="G68" s="1"/>
  <c r="L70"/>
  <c r="J70"/>
  <c r="H70"/>
  <c r="H68" s="1"/>
  <c r="O67"/>
  <c r="O66" s="1"/>
  <c r="O65" s="1"/>
  <c r="N67"/>
  <c r="M67"/>
  <c r="M66" s="1"/>
  <c r="M65" s="1"/>
  <c r="L67"/>
  <c r="K67"/>
  <c r="J67"/>
  <c r="G67"/>
  <c r="G66" s="1"/>
  <c r="N66"/>
  <c r="L66"/>
  <c r="I66"/>
  <c r="H66"/>
  <c r="N65"/>
  <c r="K65"/>
  <c r="J65"/>
  <c r="G65"/>
  <c r="N64"/>
  <c r="I64"/>
  <c r="H64"/>
  <c r="G64"/>
  <c r="L63"/>
  <c r="K63"/>
  <c r="K62" s="1"/>
  <c r="J63"/>
  <c r="G63"/>
  <c r="G62" s="1"/>
  <c r="N62"/>
  <c r="L62"/>
  <c r="J62"/>
  <c r="I62"/>
  <c r="H62"/>
  <c r="I61"/>
  <c r="I60" s="1"/>
  <c r="N59"/>
  <c r="O59" s="1"/>
  <c r="O58" s="1"/>
  <c r="O57" s="1"/>
  <c r="J59"/>
  <c r="J58" s="1"/>
  <c r="J57" s="1"/>
  <c r="G59"/>
  <c r="G58" s="1"/>
  <c r="M58"/>
  <c r="M57" s="1"/>
  <c r="M56" s="1"/>
  <c r="L58"/>
  <c r="K58"/>
  <c r="K57" s="1"/>
  <c r="I58"/>
  <c r="H58"/>
  <c r="L57"/>
  <c r="G57"/>
  <c r="N55"/>
  <c r="O55" s="1"/>
  <c r="O54" s="1"/>
  <c r="I55"/>
  <c r="H55"/>
  <c r="G55"/>
  <c r="N54"/>
  <c r="M54"/>
  <c r="L54"/>
  <c r="K54"/>
  <c r="J54"/>
  <c r="G54"/>
  <c r="N53"/>
  <c r="O53" s="1"/>
  <c r="O52" s="1"/>
  <c r="O51" s="1"/>
  <c r="O50" s="1"/>
  <c r="I53"/>
  <c r="H53"/>
  <c r="G53"/>
  <c r="N52"/>
  <c r="N51" s="1"/>
  <c r="N50" s="1"/>
  <c r="M52"/>
  <c r="L52"/>
  <c r="L51" s="1"/>
  <c r="L50" s="1"/>
  <c r="K52"/>
  <c r="K51" s="1"/>
  <c r="K50" s="1"/>
  <c r="J52"/>
  <c r="J51" s="1"/>
  <c r="J50" s="1"/>
  <c r="M51"/>
  <c r="M50" s="1"/>
  <c r="I51"/>
  <c r="I46" s="1"/>
  <c r="H51"/>
  <c r="H50" s="1"/>
  <c r="G51"/>
  <c r="I50"/>
  <c r="L48"/>
  <c r="K48"/>
  <c r="J48"/>
  <c r="L46"/>
  <c r="K46"/>
  <c r="J46"/>
  <c r="G46"/>
  <c r="N45"/>
  <c r="O45" s="1"/>
  <c r="O44" s="1"/>
  <c r="M44"/>
  <c r="L44"/>
  <c r="K44"/>
  <c r="J44"/>
  <c r="I44"/>
  <c r="H44"/>
  <c r="G44"/>
  <c r="N43"/>
  <c r="O43" s="1"/>
  <c r="O42" s="1"/>
  <c r="I43"/>
  <c r="H43"/>
  <c r="G43"/>
  <c r="N42"/>
  <c r="M42"/>
  <c r="L42"/>
  <c r="K42"/>
  <c r="J42"/>
  <c r="I42"/>
  <c r="H42"/>
  <c r="G42"/>
  <c r="N41"/>
  <c r="O41" s="1"/>
  <c r="O40" s="1"/>
  <c r="G41"/>
  <c r="N40"/>
  <c r="M40"/>
  <c r="L40"/>
  <c r="K40"/>
  <c r="J40"/>
  <c r="I40"/>
  <c r="H40"/>
  <c r="G40"/>
  <c r="N39"/>
  <c r="O39" s="1"/>
  <c r="O38" s="1"/>
  <c r="G39"/>
  <c r="G38" s="1"/>
  <c r="N38"/>
  <c r="M38"/>
  <c r="L38"/>
  <c r="K38"/>
  <c r="J38"/>
  <c r="I38"/>
  <c r="H38"/>
  <c r="I36"/>
  <c r="H36"/>
  <c r="G36"/>
  <c r="O35"/>
  <c r="N35"/>
  <c r="M35"/>
  <c r="L35"/>
  <c r="K35"/>
  <c r="J35"/>
  <c r="O34"/>
  <c r="N34"/>
  <c r="M34"/>
  <c r="L34"/>
  <c r="K34"/>
  <c r="J34"/>
  <c r="I34"/>
  <c r="H34"/>
  <c r="H30" s="1"/>
  <c r="G34"/>
  <c r="M32"/>
  <c r="M31" s="1"/>
  <c r="O29"/>
  <c r="N29"/>
  <c r="M29"/>
  <c r="K29"/>
  <c r="J29"/>
  <c r="O28"/>
  <c r="I28"/>
  <c r="H28"/>
  <c r="G28"/>
  <c r="O27"/>
  <c r="I27"/>
  <c r="H27"/>
  <c r="G27"/>
  <c r="O26"/>
  <c r="N26"/>
  <c r="M26"/>
  <c r="M24" s="1"/>
  <c r="L26"/>
  <c r="K26"/>
  <c r="J26"/>
  <c r="G26"/>
  <c r="G25" s="1"/>
  <c r="I25"/>
  <c r="H25"/>
  <c r="O24"/>
  <c r="N24"/>
  <c r="L24"/>
  <c r="K24"/>
  <c r="J24"/>
  <c r="G24"/>
  <c r="G23" s="1"/>
  <c r="I23"/>
  <c r="H23"/>
  <c r="O22"/>
  <c r="N22"/>
  <c r="M22"/>
  <c r="L22"/>
  <c r="K22"/>
  <c r="J22"/>
  <c r="H20"/>
  <c r="O16"/>
  <c r="N16"/>
  <c r="N13" s="1"/>
  <c r="L16"/>
  <c r="K16"/>
  <c r="J16"/>
  <c r="O14"/>
  <c r="O13" s="1"/>
  <c r="N14"/>
  <c r="M14"/>
  <c r="M13" s="1"/>
  <c r="L14"/>
  <c r="L13" s="1"/>
  <c r="K14"/>
  <c r="K13" s="1"/>
  <c r="J14"/>
  <c r="I14"/>
  <c r="I13" s="1"/>
  <c r="H14"/>
  <c r="H13" s="1"/>
  <c r="G14"/>
  <c r="G13" s="1"/>
  <c r="J13"/>
  <c r="G12"/>
  <c r="O11"/>
  <c r="N11"/>
  <c r="L11"/>
  <c r="L10" s="1"/>
  <c r="K11"/>
  <c r="K10" s="1"/>
  <c r="J11"/>
  <c r="J10" s="1"/>
  <c r="I11"/>
  <c r="I10" s="1"/>
  <c r="H11"/>
  <c r="H10" s="1"/>
  <c r="G11"/>
  <c r="G10" s="1"/>
  <c r="O10"/>
  <c r="N10"/>
  <c r="M10"/>
  <c r="O131" i="78"/>
  <c r="P131" s="1"/>
  <c r="N130"/>
  <c r="O130" s="1"/>
  <c r="P130" s="1"/>
  <c r="M130"/>
  <c r="L130"/>
  <c r="K130"/>
  <c r="O129"/>
  <c r="P129" s="1"/>
  <c r="N128"/>
  <c r="O128" s="1"/>
  <c r="M128"/>
  <c r="L128"/>
  <c r="K128"/>
  <c r="O125"/>
  <c r="P125" s="1"/>
  <c r="P124" s="1"/>
  <c r="P123" s="1"/>
  <c r="P122" s="1"/>
  <c r="K125"/>
  <c r="K124" s="1"/>
  <c r="K123" s="1"/>
  <c r="K122" s="1"/>
  <c r="O124"/>
  <c r="O123" s="1"/>
  <c r="O122" s="1"/>
  <c r="N124"/>
  <c r="M124"/>
  <c r="L124"/>
  <c r="N123"/>
  <c r="N122" s="1"/>
  <c r="M123"/>
  <c r="L123"/>
  <c r="L122" s="1"/>
  <c r="M122"/>
  <c r="P120"/>
  <c r="O120"/>
  <c r="N120"/>
  <c r="M120"/>
  <c r="L120"/>
  <c r="K120"/>
  <c r="P118"/>
  <c r="O118"/>
  <c r="N118"/>
  <c r="M118"/>
  <c r="L118"/>
  <c r="K118"/>
  <c r="P114"/>
  <c r="O114"/>
  <c r="N114"/>
  <c r="M114"/>
  <c r="L114"/>
  <c r="K114"/>
  <c r="P113"/>
  <c r="P109" s="1"/>
  <c r="O113"/>
  <c r="N113"/>
  <c r="M113"/>
  <c r="L113"/>
  <c r="K113"/>
  <c r="P111"/>
  <c r="O111"/>
  <c r="N111"/>
  <c r="N110" s="1"/>
  <c r="N109" s="1"/>
  <c r="M111"/>
  <c r="L111"/>
  <c r="L110" s="1"/>
  <c r="L109" s="1"/>
  <c r="K111"/>
  <c r="P110"/>
  <c r="O110"/>
  <c r="M110"/>
  <c r="M109" s="1"/>
  <c r="K110"/>
  <c r="K109" s="1"/>
  <c r="O109"/>
  <c r="O108"/>
  <c r="K108"/>
  <c r="K106" s="1"/>
  <c r="M106"/>
  <c r="L106"/>
  <c r="O105"/>
  <c r="P105" s="1"/>
  <c r="P104" s="1"/>
  <c r="K105"/>
  <c r="N104"/>
  <c r="M104"/>
  <c r="L104"/>
  <c r="K104"/>
  <c r="L103"/>
  <c r="L102" s="1"/>
  <c r="O101"/>
  <c r="P101" s="1"/>
  <c r="P100" s="1"/>
  <c r="N100"/>
  <c r="M100"/>
  <c r="L100"/>
  <c r="K100"/>
  <c r="O99"/>
  <c r="P99" s="1"/>
  <c r="P98" s="1"/>
  <c r="N98"/>
  <c r="M98"/>
  <c r="L98"/>
  <c r="K98"/>
  <c r="K95" s="1"/>
  <c r="K91" s="1"/>
  <c r="O97"/>
  <c r="P97" s="1"/>
  <c r="P96" s="1"/>
  <c r="N96"/>
  <c r="N95" s="1"/>
  <c r="N91" s="1"/>
  <c r="M96"/>
  <c r="L96"/>
  <c r="L95" s="1"/>
  <c r="L91" s="1"/>
  <c r="K96"/>
  <c r="H96"/>
  <c r="H95" s="1"/>
  <c r="H92" s="1"/>
  <c r="J95"/>
  <c r="J90" s="1"/>
  <c r="I95"/>
  <c r="I91" s="1"/>
  <c r="J91"/>
  <c r="I90"/>
  <c r="P89"/>
  <c r="O89"/>
  <c r="N89"/>
  <c r="M89"/>
  <c r="L89"/>
  <c r="K89"/>
  <c r="J88"/>
  <c r="I88"/>
  <c r="H88"/>
  <c r="P87"/>
  <c r="O87"/>
  <c r="N87"/>
  <c r="M87"/>
  <c r="L87"/>
  <c r="J87"/>
  <c r="J86" s="1"/>
  <c r="I87"/>
  <c r="H87"/>
  <c r="H86" s="1"/>
  <c r="N85"/>
  <c r="K86"/>
  <c r="K85" s="1"/>
  <c r="I86"/>
  <c r="P85"/>
  <c r="O85"/>
  <c r="M85"/>
  <c r="L85"/>
  <c r="H85"/>
  <c r="H84" s="1"/>
  <c r="J84"/>
  <c r="I84"/>
  <c r="N83"/>
  <c r="N82" s="1"/>
  <c r="P82"/>
  <c r="O82"/>
  <c r="M82"/>
  <c r="L82"/>
  <c r="K82"/>
  <c r="H81"/>
  <c r="H80" s="1"/>
  <c r="P80"/>
  <c r="P79" s="1"/>
  <c r="O80"/>
  <c r="O79" s="1"/>
  <c r="N80"/>
  <c r="M80"/>
  <c r="L80"/>
  <c r="K80"/>
  <c r="J80"/>
  <c r="I80"/>
  <c r="P77"/>
  <c r="O77"/>
  <c r="N77"/>
  <c r="N72" s="1"/>
  <c r="M77"/>
  <c r="L77"/>
  <c r="K77"/>
  <c r="J76"/>
  <c r="I76"/>
  <c r="H76"/>
  <c r="P75"/>
  <c r="O75"/>
  <c r="M75"/>
  <c r="L75"/>
  <c r="K75"/>
  <c r="H74"/>
  <c r="P73"/>
  <c r="O73"/>
  <c r="M73"/>
  <c r="M72" s="1"/>
  <c r="L73"/>
  <c r="L72" s="1"/>
  <c r="K73"/>
  <c r="K72" s="1"/>
  <c r="J73"/>
  <c r="J72" s="1"/>
  <c r="J70" s="1"/>
  <c r="I73"/>
  <c r="I72" s="1"/>
  <c r="I70" s="1"/>
  <c r="H73"/>
  <c r="H72" s="1"/>
  <c r="H70" s="1"/>
  <c r="P69"/>
  <c r="P68" s="1"/>
  <c r="P67" s="1"/>
  <c r="O69"/>
  <c r="N69"/>
  <c r="N68" s="1"/>
  <c r="N67" s="1"/>
  <c r="M69"/>
  <c r="M68" s="1"/>
  <c r="L69"/>
  <c r="K69"/>
  <c r="H69"/>
  <c r="H68" s="1"/>
  <c r="O68"/>
  <c r="O67" s="1"/>
  <c r="J68"/>
  <c r="I68"/>
  <c r="L67"/>
  <c r="K67"/>
  <c r="H67"/>
  <c r="H66" s="1"/>
  <c r="J66"/>
  <c r="I66"/>
  <c r="M65"/>
  <c r="L65"/>
  <c r="L64" s="1"/>
  <c r="K65"/>
  <c r="H65"/>
  <c r="H64" s="1"/>
  <c r="J64"/>
  <c r="J63" s="1"/>
  <c r="J62" s="1"/>
  <c r="I64"/>
  <c r="O61"/>
  <c r="P61" s="1"/>
  <c r="P60" s="1"/>
  <c r="P59" s="1"/>
  <c r="K61"/>
  <c r="K60" s="1"/>
  <c r="K59" s="1"/>
  <c r="H61"/>
  <c r="H60" s="1"/>
  <c r="M60"/>
  <c r="M59" s="1"/>
  <c r="L60"/>
  <c r="L59" s="1"/>
  <c r="J60"/>
  <c r="I60"/>
  <c r="H59"/>
  <c r="H57" s="1"/>
  <c r="O57"/>
  <c r="P57" s="1"/>
  <c r="P56" s="1"/>
  <c r="J57"/>
  <c r="I57"/>
  <c r="N56"/>
  <c r="M56"/>
  <c r="L56"/>
  <c r="K56"/>
  <c r="H56"/>
  <c r="H55" s="1"/>
  <c r="O55"/>
  <c r="P55" s="1"/>
  <c r="P54" s="1"/>
  <c r="J55"/>
  <c r="I55"/>
  <c r="N54"/>
  <c r="M54"/>
  <c r="M53" s="1"/>
  <c r="M52" s="1"/>
  <c r="L54"/>
  <c r="L53" s="1"/>
  <c r="L52" s="1"/>
  <c r="K54"/>
  <c r="K53" s="1"/>
  <c r="K52" s="1"/>
  <c r="N53"/>
  <c r="N52" s="1"/>
  <c r="J53"/>
  <c r="J52" s="1"/>
  <c r="I53"/>
  <c r="H53"/>
  <c r="O51"/>
  <c r="P51" s="1"/>
  <c r="P50" s="1"/>
  <c r="N50"/>
  <c r="M50"/>
  <c r="L50"/>
  <c r="K50"/>
  <c r="O49"/>
  <c r="P49" s="1"/>
  <c r="P48" s="1"/>
  <c r="N48"/>
  <c r="M48"/>
  <c r="L48"/>
  <c r="K48"/>
  <c r="I48"/>
  <c r="O47"/>
  <c r="P47" s="1"/>
  <c r="P46" s="1"/>
  <c r="N46"/>
  <c r="Q93" s="1"/>
  <c r="M46"/>
  <c r="L46"/>
  <c r="K46"/>
  <c r="J46"/>
  <c r="J45" s="1"/>
  <c r="J44" s="1"/>
  <c r="I46"/>
  <c r="I45" s="1"/>
  <c r="I44" s="1"/>
  <c r="H46"/>
  <c r="H45" s="1"/>
  <c r="H44" s="1"/>
  <c r="O45"/>
  <c r="P45" s="1"/>
  <c r="P44" s="1"/>
  <c r="N44"/>
  <c r="M44"/>
  <c r="L44"/>
  <c r="K44"/>
  <c r="O43"/>
  <c r="P43" s="1"/>
  <c r="P42" s="1"/>
  <c r="H43"/>
  <c r="H42" s="1"/>
  <c r="N42"/>
  <c r="M42"/>
  <c r="L42"/>
  <c r="K42"/>
  <c r="J42"/>
  <c r="I42"/>
  <c r="O41"/>
  <c r="P41" s="1"/>
  <c r="P40" s="1"/>
  <c r="H41"/>
  <c r="H40" s="1"/>
  <c r="N40"/>
  <c r="N39" s="1"/>
  <c r="M40"/>
  <c r="M39" s="1"/>
  <c r="L40"/>
  <c r="L39" s="1"/>
  <c r="K40"/>
  <c r="J40"/>
  <c r="I40"/>
  <c r="J38"/>
  <c r="I38"/>
  <c r="H38"/>
  <c r="P37"/>
  <c r="O37"/>
  <c r="N37"/>
  <c r="M37"/>
  <c r="L37"/>
  <c r="K37"/>
  <c r="P36"/>
  <c r="O36"/>
  <c r="N36"/>
  <c r="M36"/>
  <c r="L36"/>
  <c r="K36"/>
  <c r="J36"/>
  <c r="I36"/>
  <c r="H36"/>
  <c r="N34"/>
  <c r="N33" s="1"/>
  <c r="P31"/>
  <c r="O31"/>
  <c r="N31"/>
  <c r="L31"/>
  <c r="K31"/>
  <c r="P30"/>
  <c r="J30"/>
  <c r="I30"/>
  <c r="H30"/>
  <c r="P29"/>
  <c r="J29"/>
  <c r="I29"/>
  <c r="H29"/>
  <c r="P28"/>
  <c r="O28"/>
  <c r="N28"/>
  <c r="N26" s="1"/>
  <c r="M28"/>
  <c r="L28"/>
  <c r="K28"/>
  <c r="H28"/>
  <c r="H27" s="1"/>
  <c r="J27"/>
  <c r="I27"/>
  <c r="P26"/>
  <c r="O26"/>
  <c r="M26"/>
  <c r="L26"/>
  <c r="K26"/>
  <c r="K23" s="1"/>
  <c r="H26"/>
  <c r="H25" s="1"/>
  <c r="J25"/>
  <c r="I25"/>
  <c r="P24"/>
  <c r="O24"/>
  <c r="N24"/>
  <c r="M24"/>
  <c r="L24"/>
  <c r="L23" s="1"/>
  <c r="K24"/>
  <c r="P23"/>
  <c r="J23"/>
  <c r="I23"/>
  <c r="I22" s="1"/>
  <c r="H23"/>
  <c r="P17"/>
  <c r="O17"/>
  <c r="M17"/>
  <c r="L17"/>
  <c r="K17"/>
  <c r="P15"/>
  <c r="O15"/>
  <c r="N15"/>
  <c r="M15"/>
  <c r="M14" s="1"/>
  <c r="L15"/>
  <c r="L14" s="1"/>
  <c r="K15"/>
  <c r="K14" s="1"/>
  <c r="J15"/>
  <c r="J14" s="1"/>
  <c r="I15"/>
  <c r="I14" s="1"/>
  <c r="H15"/>
  <c r="H14" s="1"/>
  <c r="O14"/>
  <c r="H13"/>
  <c r="P12"/>
  <c r="P10" s="1"/>
  <c r="O12"/>
  <c r="M12"/>
  <c r="M10" s="1"/>
  <c r="L12"/>
  <c r="L10" s="1"/>
  <c r="K12"/>
  <c r="K10" s="1"/>
  <c r="J12"/>
  <c r="I12"/>
  <c r="H12"/>
  <c r="L62" i="75"/>
  <c r="K62"/>
  <c r="I62"/>
  <c r="H62"/>
  <c r="G62"/>
  <c r="I59"/>
  <c r="L58"/>
  <c r="K58"/>
  <c r="J58"/>
  <c r="I58"/>
  <c r="H58"/>
  <c r="G58"/>
  <c r="F58"/>
  <c r="E58"/>
  <c r="L57"/>
  <c r="K57"/>
  <c r="J57"/>
  <c r="I57"/>
  <c r="H57"/>
  <c r="G57"/>
  <c r="L54"/>
  <c r="K54"/>
  <c r="J54"/>
  <c r="I54"/>
  <c r="H54"/>
  <c r="G54"/>
  <c r="G53" s="1"/>
  <c r="G52" s="1"/>
  <c r="L53"/>
  <c r="L52" s="1"/>
  <c r="K53"/>
  <c r="K52" s="1"/>
  <c r="J53"/>
  <c r="J52" s="1"/>
  <c r="H53"/>
  <c r="I53" s="1"/>
  <c r="I52" s="1"/>
  <c r="F53"/>
  <c r="E53"/>
  <c r="D53"/>
  <c r="L50"/>
  <c r="K50"/>
  <c r="K49" s="1"/>
  <c r="J50"/>
  <c r="I50"/>
  <c r="I49" s="1"/>
  <c r="H50"/>
  <c r="G50"/>
  <c r="G49" s="1"/>
  <c r="F50"/>
  <c r="E50"/>
  <c r="E49" s="1"/>
  <c r="E48" s="1"/>
  <c r="D50"/>
  <c r="L49"/>
  <c r="J49"/>
  <c r="H49"/>
  <c r="F49"/>
  <c r="D49"/>
  <c r="D48" s="1"/>
  <c r="I48"/>
  <c r="F48"/>
  <c r="L47"/>
  <c r="K47"/>
  <c r="J47"/>
  <c r="H47"/>
  <c r="I47" s="1"/>
  <c r="G47"/>
  <c r="L46"/>
  <c r="K46"/>
  <c r="J46"/>
  <c r="J45" s="1"/>
  <c r="H46"/>
  <c r="I46" s="1"/>
  <c r="I45" s="1"/>
  <c r="I44" s="1"/>
  <c r="G46"/>
  <c r="F46"/>
  <c r="E46"/>
  <c r="D46"/>
  <c r="K43"/>
  <c r="F43"/>
  <c r="E43"/>
  <c r="D43"/>
  <c r="K42"/>
  <c r="L42" s="1"/>
  <c r="F42"/>
  <c r="F41" s="1"/>
  <c r="F40" s="1"/>
  <c r="E42"/>
  <c r="D42"/>
  <c r="I41"/>
  <c r="I40" s="1"/>
  <c r="I39" s="1"/>
  <c r="H41"/>
  <c r="G41"/>
  <c r="G40" s="1"/>
  <c r="G39" s="1"/>
  <c r="H40"/>
  <c r="H39" s="1"/>
  <c r="I38"/>
  <c r="J38" s="1"/>
  <c r="K38" s="1"/>
  <c r="L38" s="1"/>
  <c r="F38"/>
  <c r="I37"/>
  <c r="J37" s="1"/>
  <c r="K37" s="1"/>
  <c r="L37" s="1"/>
  <c r="G37"/>
  <c r="G36" s="1"/>
  <c r="G35" s="1"/>
  <c r="F37"/>
  <c r="F36" s="1"/>
  <c r="F35" s="1"/>
  <c r="D37"/>
  <c r="I36"/>
  <c r="J36" s="1"/>
  <c r="K36" s="1"/>
  <c r="L36" s="1"/>
  <c r="E36"/>
  <c r="D36"/>
  <c r="D35" s="1"/>
  <c r="H35"/>
  <c r="I35" s="1"/>
  <c r="J35" s="1"/>
  <c r="K35" s="1"/>
  <c r="L35" s="1"/>
  <c r="E35"/>
  <c r="J34"/>
  <c r="K34" s="1"/>
  <c r="I33"/>
  <c r="H33"/>
  <c r="G33"/>
  <c r="E33"/>
  <c r="D33"/>
  <c r="D32" s="1"/>
  <c r="D31" s="1"/>
  <c r="K32"/>
  <c r="L32" s="1"/>
  <c r="G32"/>
  <c r="G31" s="1"/>
  <c r="G30" s="1"/>
  <c r="G29" s="1"/>
  <c r="G24" s="1"/>
  <c r="F32"/>
  <c r="F31" s="1"/>
  <c r="E32"/>
  <c r="E31" s="1"/>
  <c r="J31"/>
  <c r="K31" s="1"/>
  <c r="L31" s="1"/>
  <c r="I31"/>
  <c r="H31"/>
  <c r="H30" s="1"/>
  <c r="H29" s="1"/>
  <c r="H24" s="1"/>
  <c r="I30"/>
  <c r="I29" s="1"/>
  <c r="I24" s="1"/>
  <c r="F30"/>
  <c r="H28"/>
  <c r="I28" s="1"/>
  <c r="J28" s="1"/>
  <c r="K28" s="1"/>
  <c r="L28" s="1"/>
  <c r="F28"/>
  <c r="H27"/>
  <c r="I27" s="1"/>
  <c r="J27" s="1"/>
  <c r="K27" s="1"/>
  <c r="L27" s="1"/>
  <c r="F27"/>
  <c r="D27"/>
  <c r="F26"/>
  <c r="E26"/>
  <c r="D26"/>
  <c r="F25"/>
  <c r="F24" s="1"/>
  <c r="E25"/>
  <c r="D25"/>
  <c r="D24" s="1"/>
  <c r="E24"/>
  <c r="K23"/>
  <c r="L23" s="1"/>
  <c r="F23"/>
  <c r="J22"/>
  <c r="K22" s="1"/>
  <c r="I22"/>
  <c r="H22"/>
  <c r="G22"/>
  <c r="F22"/>
  <c r="D22"/>
  <c r="J21"/>
  <c r="I21"/>
  <c r="H21"/>
  <c r="G21"/>
  <c r="F21"/>
  <c r="E21"/>
  <c r="D21"/>
  <c r="I20"/>
  <c r="J20" s="1"/>
  <c r="K20" s="1"/>
  <c r="L20" s="1"/>
  <c r="F20"/>
  <c r="I19"/>
  <c r="K19" s="1"/>
  <c r="L19" s="1"/>
  <c r="F19"/>
  <c r="H18"/>
  <c r="I18" s="1"/>
  <c r="G18"/>
  <c r="E18"/>
  <c r="F18" s="1"/>
  <c r="D18"/>
  <c r="I17"/>
  <c r="J17" s="1"/>
  <c r="K17" s="1"/>
  <c r="L17" s="1"/>
  <c r="I16"/>
  <c r="J16" s="1"/>
  <c r="K16" s="1"/>
  <c r="L16" s="1"/>
  <c r="I15"/>
  <c r="K15" s="1"/>
  <c r="L15" s="1"/>
  <c r="F15"/>
  <c r="I14"/>
  <c r="H14"/>
  <c r="G14"/>
  <c r="I13"/>
  <c r="J13" s="1"/>
  <c r="F13"/>
  <c r="K12"/>
  <c r="F12"/>
  <c r="F11" s="1"/>
  <c r="F10" s="1"/>
  <c r="H11"/>
  <c r="H10" s="1"/>
  <c r="G11"/>
  <c r="G10" s="1"/>
  <c r="G9" s="1"/>
  <c r="E11"/>
  <c r="E10" s="1"/>
  <c r="E9" s="1"/>
  <c r="D11"/>
  <c r="D10" s="1"/>
  <c r="J11" l="1"/>
  <c r="J10" s="1"/>
  <c r="M48" i="79"/>
  <c r="N49"/>
  <c r="O49" s="1"/>
  <c r="O48" s="1"/>
  <c r="I32" i="78"/>
  <c r="N127"/>
  <c r="N126" s="1"/>
  <c r="N9" i="79"/>
  <c r="J93"/>
  <c r="K90"/>
  <c r="N47"/>
  <c r="O47" s="1"/>
  <c r="O46" s="1"/>
  <c r="M46"/>
  <c r="M121"/>
  <c r="M120" s="1"/>
  <c r="M119" s="1"/>
  <c r="N122"/>
  <c r="O56" i="78"/>
  <c r="K79"/>
  <c r="M127"/>
  <c r="M126" s="1"/>
  <c r="M106" i="79"/>
  <c r="I92" i="78"/>
  <c r="I10"/>
  <c r="K9"/>
  <c r="M9"/>
  <c r="P14"/>
  <c r="M81" i="79"/>
  <c r="M80" s="1"/>
  <c r="J92" i="78"/>
  <c r="O92" i="79"/>
  <c r="O91" s="1"/>
  <c r="N91"/>
  <c r="I30"/>
  <c r="M37"/>
  <c r="M9" s="1"/>
  <c r="P14" s="1"/>
  <c r="K77"/>
  <c r="N107"/>
  <c r="L93"/>
  <c r="K101"/>
  <c r="K100" s="1"/>
  <c r="K9"/>
  <c r="H9"/>
  <c r="I20"/>
  <c r="I19" s="1"/>
  <c r="K61"/>
  <c r="K37"/>
  <c r="K20" s="1"/>
  <c r="I77"/>
  <c r="I73" s="1"/>
  <c r="N94"/>
  <c r="M95" i="78"/>
  <c r="M91" s="1"/>
  <c r="L92"/>
  <c r="K93"/>
  <c r="M93"/>
  <c r="K92"/>
  <c r="M92"/>
  <c r="L93"/>
  <c r="M93" i="79"/>
  <c r="M89" s="1"/>
  <c r="G20"/>
  <c r="M112"/>
  <c r="M111" s="1"/>
  <c r="M107" s="1"/>
  <c r="N127"/>
  <c r="O127" s="1"/>
  <c r="M124"/>
  <c r="M123" s="1"/>
  <c r="N44"/>
  <c r="N23" i="78"/>
  <c r="I21"/>
  <c r="N60"/>
  <c r="N59" s="1"/>
  <c r="N58" s="1"/>
  <c r="J79"/>
  <c r="J75" s="1"/>
  <c r="P95"/>
  <c r="K127"/>
  <c r="K126" s="1"/>
  <c r="J9" i="79"/>
  <c r="J37"/>
  <c r="L37"/>
  <c r="H46"/>
  <c r="H61"/>
  <c r="H60" s="1"/>
  <c r="O70"/>
  <c r="H77"/>
  <c r="H73" s="1"/>
  <c r="J77"/>
  <c r="L77"/>
  <c r="J82"/>
  <c r="L82"/>
  <c r="N96"/>
  <c r="K107"/>
  <c r="J111"/>
  <c r="M23" i="78"/>
  <c r="M22" s="1"/>
  <c r="O23"/>
  <c r="L9" i="79"/>
  <c r="O46" i="78"/>
  <c r="H10"/>
  <c r="J10"/>
  <c r="J22"/>
  <c r="P53"/>
  <c r="P52" s="1"/>
  <c r="M84"/>
  <c r="G77" i="79"/>
  <c r="G73" s="1"/>
  <c r="I9"/>
  <c r="O9"/>
  <c r="N46"/>
  <c r="N48"/>
  <c r="G50"/>
  <c r="J61"/>
  <c r="L61"/>
  <c r="M82"/>
  <c r="H88"/>
  <c r="M20"/>
  <c r="N58"/>
  <c r="N57" s="1"/>
  <c r="J107"/>
  <c r="L111"/>
  <c r="L107" s="1"/>
  <c r="G9"/>
  <c r="M64"/>
  <c r="M62"/>
  <c r="O64"/>
  <c r="O62"/>
  <c r="K19"/>
  <c r="K129" s="1"/>
  <c r="O82"/>
  <c r="N98"/>
  <c r="N93" s="1"/>
  <c r="N89" s="1"/>
  <c r="I18"/>
  <c r="I95" s="1"/>
  <c r="H19"/>
  <c r="H18" s="1"/>
  <c r="J20"/>
  <c r="L20"/>
  <c r="G30"/>
  <c r="O37"/>
  <c r="O20" s="1"/>
  <c r="M77"/>
  <c r="O93"/>
  <c r="O89" s="1"/>
  <c r="O107"/>
  <c r="G61"/>
  <c r="G60" s="1"/>
  <c r="G19"/>
  <c r="G88"/>
  <c r="G89"/>
  <c r="N124"/>
  <c r="N123" s="1"/>
  <c r="O125"/>
  <c r="O124" s="1"/>
  <c r="O123" s="1"/>
  <c r="H95"/>
  <c r="K39" i="78"/>
  <c r="O48"/>
  <c r="O50"/>
  <c r="O54"/>
  <c r="O53" s="1"/>
  <c r="O52" s="1"/>
  <c r="I63"/>
  <c r="I62" s="1"/>
  <c r="L127"/>
  <c r="L126" s="1"/>
  <c r="O10"/>
  <c r="O9" s="1"/>
  <c r="P72"/>
  <c r="L79"/>
  <c r="N79"/>
  <c r="M79"/>
  <c r="I79"/>
  <c r="I75" s="1"/>
  <c r="O84"/>
  <c r="N84"/>
  <c r="O96"/>
  <c r="O98"/>
  <c r="O100"/>
  <c r="H48"/>
  <c r="H52"/>
  <c r="P108"/>
  <c r="P106" s="1"/>
  <c r="P103" s="1"/>
  <c r="P102" s="1"/>
  <c r="O106"/>
  <c r="K22"/>
  <c r="H22"/>
  <c r="L22"/>
  <c r="O72"/>
  <c r="N106"/>
  <c r="N103" s="1"/>
  <c r="N102" s="1"/>
  <c r="Q96" s="1"/>
  <c r="I9"/>
  <c r="J9"/>
  <c r="P9"/>
  <c r="J32"/>
  <c r="J21" s="1"/>
  <c r="J19" s="1"/>
  <c r="J48"/>
  <c r="I52"/>
  <c r="I19" s="1"/>
  <c r="K64"/>
  <c r="M64"/>
  <c r="M63" s="1"/>
  <c r="H79"/>
  <c r="H75" s="1"/>
  <c r="L84"/>
  <c r="L63" s="1"/>
  <c r="P84"/>
  <c r="K84"/>
  <c r="K103"/>
  <c r="K102" s="1"/>
  <c r="M103"/>
  <c r="M102" s="1"/>
  <c r="N14"/>
  <c r="N10" s="1"/>
  <c r="H9"/>
  <c r="H32"/>
  <c r="H21" s="1"/>
  <c r="H63"/>
  <c r="H62" s="1"/>
  <c r="O66"/>
  <c r="O64"/>
  <c r="H90"/>
  <c r="H91"/>
  <c r="L9"/>
  <c r="N66"/>
  <c r="N64"/>
  <c r="P66"/>
  <c r="P64"/>
  <c r="O127"/>
  <c r="O126" s="1"/>
  <c r="P128"/>
  <c r="P127" s="1"/>
  <c r="P126" s="1"/>
  <c r="P39"/>
  <c r="P22" s="1"/>
  <c r="O40"/>
  <c r="O42"/>
  <c r="O44"/>
  <c r="O60"/>
  <c r="O59" s="1"/>
  <c r="O104"/>
  <c r="O103" s="1"/>
  <c r="O102" s="1"/>
  <c r="D41" i="75"/>
  <c r="D40" s="1"/>
  <c r="E41"/>
  <c r="E40" s="1"/>
  <c r="E57"/>
  <c r="G45"/>
  <c r="G44" s="1"/>
  <c r="G61" s="1"/>
  <c r="K45"/>
  <c r="K44" s="1"/>
  <c r="L45"/>
  <c r="L44" s="1"/>
  <c r="J44"/>
  <c r="K21"/>
  <c r="L22"/>
  <c r="L21" s="1"/>
  <c r="L43"/>
  <c r="L41" s="1"/>
  <c r="L40" s="1"/>
  <c r="L39" s="1"/>
  <c r="K41"/>
  <c r="K40" s="1"/>
  <c r="K39" s="1"/>
  <c r="E61"/>
  <c r="E59"/>
  <c r="L12"/>
  <c r="K13"/>
  <c r="L13" s="1"/>
  <c r="L34"/>
  <c r="L33" s="1"/>
  <c r="K33"/>
  <c r="D9"/>
  <c r="D57" s="1"/>
  <c r="F9"/>
  <c r="F57" s="1"/>
  <c r="H9"/>
  <c r="I11"/>
  <c r="I10" s="1"/>
  <c r="I9" s="1"/>
  <c r="I61" s="1"/>
  <c r="J14"/>
  <c r="K14" s="1"/>
  <c r="L14" s="1"/>
  <c r="J18"/>
  <c r="K18" s="1"/>
  <c r="L18" s="1"/>
  <c r="H26"/>
  <c r="J30"/>
  <c r="J33"/>
  <c r="J41"/>
  <c r="J40" s="1"/>
  <c r="J39" s="1"/>
  <c r="H52"/>
  <c r="H45" s="1"/>
  <c r="H44" s="1"/>
  <c r="P91" i="79" l="1"/>
  <c r="L89"/>
  <c r="L90"/>
  <c r="J89"/>
  <c r="J90"/>
  <c r="L19"/>
  <c r="L129" s="1"/>
  <c r="J19"/>
  <c r="J129" s="1"/>
  <c r="N63" i="78"/>
  <c r="O63" s="1"/>
  <c r="P63" s="1"/>
  <c r="M105" i="79"/>
  <c r="N106"/>
  <c r="M104"/>
  <c r="M101" s="1"/>
  <c r="M100" s="1"/>
  <c r="O122"/>
  <c r="O121" s="1"/>
  <c r="O120" s="1"/>
  <c r="O119" s="1"/>
  <c r="N121"/>
  <c r="N120" s="1"/>
  <c r="N119" s="1"/>
  <c r="O90"/>
  <c r="P94"/>
  <c r="N90"/>
  <c r="P91" i="78"/>
  <c r="P93"/>
  <c r="P92"/>
  <c r="M69" i="79"/>
  <c r="M61" s="1"/>
  <c r="M19" s="1"/>
  <c r="N37"/>
  <c r="N20" s="1"/>
  <c r="N9" i="78"/>
  <c r="Q15" s="1"/>
  <c r="G18" i="79"/>
  <c r="G95" s="1"/>
  <c r="O95" i="78"/>
  <c r="M21"/>
  <c r="M132" s="1"/>
  <c r="H19"/>
  <c r="N21"/>
  <c r="N132" s="1"/>
  <c r="H97"/>
  <c r="K63"/>
  <c r="I97"/>
  <c r="K21"/>
  <c r="K132" s="1"/>
  <c r="J97"/>
  <c r="L21"/>
  <c r="L132" s="1"/>
  <c r="O39"/>
  <c r="O22" s="1"/>
  <c r="G63" i="75"/>
  <c r="G65"/>
  <c r="L11"/>
  <c r="L10" s="1"/>
  <c r="H25"/>
  <c r="I25" s="1"/>
  <c r="J25" s="1"/>
  <c r="K25" s="1"/>
  <c r="L25" s="1"/>
  <c r="I26"/>
  <c r="J26" s="1"/>
  <c r="K26" s="1"/>
  <c r="L26" s="1"/>
  <c r="D61"/>
  <c r="D59"/>
  <c r="K30"/>
  <c r="L30" s="1"/>
  <c r="J29"/>
  <c r="I65"/>
  <c r="I63"/>
  <c r="F61"/>
  <c r="F59"/>
  <c r="H61"/>
  <c r="K11"/>
  <c r="K10" s="1"/>
  <c r="P21" i="78" l="1"/>
  <c r="P132" s="1"/>
  <c r="C19" i="80"/>
  <c r="C18" s="1"/>
  <c r="C17" s="1"/>
  <c r="C16" s="1"/>
  <c r="N104" i="79"/>
  <c r="N101" s="1"/>
  <c r="N100" s="1"/>
  <c r="O106"/>
  <c r="O104" s="1"/>
  <c r="O101" s="1"/>
  <c r="O100" s="1"/>
  <c r="O91" i="78"/>
  <c r="O21" s="1"/>
  <c r="O132" s="1"/>
  <c r="O92"/>
  <c r="O93"/>
  <c r="N61" i="79"/>
  <c r="N19" s="1"/>
  <c r="N129" s="1"/>
  <c r="M129"/>
  <c r="O61"/>
  <c r="O19" s="1"/>
  <c r="O129" s="1"/>
  <c r="K29" i="75"/>
  <c r="J24"/>
  <c r="J9" s="1"/>
  <c r="J61" s="1"/>
  <c r="H65"/>
  <c r="H63"/>
  <c r="C15" i="80" l="1"/>
  <c r="C14" s="1"/>
  <c r="C13" s="1"/>
  <c r="C12" s="1"/>
  <c r="J68" i="75"/>
  <c r="J69" s="1"/>
  <c r="J65"/>
  <c r="L29"/>
  <c r="L24" s="1"/>
  <c r="L9" s="1"/>
  <c r="L61" s="1"/>
  <c r="K24"/>
  <c r="K9" s="1"/>
  <c r="K61" s="1"/>
  <c r="C11" i="80" l="1"/>
  <c r="C20"/>
  <c r="C21" s="1"/>
  <c r="L65" i="75"/>
  <c r="L63"/>
  <c r="K65"/>
  <c r="K63"/>
  <c r="J62" l="1"/>
  <c r="J63" s="1"/>
</calcChain>
</file>

<file path=xl/sharedStrings.xml><?xml version="1.0" encoding="utf-8"?>
<sst xmlns="http://schemas.openxmlformats.org/spreadsheetml/2006/main" count="1434" uniqueCount="540">
  <si>
    <t>№ п/п</t>
  </si>
  <si>
    <t>Источники доходов</t>
  </si>
  <si>
    <t>I</t>
  </si>
  <si>
    <t>1.2.</t>
  </si>
  <si>
    <t>2.</t>
  </si>
  <si>
    <t>НАЛОГИ НА СОВОКУПНЫЙ ДОХОД</t>
  </si>
  <si>
    <t>НАЛОГИ НА ИМУЩЕСТВО</t>
  </si>
  <si>
    <t>1.</t>
  </si>
  <si>
    <t>1.1.</t>
  </si>
  <si>
    <t>ИТОГО ДОХОДОВ</t>
  </si>
  <si>
    <t>6.1.</t>
  </si>
  <si>
    <t>Код статьи</t>
  </si>
  <si>
    <t>ВСЕГО РАСХОДОВ</t>
  </si>
  <si>
    <t>ДЕФИЦИТ(-) Профицит(+)</t>
  </si>
  <si>
    <t>0100</t>
  </si>
  <si>
    <t>Код целевой статьи</t>
  </si>
  <si>
    <t>000 1 00 00000 00 0000 000</t>
  </si>
  <si>
    <t>000 1 11 00000 00 0000 000</t>
  </si>
  <si>
    <t>ШТРАФЫ, САНКЦИИ, ВОЗМЕЩЕНИЕ УЩЕРБА</t>
  </si>
  <si>
    <t>000 1 16 00000 00 0000 000</t>
  </si>
  <si>
    <t>000 2 00 00000 00 0000 000</t>
  </si>
  <si>
    <t>0309</t>
  </si>
  <si>
    <t>0700</t>
  </si>
  <si>
    <t>0707</t>
  </si>
  <si>
    <t>0800</t>
  </si>
  <si>
    <t xml:space="preserve"> Наименование статей</t>
  </si>
  <si>
    <t>Код раздела и подраздела</t>
  </si>
  <si>
    <t>Код вида расходов</t>
  </si>
  <si>
    <t>Код экономической статьи</t>
  </si>
  <si>
    <t>0103</t>
  </si>
  <si>
    <t>Другие общегосударственные вопросы</t>
  </si>
  <si>
    <t>0300</t>
  </si>
  <si>
    <t>Жилищно-коммунальное хозяйство</t>
  </si>
  <si>
    <t>0500</t>
  </si>
  <si>
    <t>Образование</t>
  </si>
  <si>
    <t>Социальная политика</t>
  </si>
  <si>
    <t>ИТОГО:</t>
  </si>
  <si>
    <t>Национальная безопасность и правоохранительная деятельность</t>
  </si>
  <si>
    <t>Культура</t>
  </si>
  <si>
    <t>0801</t>
  </si>
  <si>
    <t>1004</t>
  </si>
  <si>
    <t>7</t>
  </si>
  <si>
    <t>5</t>
  </si>
  <si>
    <t>0102</t>
  </si>
  <si>
    <t>1.1.1.1</t>
  </si>
  <si>
    <t>1.1.1</t>
  </si>
  <si>
    <t>Невыясненные поступления</t>
  </si>
  <si>
    <t>0104</t>
  </si>
  <si>
    <t>II</t>
  </si>
  <si>
    <t>6</t>
  </si>
  <si>
    <t>000 1 16 90000 00 0000 140</t>
  </si>
  <si>
    <t>2</t>
  </si>
  <si>
    <t>6.1.1</t>
  </si>
  <si>
    <t>182 1 06 01010 03 0000 110</t>
  </si>
  <si>
    <t>Прочие поступления от денежных взысканий (штрафов) и иных сумм в возмещение ущерба</t>
  </si>
  <si>
    <t>Прочие неналоговые доходы</t>
  </si>
  <si>
    <t>Налог на имущество физических лиц</t>
  </si>
  <si>
    <t>Налог на имущество физических лиц, взимаемый по ставкам, применяемым к объектам налогообложения, расположенным в границах внутригородских муниципальных образований городов федерального значения Москвы и Санкт-Петербурга</t>
  </si>
  <si>
    <t>000 1 13 00000 00 0000 000</t>
  </si>
  <si>
    <t>000 2 02 01000 00 0000 151</t>
  </si>
  <si>
    <t>Арендная плата и поступления от продажи права на заключение договоров аренды земельных участков, за исключением земельных участков , предоставленных на инвестиционных условиях</t>
  </si>
  <si>
    <t>993 1 17 01030 03 0000 180</t>
  </si>
  <si>
    <t>993 2 02 01001 03 0000 151</t>
  </si>
  <si>
    <t>000 2 02 01001 00 0000 151</t>
  </si>
  <si>
    <t>993 2 07 03000 03 0000 180</t>
  </si>
  <si>
    <t>1.1</t>
  </si>
  <si>
    <t>1.1.2</t>
  </si>
  <si>
    <t>2.1</t>
  </si>
  <si>
    <t>2.1.1</t>
  </si>
  <si>
    <t>3.1</t>
  </si>
  <si>
    <t>3.1.1</t>
  </si>
  <si>
    <t>4.1</t>
  </si>
  <si>
    <t>4.1.1</t>
  </si>
  <si>
    <t>4.1.1.1</t>
  </si>
  <si>
    <t>5.1</t>
  </si>
  <si>
    <t>7.1.1</t>
  </si>
  <si>
    <t>9.1</t>
  </si>
  <si>
    <t>ОБЩЕГОСУДАРСТВЕННЫЕ ВОПРОСЫ</t>
  </si>
  <si>
    <t>1.3.1</t>
  </si>
  <si>
    <t>1.3.1.1</t>
  </si>
  <si>
    <t>3</t>
  </si>
  <si>
    <t>220</t>
  </si>
  <si>
    <t>4</t>
  </si>
  <si>
    <t>5.1.1</t>
  </si>
  <si>
    <t>993 1 17 05030 03 0000 180</t>
  </si>
  <si>
    <t>993 1 17 05030 03 0100 180</t>
  </si>
  <si>
    <t>0503</t>
  </si>
  <si>
    <t>Ликвидация несанкционированных свалок бытовых отходов и мусора</t>
  </si>
  <si>
    <t>Выполнение оформления к праздничным мероприятиям</t>
  </si>
  <si>
    <t>Создание условий для развития на территории МО массовой физической культуры и спорта</t>
  </si>
  <si>
    <t>8</t>
  </si>
  <si>
    <t>000 2 02 03027 00 0000 151</t>
  </si>
  <si>
    <t>000 2 02 03000 00 0000 151</t>
  </si>
  <si>
    <t>Субвенции местным бюджетам на выполнение передаваемых полномочий субъектов Российской Федерации</t>
  </si>
  <si>
    <t>000 2 02 03024 00 0000 151</t>
  </si>
  <si>
    <t>993 2 02 03024 03 0000 151</t>
  </si>
  <si>
    <t>993 2 02 03027 03 0100 151</t>
  </si>
  <si>
    <t>9.1.1</t>
  </si>
  <si>
    <t>к Решению Муниципального Совета МО МО Лисий Нос</t>
  </si>
  <si>
    <t>№        п/п</t>
  </si>
  <si>
    <t>993 2 02 03024 03 0200 151</t>
  </si>
  <si>
    <t>Молодежная политика и оздоровление детей</t>
  </si>
  <si>
    <t>993 2 02 03024 03 0100 151</t>
  </si>
  <si>
    <t>993</t>
  </si>
  <si>
    <t>Код по ГРБС</t>
  </si>
  <si>
    <t>3.1.1.1</t>
  </si>
  <si>
    <t>6.1</t>
  </si>
  <si>
    <t>Налог, взимаемый в связи с применением упрощенной системы налообложения.</t>
  </si>
  <si>
    <t>Налог, взимаемый с налогоплательщиков, выбравших в качестве объекта налогообложения доходы</t>
  </si>
  <si>
    <t>Налог, взимаемый с налогоплательщиков, выбравших в качестве объекта налогообложения доходы, уменьшенные на величину расходов</t>
  </si>
  <si>
    <t>ДОХОДЫ ОТ ИСПОЛЬЗОВАНИЯ ИМУЩЕСТВА, НАХОДЯЩЕГОСЯ В ГОСУДАРСТВЕННОЙ И МУНИЦИПАЛЬНОЙ СОБСТВЕННОСТИ</t>
  </si>
  <si>
    <t>Доходы, получаемые в виде арендной платы за земельные участки, государственная собственность на которые не разграничена, а также средства  от продажи права на заключение договоров аренды указанных земельных участков</t>
  </si>
  <si>
    <t>Доходы, получаемые в виде арендной платы за земельные участки, государственная собственность на которые не разграничена и которые расположены в границах городов федерального значения Москвы и Санкт-Петербурга, а также средства  от продажи права на заключение договоров аренды указанных земельных участков</t>
  </si>
  <si>
    <t>000 1 05 00000 00 0000 000</t>
  </si>
  <si>
    <t>000 1 06 00000 00 0000 000</t>
  </si>
  <si>
    <t>Средства, составляющие восстановительную стоимость зеленых насаждений внутриквартального озеленения и подлежащие зачислению в бюджеты внутригородских муниципальных образований Санкт-Петербурга в соответствии с законодательством Санкт-Петербурга</t>
  </si>
  <si>
    <t>5.1.1.1</t>
  </si>
  <si>
    <t>000 2 02 00000 00 0000 151</t>
  </si>
  <si>
    <t>Дотации бюджетам субъектов Российской Федерации и муниципальных образований</t>
  </si>
  <si>
    <t>Дотации на выравнивание  бюджетной обеспеченности</t>
  </si>
  <si>
    <t>6.1.1.1</t>
  </si>
  <si>
    <t>7.1</t>
  </si>
  <si>
    <t>7.1.2.1</t>
  </si>
  <si>
    <t>923</t>
  </si>
  <si>
    <t>Функционирование высшего должностного лица субъекта Российской Федерации и муниципального образования</t>
  </si>
  <si>
    <t>Глава муниципального образования</t>
  </si>
  <si>
    <t>Содержание ребенка в семье опекуна и приемной семье</t>
  </si>
  <si>
    <t>000 1 11 05000 00 0000 120</t>
  </si>
  <si>
    <t>000 1 11 05010 00 0000 120</t>
  </si>
  <si>
    <t>1.2</t>
  </si>
  <si>
    <t xml:space="preserve">000 1 16 90030 03 0100 140 </t>
  </si>
  <si>
    <t>БЕЗВОЗМЕЗДНЫЕ ПОСТУПЛЕНИЯ</t>
  </si>
  <si>
    <t>1</t>
  </si>
  <si>
    <t>Глава местной администрации (исполнительно-распорядительного органа муниципального образования)</t>
  </si>
  <si>
    <t>Резервный фонд местной администрации</t>
  </si>
  <si>
    <t>Формирование архивных фондов органов местного самоуправления,муниципальных предприятий и учреждений</t>
  </si>
  <si>
    <t>Обеспечение своевременного оповещенияи информирования населения об угрозе возникновения или о возникновении ЧС</t>
  </si>
  <si>
    <t>2.1.1.1</t>
  </si>
  <si>
    <t>5.1.</t>
  </si>
  <si>
    <t>Физическая культура и спорт</t>
  </si>
  <si>
    <t>Охрана семьи и детства</t>
  </si>
  <si>
    <t xml:space="preserve">860 1 16 90030 03 0200 140 </t>
  </si>
  <si>
    <t>Главный распорядитель бюджетных средств - Муниципальный Совет муниципального образования п.Лисий Нос (ГРБС)</t>
  </si>
  <si>
    <t>Главный распорядитель бюджетных средств - Местная администрация муниципального образования п.Лисий Нос (ГРБС)</t>
  </si>
  <si>
    <t>1.1.2.</t>
  </si>
  <si>
    <t>Содержание и обеспечение деятельности местной администрации по решению вопросов местного значения</t>
  </si>
  <si>
    <t>002 05 00</t>
  </si>
  <si>
    <t>002 06 01</t>
  </si>
  <si>
    <t>1.1.3.</t>
  </si>
  <si>
    <t>Организация и осуществление деятельности по опеке и попечительству</t>
  </si>
  <si>
    <t>Выполнение отдельных государственных полномочий за счет субвенций из фонда компенсаций Санкт-Петербурга</t>
  </si>
  <si>
    <t>1.2.1</t>
  </si>
  <si>
    <t>1.1.2.1</t>
  </si>
  <si>
    <t>Определение должностных лиц, уполномоченных составлять протоколы об административных правонарушениях, и составление протоколов об административных правонарушениях</t>
  </si>
  <si>
    <t>1.1.4.1.</t>
  </si>
  <si>
    <t>1.2.1.1</t>
  </si>
  <si>
    <t>070 01 00</t>
  </si>
  <si>
    <t>090 01 00</t>
  </si>
  <si>
    <t>092 01 00</t>
  </si>
  <si>
    <t>092 02 00</t>
  </si>
  <si>
    <t>219 03 00</t>
  </si>
  <si>
    <t>219 02 00</t>
  </si>
  <si>
    <t>431 01 00</t>
  </si>
  <si>
    <t>431 02 00</t>
  </si>
  <si>
    <t>Проведение мероприятий по военно-патриотическому воспитанию молодежи на территории муниципального образования</t>
  </si>
  <si>
    <t>Организация и проведение досуговых мероприятий для детей и подростков,проживающих на   территории муниципального образования</t>
  </si>
  <si>
    <t xml:space="preserve">Организация местных и участие в организации и проведении городских  праздничных и иных зрелищных мероприятий </t>
  </si>
  <si>
    <t>457 03 00</t>
  </si>
  <si>
    <t>002 01 00</t>
  </si>
  <si>
    <t>600 01 00</t>
  </si>
  <si>
    <t>600 02 00</t>
  </si>
  <si>
    <t>600 03 00</t>
  </si>
  <si>
    <t>600 04 00</t>
  </si>
  <si>
    <t>Защита населения и территорий от  чрезвычайных ситуаций природного и техногенного характера, гражданская оборона</t>
  </si>
  <si>
    <t>Приложение №2</t>
  </si>
  <si>
    <t>0111</t>
  </si>
  <si>
    <t>0113</t>
  </si>
  <si>
    <t>600 01 01</t>
  </si>
  <si>
    <t>600 02 02</t>
  </si>
  <si>
    <t>600 02 03</t>
  </si>
  <si>
    <t>600 03 01</t>
  </si>
  <si>
    <t>600 04 01</t>
  </si>
  <si>
    <t>600 04 02</t>
  </si>
  <si>
    <t>1101</t>
  </si>
  <si>
    <t>1100</t>
  </si>
  <si>
    <t xml:space="preserve">Физическая культура </t>
  </si>
  <si>
    <t>Средства массовой информации</t>
  </si>
  <si>
    <t>1200</t>
  </si>
  <si>
    <t>1202</t>
  </si>
  <si>
    <t>Периодическая печать и издательства</t>
  </si>
  <si>
    <t>8.1.1</t>
  </si>
  <si>
    <t>8.1.1.1</t>
  </si>
  <si>
    <t>12,7</t>
  </si>
  <si>
    <t>182 1 05 01011 01 0000 110</t>
  </si>
  <si>
    <t>182 1 05 01012 01 0000 110</t>
  </si>
  <si>
    <t>Налог, взимаемый с налогоплатильщиков, выбравших в качестве объекта налогообложения доходы (за налоговые периоды, истекшие до 1 января 2011 года)</t>
  </si>
  <si>
    <t>182 1 05 01021 01 0000 110</t>
  </si>
  <si>
    <t>182 1 05 01022 01 0000 110</t>
  </si>
  <si>
    <t>Налог, взимаемый с налогоплательщиков, выбравших в качестве объекта налогообложения доходы, уменьшенные на величину расходов(за налоговые периоды, истекшие до 1 января 2011 года)</t>
  </si>
  <si>
    <t>1.2.2</t>
  </si>
  <si>
    <t>182 1 05 02010 02 0000 110</t>
  </si>
  <si>
    <t>182 1 05 02020 02 0000 110</t>
  </si>
  <si>
    <t>Единый налог на вмененный доход для отдельных видов деятельности(за налоговые периоды, истекшие до 1 января 2011 года)</t>
  </si>
  <si>
    <t xml:space="preserve">Доходы, получаемые в виде арендной либо иной платы за передачу в возмездное пользование государственного и муниципального имущества (за исключением имущества бюджетных и автономных учреждений,а также имущества государственных и муниципальных унитарных предприятий, в том числе казенных) </t>
  </si>
  <si>
    <t>Штрафы за административные правонарушения в обасти благоустройства, предусмотренные  главой 4 Закона Санкт-Петербурга "Об административных правонарушениях  в Санкт-Петербурге"</t>
  </si>
  <si>
    <t>Штрафы за административные правонарушения в области предпринимательской деятельности, предусмотренные статьей 44  Закона Санкт-Петербурга "Об административных правонарушениях в Санкт-Петербурге"</t>
  </si>
  <si>
    <t>000 1 17 00000 00 0000 000</t>
  </si>
  <si>
    <t>000 1 17 01000 00 0000 180</t>
  </si>
  <si>
    <t>993 2 02 03027 03 0000 151</t>
  </si>
  <si>
    <t>7.2.1</t>
  </si>
  <si>
    <t>Субвенции бюджетам внутригородских муниципальных образований городов федерального значения Москвы и Санкт-Петербурга на содержание ребенка в семье опекуна и приемной семье, а также вознаграждение, причитающееся приемному родителю</t>
  </si>
  <si>
    <t>7.2.1.1</t>
  </si>
  <si>
    <t xml:space="preserve">Перечень и коды главных администраторов доходов местного бюджета </t>
  </si>
  <si>
    <t>№</t>
  </si>
  <si>
    <t>КБК</t>
  </si>
  <si>
    <t>Наименование кода дохода бюджета</t>
  </si>
  <si>
    <t>Невыясненные поступления, зачисляемые в бюджеты внутригородских муниципальных образований городов  федерального значения Москвы и Санкт-Петербурга</t>
  </si>
  <si>
    <t>Прочие неналоговые доходы бюджетов внутригородских муниципальных образований городов  федерального значения Москвы и Санкт-Петербурга</t>
  </si>
  <si>
    <t>Дотации бюджетам внутригородских муниципальных образований городов федерального значения Москвы и Санкт-Петербурга на выравнивание бюджетной обеспеченности</t>
  </si>
  <si>
    <t>993 2 08 03000 03 0000 180</t>
  </si>
  <si>
    <t>Культура, кинематография</t>
  </si>
  <si>
    <t>Возврат дебиторской задолженности прошлых лет</t>
  </si>
  <si>
    <t>4.2</t>
  </si>
  <si>
    <t>Приложение №1</t>
  </si>
  <si>
    <t>Дотации бюджетам внутригородских муниципальных образований городов федерального значения Москвы и Санкт-Петербурга на выравнивание  уровня бюджетной обеспеченности</t>
  </si>
  <si>
    <t>Функционирование законодательных (представительных)   органов   государственной власти и представительных органов муниципальных образований</t>
  </si>
  <si>
    <t>242</t>
  </si>
  <si>
    <t>600 02 04</t>
  </si>
  <si>
    <t xml:space="preserve">План на 2011год(тыс. руб.) </t>
  </si>
  <si>
    <t>Прогноз исполнения за 2011 год</t>
  </si>
  <si>
    <t>Собственные доходы</t>
  </si>
  <si>
    <t>Проект</t>
  </si>
  <si>
    <t>План на 2011 год</t>
  </si>
  <si>
    <t>Исполнение  на 1.09.11</t>
  </si>
  <si>
    <t>000 2 02 02000 00 0000 151</t>
  </si>
  <si>
    <t>000 2 02 02999 00 0000 151</t>
  </si>
  <si>
    <t>Прочие субсидии</t>
  </si>
  <si>
    <t>3.1.2</t>
  </si>
  <si>
    <t>599</t>
  </si>
  <si>
    <t>002 04 00</t>
  </si>
  <si>
    <t>1003</t>
  </si>
  <si>
    <t>505 01 00</t>
  </si>
  <si>
    <t>Социальное обеспечение населения</t>
  </si>
  <si>
    <t xml:space="preserve">Расходы на предоставление доплат к пенсии лицам , замещавшим муниципальные должности и должности муниципальной службы </t>
  </si>
  <si>
    <t xml:space="preserve">Выполнение мероприятий по решению вопросов местного значения за счет субсидий из фонда софинансирования расходов местных бюджетов </t>
  </si>
  <si>
    <t>2.2</t>
  </si>
  <si>
    <t>2.2.1</t>
  </si>
  <si>
    <t>0409</t>
  </si>
  <si>
    <t>Дорожное хозяйство</t>
  </si>
  <si>
    <t>315 01 00</t>
  </si>
  <si>
    <t>3.1.</t>
  </si>
  <si>
    <t>4.2.1</t>
  </si>
  <si>
    <t>4.3</t>
  </si>
  <si>
    <t>4.3.1</t>
  </si>
  <si>
    <t>4.4</t>
  </si>
  <si>
    <t>4.4.1</t>
  </si>
  <si>
    <t>5.1.2</t>
  </si>
  <si>
    <t>5.1.2.1</t>
  </si>
  <si>
    <t>5.1.3</t>
  </si>
  <si>
    <t>5.1.3.1</t>
  </si>
  <si>
    <t>8.1.</t>
  </si>
  <si>
    <t>9</t>
  </si>
  <si>
    <t>9.1.1.1</t>
  </si>
  <si>
    <t>Осуществление в порядке и формах, установленных законом Санкт-Петербурга, поддержки деятельности граждан,общественных объединений, участвующих в охране общественного порядка на территории муниципального образования</t>
  </si>
  <si>
    <t>993 2 02 02999 03 0000 151</t>
  </si>
  <si>
    <t>Прочие субсидии бюджетам внутригородских муниципальных образований городов федерального значения Москвы и Санкт-Петербурга</t>
  </si>
  <si>
    <t>7.2.</t>
  </si>
  <si>
    <t>7.2.2</t>
  </si>
  <si>
    <t>600 04 03</t>
  </si>
  <si>
    <t>Создание зон отдыха. Содержание и уборка детских площадок</t>
  </si>
  <si>
    <t>4.4.2</t>
  </si>
  <si>
    <t>4.4.3</t>
  </si>
  <si>
    <t>7.2.3</t>
  </si>
  <si>
    <t>1.3</t>
  </si>
  <si>
    <t>Компенсации депутатам, осуществляющим свои полномочия на непостоянной основе</t>
  </si>
  <si>
    <t>830 1 11 05011 02 0100 120</t>
  </si>
  <si>
    <t>ДОХОДЫ ОТ ОКАЗАНИЯ ПЛАТНЫХ УСЛУГ(РАБОТ) И КОМПЕНСАЦИИ ЗАТРАТ ГОСУДАРСТВА</t>
  </si>
  <si>
    <t>000 1 13 02990 00 0000 130</t>
  </si>
  <si>
    <t>Прочие доходы от  компенсации затрат государства</t>
  </si>
  <si>
    <t>000 1 13 02993 03 0000 130</t>
  </si>
  <si>
    <t>Прочие доходы от  компенсации затрат бюджетов внутригородских муниципальных образований городов федерального значения Москвы и Санкт-Петербурга</t>
  </si>
  <si>
    <t>867 1 13 02993 03 0100 130</t>
  </si>
  <si>
    <t>182 1 05 01050 01 0000 110</t>
  </si>
  <si>
    <t>Минимальный налог, зачисляемый в бюджеты субъектов Российской Федерации</t>
  </si>
  <si>
    <t>1.1.3</t>
  </si>
  <si>
    <t>000 1 05 01000 00 0000 110</t>
  </si>
  <si>
    <t>000 1 06 01000 00 0000 110</t>
  </si>
  <si>
    <t>000 1 05 02000 02 0000 110</t>
  </si>
  <si>
    <t>Проект на 2015 год</t>
  </si>
  <si>
    <t>7.2.3.1</t>
  </si>
  <si>
    <t>1.4.</t>
  </si>
  <si>
    <t>1.4.1</t>
  </si>
  <si>
    <t>1.4.1.1</t>
  </si>
  <si>
    <t>1.4.1.</t>
  </si>
  <si>
    <t>1.4.2.</t>
  </si>
  <si>
    <t>1.4.2.1</t>
  </si>
  <si>
    <t>1.4.3.</t>
  </si>
  <si>
    <t>1.4.3.1</t>
  </si>
  <si>
    <t>993 2 02 03027 03 0200 151</t>
  </si>
  <si>
    <t>на сод-е</t>
  </si>
  <si>
    <t>План на 2013 год</t>
  </si>
  <si>
    <t>Прогноз исполнения за 2013 год</t>
  </si>
  <si>
    <t>Проект на 2016 год</t>
  </si>
  <si>
    <t>121</t>
  </si>
  <si>
    <t>002 03 02</t>
  </si>
  <si>
    <t>321</t>
  </si>
  <si>
    <t>1.2.3</t>
  </si>
  <si>
    <t>Аппарат представительного органа муниципального образования</t>
  </si>
  <si>
    <t>1.2.4</t>
  </si>
  <si>
    <t>1.2.5</t>
  </si>
  <si>
    <t>Прочая закупка товаров, работ и услуг для муниципальных нужд</t>
  </si>
  <si>
    <t>244</t>
  </si>
  <si>
    <t>Функционирование Правительства Российской Федерации, высших  исполнительных органов государственной власти субъектов Российской Федерации,местных администраций</t>
  </si>
  <si>
    <t>Иные закупки товаров, работ и услуг для муниципальных нужд</t>
  </si>
  <si>
    <t>240</t>
  </si>
  <si>
    <t>Закупка товаров, работ и услуг в сфере информационно-коммуникационных технологий</t>
  </si>
  <si>
    <t>Резервные средства</t>
  </si>
  <si>
    <t>870</t>
  </si>
  <si>
    <t>Субсидии некоммерческим организациям (за исключением муниципальных учреждений)</t>
  </si>
  <si>
    <t>630</t>
  </si>
  <si>
    <t>Формирование и размещение муниципального заказа</t>
  </si>
  <si>
    <t>Уплата членских взносов на осуществление деятельности Совета муниципальных образований Санкт-Петербурга и содержание его органов</t>
  </si>
  <si>
    <t>092 05 00</t>
  </si>
  <si>
    <t>Уплата прочих налогов, сборов и иных платежей</t>
  </si>
  <si>
    <t>852</t>
  </si>
  <si>
    <t>1.4.4</t>
  </si>
  <si>
    <t>Целевая адресная программа по участию в деятельности по профилактике наркомании в Санкт-Петербурге</t>
  </si>
  <si>
    <t>795 04 00</t>
  </si>
  <si>
    <t>1.4.5.1</t>
  </si>
  <si>
    <t>1.4.5</t>
  </si>
  <si>
    <t>Целевая адресная программа по профилактике терроризма и экстремизма, а также минимизации и (или) ликвидации последствий проявления терроризма и экстемизма на территории муниципального образования</t>
  </si>
  <si>
    <t>795 05 00</t>
  </si>
  <si>
    <t>Проведение подготовки и обучения неработающего населения способам защиты и действиям в чрезвычайных ситуациях, а также способам защиты от опасностей, возникающих при ведении военных действий или вследствии этих действий</t>
  </si>
  <si>
    <t>Текущий ремонт и содержание дорог, расположенных в пределах границ муниципального образования</t>
  </si>
  <si>
    <t>Благоустройство придомовых территорий и дворовых территрий</t>
  </si>
  <si>
    <t>Текущий ремонт придомовых территорий и дворовых территорий, включая проезды и выезды, пешеходные дорожки муниципального образования</t>
  </si>
  <si>
    <t>4.1.2</t>
  </si>
  <si>
    <t>Организация дополнительных парковочных мест</t>
  </si>
  <si>
    <t>0502</t>
  </si>
  <si>
    <t>600 01 02</t>
  </si>
  <si>
    <t>4.1.2.1</t>
  </si>
  <si>
    <t>4.1.3</t>
  </si>
  <si>
    <t>Установка исодержание малых архитектурных форм, уличной мебели и хозяйственно-бытового оборудования, необходимого для благоустройства территорий муниципального образования</t>
  </si>
  <si>
    <t>600 01 04</t>
  </si>
  <si>
    <t>4.1.3.1</t>
  </si>
  <si>
    <t>Благоустройство территории муниципального образования, связанное с обеспечением  санитарного благополучия населения</t>
  </si>
  <si>
    <t>Участие в обеспечении чистоты и порядка</t>
  </si>
  <si>
    <t>4.2.1.1</t>
  </si>
  <si>
    <t>4.2.2</t>
  </si>
  <si>
    <t>4.2.2.1</t>
  </si>
  <si>
    <t>4.2.3</t>
  </si>
  <si>
    <t>Уборка водных акваторий , тупиков и проездов</t>
  </si>
  <si>
    <t>4.2.3.1</t>
  </si>
  <si>
    <t>Озеленение территории муниципального образования</t>
  </si>
  <si>
    <t>Озеленение территорий , зеленых насаждений внутриквартального озеленения</t>
  </si>
  <si>
    <t>4.3.1.1</t>
  </si>
  <si>
    <t>4.3.2</t>
  </si>
  <si>
    <t>Проведение санитарных рубок , удалению аварийных,больных деревьев и кустарников</t>
  </si>
  <si>
    <t>600 03 02</t>
  </si>
  <si>
    <t>4.3.2.1</t>
  </si>
  <si>
    <t>Прочие мероприятия в области благоустройства</t>
  </si>
  <si>
    <t>4.4.1.1</t>
  </si>
  <si>
    <t xml:space="preserve">Содержание и уборка спортивных площадок </t>
  </si>
  <si>
    <t>4.4.2.1</t>
  </si>
  <si>
    <t>4.4.3.1</t>
  </si>
  <si>
    <t>Целевая адресная программа по участию в реализации мер по профилактике  дорожно-транспортного травматизма на территории муниципального образования</t>
  </si>
  <si>
    <t>795 01 00</t>
  </si>
  <si>
    <t>440 01 00</t>
  </si>
  <si>
    <t>6.2</t>
  </si>
  <si>
    <t>Иные мероприятия в области культуры</t>
  </si>
  <si>
    <t>0804</t>
  </si>
  <si>
    <t>6.2.1.1</t>
  </si>
  <si>
    <t>7.1.1.1</t>
  </si>
  <si>
    <t>Меры социальной поддержки населения по публичным нормативным обязательствам</t>
  </si>
  <si>
    <t>314</t>
  </si>
  <si>
    <t>Вознаграждение, причитающееся приемному родителю</t>
  </si>
  <si>
    <t>487 01 00</t>
  </si>
  <si>
    <t>Периодические издания, учрежденные представительными органами местного самоуправления</t>
  </si>
  <si>
    <t>457 01 00</t>
  </si>
  <si>
    <t>9.1.2</t>
  </si>
  <si>
    <t>Опубликование муниципальных правовых актов, иной информации</t>
  </si>
  <si>
    <t>9.1.1.2</t>
  </si>
  <si>
    <t>План на 2013г. (тыс.руб)</t>
  </si>
  <si>
    <t>000 1 05 01020 01 0000 110</t>
  </si>
  <si>
    <t>000 1 11 05011 02 0000 120</t>
  </si>
  <si>
    <t>3.1.1.1.0</t>
  </si>
  <si>
    <t>3.2</t>
  </si>
  <si>
    <t>000 1 11 070 00 0000 120</t>
  </si>
  <si>
    <t>3.2.1</t>
  </si>
  <si>
    <t>993 1 11 07013 03 0000 120</t>
  </si>
  <si>
    <t>Доходы от перечисления части прибыли, остающейся после уплаты налогов и иных обязательных платежей муниципальных унитарных предприятий, созданных внутригородскими муниципальными образованиями городов федерального значения Москвы и Санкт-Петербурга</t>
  </si>
  <si>
    <t>4.</t>
  </si>
  <si>
    <t>4.1.1.2</t>
  </si>
  <si>
    <t>Субвенции бюджетам внутригородских муниципальных образований городов федерального значения Москвы и Санкт-Петербурга на выполнение передаваемых полномочий субъектов Российской Федерации</t>
  </si>
  <si>
    <t>Субвенции бюджетам внутригородских муниципальных образований Санкт-Петербурга на выполнение отдельных государственных полномочий Санкт-Петербурга по организации и осуществлению деятельности по опеке и попечительству</t>
  </si>
  <si>
    <t>Субвенции бюджетам внутригородских муниципальных образований Санкт-Петербурга на выполнение отдельного государственного полномочия Санкт-Петербурга по определению должностных лиц, уполномоченных составлять протоколы об административных правонарушениях, и составлению протоколов об административных правонарушениях</t>
  </si>
  <si>
    <t>Субвенции бюджетам  муниципальных образований  на содержание ребенка в семье опекуна и приемной семье, а также вознаграждение, причитающееся приемному родителю</t>
  </si>
  <si>
    <t>Субвенции бюджетам внутригородских муниципальных образований Санкт-Петербурга на содержание ребенка в семье опекуна и приемной семье</t>
  </si>
  <si>
    <t>Субвенции бюджетам внутригородских муниципальных образований Санкт-Петербурга на вознаграждение, причитающееся приемному родителю</t>
  </si>
  <si>
    <t>000 1 11 02000 00 0000 120</t>
  </si>
  <si>
    <t>Доходы от размещения средств бюджетов</t>
  </si>
  <si>
    <t>966 1 11 02031 03 0000 120</t>
  </si>
  <si>
    <t>Доходы от размещения  временно свободных средств местных бюджетов, расположенным в границах внутригородских муниципальных образований городов федерального значения Москвы и Санкт-Петербурга</t>
  </si>
  <si>
    <t>000 1 11 03000 00 0000 120</t>
  </si>
  <si>
    <t>Проценты, полученные от предоставления бюджетных кредитов внутри страны</t>
  </si>
  <si>
    <t>966 1 11 03030 03 0000 120</t>
  </si>
  <si>
    <t>Проценты, полученные от предоставления бюджетных кредитов внутри страны за счет бюджетов внутригородских муниципальных образований городов федерального значения Москвы и Санкт-Петербурга</t>
  </si>
  <si>
    <t>0107</t>
  </si>
  <si>
    <t>020 01 01</t>
  </si>
  <si>
    <t>020 01 00</t>
  </si>
  <si>
    <t>Проведение муниципальных выборов</t>
  </si>
  <si>
    <t>020 00 00</t>
  </si>
  <si>
    <t>Исполнение  на 1.09.13</t>
  </si>
  <si>
    <t>Об утверждении местного бюджета  МО поселок Лисий Нос на 2014 год</t>
  </si>
  <si>
    <t>ДОХОДЫ</t>
  </si>
  <si>
    <t xml:space="preserve">    Сумма    (тыс. руб.)</t>
  </si>
  <si>
    <t>Сумма   (тыс.руб.)</t>
  </si>
  <si>
    <t xml:space="preserve"> РАСХОДОВ МЕСТНОГО БЮДЖЕТА МУНИЦИПАЛЬНОГО ОБРАЗОВАНИЯ ПОСЕЛОК ЛИСИЙ НОС НА 2014 год</t>
  </si>
  <si>
    <t xml:space="preserve"> ВЕДОМСТВЕННАЯ СТРУКТУРА</t>
  </si>
  <si>
    <t>Приложение №3</t>
  </si>
  <si>
    <t xml:space="preserve"> ФУНКЦИОНАЛЬНАЯ СТРУКТУРА</t>
  </si>
  <si>
    <t xml:space="preserve"> МЕСТНОГО БЮДЖЕТА МУНИЦИПАЛЬНОГО ОБРАЗОВАНИЯ ПОСЕЛОК ЛИСИЙ НОС НА 2014 ГОД</t>
  </si>
  <si>
    <t>Единый налог на вмененный доход для отдельных видов деятельности (папентная система налогообложения)</t>
  </si>
  <si>
    <t>Субвенция бюджетам внутригородских муниципальных образований  Санкт-Петербурга на вознаграждение, причитающееся приемному родителю</t>
  </si>
  <si>
    <t>Прочие безвозмездные поступления в бюджеты внутригородских муниципальных образований городов федерального значения Москвы и Санкт-Петербурга</t>
  </si>
  <si>
    <t>Перечисления из бюджетов внутригородских муниципальных образований городов федерального значения Москвы и Санкт-Петербурга (в бюджеты внутригородских муниципальных образований городов федерального значения Москвы и Санкт-Петербурга) для осуществления возврата (зачета) излишне уплаченных или излишне взысканных сумм налогов, сборов и иных платежей, а также сумм процентов за несвоевременное осуществление такого возврата и процентов, начисленных на излишне взысканные суммы</t>
  </si>
  <si>
    <t>991</t>
  </si>
  <si>
    <t>Фонд оплаты труда государственных (муниципальных) органов и взносы по обязательному социальному страхованию</t>
  </si>
  <si>
    <t>Обеспечение проведения выборов и референдумов</t>
  </si>
  <si>
    <t>Резервные фонды</t>
  </si>
  <si>
    <t>Прочая закупка товаров, работ и услуг для обеспечения (государственных) муниципальных нужд</t>
  </si>
  <si>
    <t>Субсидии некоммерческим организациям (за исключением государственных (муниципальных) учреждений)</t>
  </si>
  <si>
    <t xml:space="preserve">Иные закупки товаров, работ и услуг для обеспечения государственных (муниципальных) нужд
</t>
  </si>
  <si>
    <t>1.1.2.2</t>
  </si>
  <si>
    <t>1.1.2.2.1</t>
  </si>
  <si>
    <t>1.1.2.2.2</t>
  </si>
  <si>
    <t>313</t>
  </si>
  <si>
    <t>002 80 01</t>
  </si>
  <si>
    <t>002 80 02</t>
  </si>
  <si>
    <t>511 80 03</t>
  </si>
  <si>
    <t>511 80 04</t>
  </si>
  <si>
    <t>1.2.2.1</t>
  </si>
  <si>
    <t>9.1.2.1</t>
  </si>
  <si>
    <t xml:space="preserve">Другие вопросы в области культуры, кинематографии
</t>
  </si>
  <si>
    <t>6.2.1</t>
  </si>
  <si>
    <t>7.2.2.1</t>
  </si>
  <si>
    <t xml:space="preserve">Функционирование высшего должностного лица субъекта Российской Федерации и муниципального образования
</t>
  </si>
  <si>
    <t xml:space="preserve">Пособия, компенсации и иные социальные выплаты гражданам, кроме публичных нормативных обязательств
</t>
  </si>
  <si>
    <t xml:space="preserve">Пособия, компенсации, меры социальной поддержки по публичным нормативным обязательствам
</t>
  </si>
  <si>
    <t xml:space="preserve">Фонд оплаты труда государственных (муниципальных) органов и взносы по обязательному социальному страхованию
</t>
  </si>
  <si>
    <t>Пособия и компенсации гражданам и иные социальные выплаты гражданам, кроме публичных нормативных обязательств</t>
  </si>
  <si>
    <t xml:space="preserve">Прочая закупка товаров, работ и услуг для обеспечения государственных (муниципальных) нужд
</t>
  </si>
  <si>
    <t>Национальная экономика</t>
  </si>
  <si>
    <t>0400</t>
  </si>
  <si>
    <t xml:space="preserve">Обеспечение проведения выборов и референдумов
</t>
  </si>
  <si>
    <t xml:space="preserve">                           Приложение № 4</t>
  </si>
  <si>
    <t>к Решению Муниципального Совета МО Лисий Нос</t>
  </si>
  <si>
    <t xml:space="preserve">Источники финансирования дефицита бюджета муниципального </t>
  </si>
  <si>
    <t xml:space="preserve">образования пос. Лисий Нос  </t>
  </si>
  <si>
    <t>на 2014 год</t>
  </si>
  <si>
    <t>(тыс.руб.)</t>
  </si>
  <si>
    <t>Код</t>
  </si>
  <si>
    <t>Наименование</t>
  </si>
  <si>
    <t xml:space="preserve"> Сумма </t>
  </si>
  <si>
    <t>1.Источники внутреннего финансирования дефицита бюджета</t>
  </si>
  <si>
    <t xml:space="preserve">000 01 05 00 00 00 0000 000 </t>
  </si>
  <si>
    <t>Изменение остатков средств  на счетах по учету средств бюджетов</t>
  </si>
  <si>
    <t>000 01 05 00 00 00 0000 500</t>
  </si>
  <si>
    <t>Увеличение остатков средств бюджетов</t>
  </si>
  <si>
    <t>000 01 05 02 00 00 0000 500</t>
  </si>
  <si>
    <t>Увеличение прочих остатков средств бюджетов</t>
  </si>
  <si>
    <t>000 01 05 02 01 00 0000 510</t>
  </si>
  <si>
    <t>Увеличение прочих остатков денежных  средств бюджетов</t>
  </si>
  <si>
    <t>993 01 05 02 01 03 0000 510</t>
  </si>
  <si>
    <t>Увеличение прочих остатков  денежных средств бюджетов  внутригородских муниципальных образований городов федерального значения  Москвы и Санкт-Петербурга</t>
  </si>
  <si>
    <t>000 01 05 00 00 00 0000 600</t>
  </si>
  <si>
    <t>Уменьшение остатков средств бюджетов</t>
  </si>
  <si>
    <t>000 01 05 02 00 00 0000 600</t>
  </si>
  <si>
    <t>Уменьшение  прочих остатков средств бюджетов</t>
  </si>
  <si>
    <t>000  01 05 02 01 00 0000 610</t>
  </si>
  <si>
    <t>Уменьшение  прочих остатков денежных  средств бюджетов</t>
  </si>
  <si>
    <t>993 01 05 02 01 03 0000 610</t>
  </si>
  <si>
    <t>Уменьшение прочих остатков  денежных  средств бюджетов   внутригородских муниципальных образований   городов федерального значения  Москвы и Санкт-Петербурга</t>
  </si>
  <si>
    <t>Итого по источникам внутреннего финансирования дефицита бюджета</t>
  </si>
  <si>
    <t>Всего источников финансирования дефицита бюджета</t>
  </si>
  <si>
    <t>Об утверждении местного бюджета  МО пос. Лисий Нос на 2014 год</t>
  </si>
  <si>
    <t xml:space="preserve">Главный администратор источников финансирования </t>
  </si>
  <si>
    <t xml:space="preserve">дефицита местного бюджета муниципального </t>
  </si>
  <si>
    <t>Код бюджетной классификации Российской Федерации</t>
  </si>
  <si>
    <t>источников финансирования дефицита бюджета МО пос. Лисий Нос</t>
  </si>
  <si>
    <t>01 05 02 01 03 0000 510</t>
  </si>
  <si>
    <t>01 05 02 01 03 0000 610</t>
  </si>
  <si>
    <t>главного администратора</t>
  </si>
  <si>
    <t>Увеличение прочих остатков  денежных средств бюджетов  внутригородских муниципальных образований  Санкт-Петербурга</t>
  </si>
  <si>
    <t xml:space="preserve">Уменьшение прочих остатков  денежных  средств бюджетов   внутригородских муниципальных образований  Санкт-Петербурга </t>
  </si>
  <si>
    <r>
      <t xml:space="preserve">                                                                                                                                                            </t>
    </r>
    <r>
      <rPr>
        <b/>
        <sz val="10"/>
        <color rgb="FF000000"/>
        <rFont val="Arial Narrow"/>
        <family val="2"/>
        <charset val="204"/>
      </rPr>
      <t>Приложение 6</t>
    </r>
  </si>
  <si>
    <t xml:space="preserve">                                                                                                                                                               Приложение № 5</t>
  </si>
  <si>
    <t>НАЛОГОВЫЕ И НЕНАЛОГОВЫЕ ДОХОДЫ</t>
  </si>
  <si>
    <t>Платежи от государственных и муниципальных предприятий</t>
  </si>
  <si>
    <t>БЕЗВОЗМЕЗДНЫЕ ПОСТУПЛЕНИЯ ОТДРУГИХ БЮДЖЕТОВ БЮДЖЕТНОЙ СИСТЕМЫ РОССИЙСКОЙ ФЕДЕРАЦИИ</t>
  </si>
  <si>
    <t>СУБСИДИИ БЮДЖЕТАМ СУБЪЕКТОВ РОССИЙСКОЙ ФЕДЕРАЦИИ И МУНИЦИПАЛЬНЫХ ОБРАЗОВАНИЙ (МЕЖБЮДЖЕТНЫЕ СУБСИДИИ)</t>
  </si>
  <si>
    <t xml:space="preserve">СУБВЕНЦИИ СУБЪЕКТОВ РОССИЙСКОЙ ФЕДЕРАЦИИ И МУНИЦИПАЛЬНЫХ ОБРАЗОВАНИЙ </t>
  </si>
  <si>
    <t>7.2</t>
  </si>
  <si>
    <t>7.2.1.2</t>
  </si>
  <si>
    <t>Благоустройство</t>
  </si>
  <si>
    <t>4.1.1.1.1</t>
  </si>
  <si>
    <t>4.1.1.2.1</t>
  </si>
  <si>
    <t>4.1.1.3</t>
  </si>
  <si>
    <t>4.1.1.3.1</t>
  </si>
  <si>
    <t>4.1.2.1.1</t>
  </si>
  <si>
    <t>4.1.2.2</t>
  </si>
  <si>
    <t>4.1.2.2.1</t>
  </si>
  <si>
    <t>4.1.3.1.1</t>
  </si>
  <si>
    <t>4.1.3.2</t>
  </si>
  <si>
    <t>4.1.3.2.1</t>
  </si>
  <si>
    <t>4.1.3.3</t>
  </si>
  <si>
    <t>4.1.3.3.1</t>
  </si>
  <si>
    <t>315 01 01</t>
  </si>
  <si>
    <t>1.2.2.2</t>
  </si>
  <si>
    <t>0705</t>
  </si>
  <si>
    <t xml:space="preserve">Профессиональная подготовка, переподготовка и повышение квалификации
</t>
  </si>
  <si>
    <t>5.2.</t>
  </si>
  <si>
    <t>5.2.1</t>
  </si>
  <si>
    <t>5.2.1.1</t>
  </si>
  <si>
    <t>5.2.2</t>
  </si>
  <si>
    <t>5.2.2.1</t>
  </si>
  <si>
    <t>428 01 00</t>
  </si>
  <si>
    <t>Расходы на подготовку, переподготовку и повышение квалификации выборных должностных лиц местного самоуправления, депутатов представительного органа местного самоуправления, а также муниципальных  служащих и работников муниципальных учреждений.</t>
  </si>
  <si>
    <t xml:space="preserve">Расходы на подготовку, переподготовку и повышение квалификации выборных должностных лиц местного самоуправления, депутатов представительного органа местного самоуправления, а также муниципальных  служащих и работников муниципальных учреждений.
</t>
  </si>
  <si>
    <t>Профессиональная подготовка, переподготовка и повышение квалификации</t>
  </si>
  <si>
    <t>6.1.1.2</t>
  </si>
  <si>
    <t>6.2.1.2</t>
  </si>
  <si>
    <t>Денежные взыскания (штрафы) за нарушение законодательства Российской Федерации о размещении заказов на поставки товаров, выполнение работ, оказание услуг для нужд внутригородских муниципальных образований городов федерального значения Москвы и Санкт-Петербурга</t>
  </si>
  <si>
    <t xml:space="preserve">000 1 16 90030 03 0000 140 </t>
  </si>
  <si>
    <t>№  25  от 17.12.2013г.</t>
  </si>
  <si>
    <t>№   25   от 17.12.2013 г.</t>
  </si>
  <si>
    <t>№ 25  от 17.12.2013г.</t>
  </si>
  <si>
    <t>№  25   от 17.12.2013 г.</t>
  </si>
  <si>
    <t>№   25  от 17.12.2013 г.</t>
  </si>
  <si>
    <t>№   25 от  17.12.2013г.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</si>
</sst>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49">
    <font>
      <sz val="10"/>
      <name val="MS Sans Serif"/>
      <charset val="204"/>
    </font>
    <font>
      <sz val="10"/>
      <name val="MS Sans Serif"/>
      <family val="2"/>
      <charset val="204"/>
    </font>
    <font>
      <b/>
      <sz val="10"/>
      <name val="MS Sans Serif"/>
      <family val="2"/>
      <charset val="204"/>
    </font>
    <font>
      <sz val="14"/>
      <name val="MS Sans Serif"/>
      <family val="2"/>
      <charset val="204"/>
    </font>
    <font>
      <sz val="12"/>
      <name val="MS Sans Serif"/>
      <family val="2"/>
      <charset val="204"/>
    </font>
    <font>
      <b/>
      <sz val="12"/>
      <name val="MS Sans Serif"/>
      <family val="2"/>
      <charset val="204"/>
    </font>
    <font>
      <sz val="8"/>
      <name val="Arial Narrow"/>
      <family val="2"/>
      <charset val="204"/>
    </font>
    <font>
      <b/>
      <sz val="10"/>
      <name val="Arial Narrow"/>
      <family val="2"/>
      <charset val="204"/>
    </font>
    <font>
      <sz val="10"/>
      <name val="Arial Narrow"/>
      <family val="2"/>
      <charset val="204"/>
    </font>
    <font>
      <sz val="7"/>
      <name val="Arial Narrow"/>
      <family val="2"/>
      <charset val="204"/>
    </font>
    <font>
      <b/>
      <sz val="9"/>
      <name val="Arial Narrow"/>
      <family val="2"/>
      <charset val="204"/>
    </font>
    <font>
      <sz val="9"/>
      <name val="Arial Narrow"/>
      <family val="2"/>
      <charset val="204"/>
    </font>
    <font>
      <b/>
      <sz val="12"/>
      <name val="Arial Narrow"/>
      <family val="2"/>
      <charset val="204"/>
    </font>
    <font>
      <sz val="10"/>
      <name val="MS Sans Serif"/>
      <family val="2"/>
      <charset val="204"/>
    </font>
    <font>
      <sz val="10"/>
      <name val="MS Sans Serif"/>
      <family val="2"/>
      <charset val="204"/>
    </font>
    <font>
      <b/>
      <sz val="11"/>
      <name val="Arial Narrow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b/>
      <i/>
      <sz val="8"/>
      <name val="Arial Cyr"/>
      <charset val="204"/>
    </font>
    <font>
      <b/>
      <i/>
      <sz val="9"/>
      <name val="Arial Narrow"/>
      <family val="2"/>
      <charset val="204"/>
    </font>
    <font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rgb="FF000000"/>
      <name val="Arial Narrow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indexed="8"/>
      <name val="Calibri"/>
      <family val="2"/>
      <charset val="204"/>
    </font>
    <font>
      <b/>
      <sz val="10"/>
      <color rgb="FF000000"/>
      <name val="Arial Narrow"/>
      <family val="2"/>
      <charset val="204"/>
    </font>
    <font>
      <b/>
      <i/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Bookman Old Style"/>
      <family val="1"/>
      <charset val="204"/>
    </font>
    <font>
      <b/>
      <sz val="11"/>
      <name val="Bookman Old Style"/>
      <family val="1"/>
      <charset val="204"/>
    </font>
    <font>
      <sz val="11"/>
      <name val="Bookman Old Style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7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i/>
      <sz val="8"/>
      <name val="Times New Roman"/>
      <family val="1"/>
      <charset val="204"/>
    </font>
    <font>
      <sz val="11"/>
      <name val="Times New Roman"/>
      <family val="1"/>
      <charset val="204"/>
    </font>
    <font>
      <b/>
      <sz val="10"/>
      <color rgb="FF000000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7">
    <xf numFmtId="0" fontId="0" fillId="0" borderId="0" applyNumberFormat="0" applyFont="0" applyFill="0" applyBorder="0" applyAlignment="0" applyProtection="0">
      <alignment vertical="top"/>
    </xf>
    <xf numFmtId="0" fontId="13" fillId="0" borderId="0" applyNumberFormat="0" applyFont="0" applyFill="0" applyBorder="0" applyAlignment="0" applyProtection="0">
      <alignment vertical="top"/>
    </xf>
    <xf numFmtId="0" fontId="18" fillId="0" borderId="0" applyNumberFormat="0" applyFont="0" applyFill="0" applyBorder="0" applyAlignment="0" applyProtection="0">
      <alignment vertical="top"/>
    </xf>
    <xf numFmtId="0" fontId="14" fillId="0" borderId="0" applyNumberFormat="0" applyFont="0" applyFill="0" applyBorder="0" applyAlignment="0" applyProtection="0">
      <alignment vertical="top"/>
    </xf>
    <xf numFmtId="0" fontId="22" fillId="0" borderId="0"/>
    <xf numFmtId="0" fontId="16" fillId="0" borderId="0"/>
    <xf numFmtId="0" fontId="17" fillId="0" borderId="0"/>
  </cellStyleXfs>
  <cellXfs count="559">
    <xf numFmtId="0" fontId="0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horizontal="center" vertical="top"/>
    </xf>
    <xf numFmtId="0" fontId="1" fillId="0" borderId="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top"/>
    </xf>
    <xf numFmtId="0" fontId="8" fillId="0" borderId="0" xfId="0" applyNumberFormat="1" applyFont="1" applyFill="1" applyBorder="1" applyAlignment="1" applyProtection="1">
      <alignment vertical="top"/>
    </xf>
    <xf numFmtId="49" fontId="8" fillId="0" borderId="0" xfId="0" applyNumberFormat="1" applyFont="1" applyFill="1" applyBorder="1" applyAlignment="1" applyProtection="1">
      <alignment vertical="top"/>
    </xf>
    <xf numFmtId="0" fontId="8" fillId="0" borderId="0" xfId="0" applyNumberFormat="1" applyFont="1" applyFill="1" applyBorder="1" applyAlignment="1" applyProtection="1">
      <alignment horizontal="center" vertical="top"/>
    </xf>
    <xf numFmtId="164" fontId="8" fillId="0" borderId="0" xfId="0" applyNumberFormat="1" applyFont="1" applyFill="1" applyBorder="1" applyAlignment="1" applyProtection="1">
      <alignment horizontal="center" vertical="top"/>
    </xf>
    <xf numFmtId="164" fontId="8" fillId="0" borderId="8" xfId="3" applyNumberFormat="1" applyFont="1" applyFill="1" applyBorder="1" applyAlignment="1" applyProtection="1">
      <alignment horizontal="center" vertical="center"/>
    </xf>
    <xf numFmtId="49" fontId="21" fillId="0" borderId="0" xfId="4" applyNumberFormat="1" applyFont="1" applyFill="1" applyBorder="1" applyAlignment="1" applyProtection="1">
      <alignment horizontal="center" vertical="center"/>
    </xf>
    <xf numFmtId="0" fontId="21" fillId="0" borderId="0" xfId="4" applyNumberFormat="1" applyFont="1" applyFill="1" applyBorder="1" applyAlignment="1" applyProtection="1">
      <alignment vertical="top"/>
    </xf>
    <xf numFmtId="0" fontId="8" fillId="0" borderId="0" xfId="0" applyNumberFormat="1" applyFont="1" applyFill="1" applyBorder="1" applyAlignment="1" applyProtection="1">
      <alignment vertical="top"/>
      <protection locked="0"/>
    </xf>
    <xf numFmtId="164" fontId="8" fillId="0" borderId="0" xfId="0" applyNumberFormat="1" applyFont="1" applyFill="1" applyBorder="1" applyAlignment="1" applyProtection="1">
      <alignment vertical="top"/>
      <protection locked="0"/>
    </xf>
    <xf numFmtId="49" fontId="8" fillId="0" borderId="0" xfId="0" applyNumberFormat="1" applyFont="1" applyFill="1" applyBorder="1" applyAlignment="1" applyProtection="1">
      <alignment vertical="center"/>
    </xf>
    <xf numFmtId="0" fontId="8" fillId="0" borderId="0" xfId="0" applyNumberFormat="1" applyFont="1" applyFill="1" applyBorder="1" applyAlignment="1" applyProtection="1">
      <alignment horizontal="center" vertical="top"/>
      <protection hidden="1"/>
    </xf>
    <xf numFmtId="0" fontId="8" fillId="0" borderId="0" xfId="0" applyNumberFormat="1" applyFont="1" applyFill="1" applyBorder="1" applyAlignment="1" applyProtection="1">
      <alignment horizontal="left" vertical="top"/>
      <protection hidden="1"/>
    </xf>
    <xf numFmtId="0" fontId="9" fillId="0" borderId="0" xfId="0" applyNumberFormat="1" applyFont="1" applyFill="1" applyBorder="1" applyAlignment="1" applyProtection="1">
      <alignment vertical="top"/>
      <protection hidden="1"/>
    </xf>
    <xf numFmtId="164" fontId="8" fillId="0" borderId="0" xfId="0" applyNumberFormat="1" applyFont="1" applyFill="1" applyBorder="1" applyAlignment="1" applyProtection="1">
      <alignment vertical="top"/>
      <protection hidden="1"/>
    </xf>
    <xf numFmtId="0" fontId="15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15" fillId="0" borderId="2" xfId="0" applyNumberFormat="1" applyFont="1" applyFill="1" applyBorder="1" applyAlignment="1" applyProtection="1">
      <alignment horizontal="center" vertical="center"/>
      <protection hidden="1"/>
    </xf>
    <xf numFmtId="0" fontId="15" fillId="0" borderId="2" xfId="0" applyNumberFormat="1" applyFont="1" applyFill="1" applyBorder="1" applyAlignment="1" applyProtection="1">
      <alignment horizontal="center" vertical="center" wrapText="1"/>
      <protection hidden="1"/>
    </xf>
    <xf numFmtId="0" fontId="15" fillId="0" borderId="0" xfId="4" applyNumberFormat="1" applyFont="1" applyFill="1" applyBorder="1" applyAlignment="1" applyProtection="1">
      <alignment horizontal="right" vertical="center"/>
    </xf>
    <xf numFmtId="0" fontId="21" fillId="0" borderId="0" xfId="4" applyNumberFormat="1" applyFont="1" applyFill="1" applyBorder="1" applyAlignment="1" applyProtection="1">
      <alignment horizontal="right" vertical="center" wrapText="1"/>
    </xf>
    <xf numFmtId="164" fontId="11" fillId="7" borderId="8" xfId="0" applyNumberFormat="1" applyFont="1" applyFill="1" applyBorder="1" applyAlignment="1" applyProtection="1">
      <alignment horizontal="center" vertical="center" wrapText="1"/>
      <protection hidden="1"/>
    </xf>
    <xf numFmtId="164" fontId="15" fillId="0" borderId="2" xfId="0" applyNumberFormat="1" applyFont="1" applyFill="1" applyBorder="1" applyAlignment="1" applyProtection="1">
      <alignment horizontal="center" vertical="center" wrapText="1"/>
      <protection hidden="1"/>
    </xf>
    <xf numFmtId="164" fontId="11" fillId="11" borderId="8" xfId="0" applyNumberFormat="1" applyFont="1" applyFill="1" applyBorder="1" applyAlignment="1" applyProtection="1">
      <alignment horizontal="center" vertical="center" wrapText="1"/>
      <protection hidden="1"/>
    </xf>
    <xf numFmtId="164" fontId="11" fillId="11" borderId="8" xfId="0" applyNumberFormat="1" applyFont="1" applyFill="1" applyBorder="1" applyAlignment="1" applyProtection="1">
      <alignment horizontal="center" vertical="center"/>
      <protection hidden="1"/>
    </xf>
    <xf numFmtId="165" fontId="27" fillId="0" borderId="8" xfId="3" applyNumberFormat="1" applyFont="1" applyFill="1" applyBorder="1" applyAlignment="1" applyProtection="1">
      <alignment horizontal="center" vertical="center"/>
    </xf>
    <xf numFmtId="0" fontId="28" fillId="0" borderId="6" xfId="3" applyNumberFormat="1" applyFont="1" applyFill="1" applyBorder="1" applyAlignment="1" applyProtection="1">
      <alignment horizontal="center" vertical="center"/>
    </xf>
    <xf numFmtId="164" fontId="27" fillId="0" borderId="7" xfId="3" applyNumberFormat="1" applyFont="1" applyFill="1" applyBorder="1" applyAlignment="1" applyProtection="1">
      <alignment horizontal="center" vertical="center"/>
    </xf>
    <xf numFmtId="164" fontId="15" fillId="0" borderId="3" xfId="3" applyNumberFormat="1" applyFont="1" applyFill="1" applyBorder="1" applyAlignment="1" applyProtection="1">
      <alignment horizontal="center" vertical="center" wrapText="1"/>
    </xf>
    <xf numFmtId="0" fontId="27" fillId="0" borderId="40" xfId="3" applyNumberFormat="1" applyFont="1" applyFill="1" applyBorder="1" applyAlignment="1" applyProtection="1">
      <alignment horizontal="center" vertical="center" wrapText="1"/>
    </xf>
    <xf numFmtId="164" fontId="0" fillId="0" borderId="0" xfId="0" applyNumberFormat="1" applyFont="1" applyFill="1" applyBorder="1" applyAlignment="1" applyProtection="1">
      <alignment vertical="top"/>
    </xf>
    <xf numFmtId="165" fontId="27" fillId="0" borderId="3" xfId="3" applyNumberFormat="1" applyFont="1" applyFill="1" applyBorder="1" applyAlignment="1" applyProtection="1">
      <alignment horizontal="center" vertical="center"/>
    </xf>
    <xf numFmtId="0" fontId="7" fillId="0" borderId="5" xfId="3" applyNumberFormat="1" applyFont="1" applyFill="1" applyBorder="1" applyAlignment="1" applyProtection="1">
      <alignment horizontal="center" vertical="center"/>
    </xf>
    <xf numFmtId="0" fontId="8" fillId="0" borderId="29" xfId="3" applyNumberFormat="1" applyFont="1" applyFill="1" applyBorder="1" applyAlignment="1" applyProtection="1">
      <alignment horizontal="center" vertical="center"/>
    </xf>
    <xf numFmtId="49" fontId="10" fillId="11" borderId="8" xfId="0" applyNumberFormat="1" applyFont="1" applyFill="1" applyBorder="1" applyAlignment="1" applyProtection="1">
      <alignment horizontal="center" vertical="center" wrapText="1"/>
      <protection hidden="1"/>
    </xf>
    <xf numFmtId="164" fontId="15" fillId="0" borderId="28" xfId="3" applyNumberFormat="1" applyFont="1" applyFill="1" applyBorder="1" applyAlignment="1" applyProtection="1">
      <alignment horizontal="center" vertical="center" wrapText="1"/>
    </xf>
    <xf numFmtId="164" fontId="11" fillId="7" borderId="38" xfId="0" applyNumberFormat="1" applyFont="1" applyFill="1" applyBorder="1" applyAlignment="1" applyProtection="1">
      <alignment horizontal="center" vertical="center" wrapText="1"/>
      <protection hidden="1"/>
    </xf>
    <xf numFmtId="164" fontId="11" fillId="11" borderId="38" xfId="0" applyNumberFormat="1" applyFont="1" applyFill="1" applyBorder="1" applyAlignment="1" applyProtection="1">
      <alignment horizontal="center" vertical="center" wrapText="1"/>
      <protection hidden="1"/>
    </xf>
    <xf numFmtId="164" fontId="8" fillId="0" borderId="23" xfId="3" applyNumberFormat="1" applyFont="1" applyFill="1" applyBorder="1" applyAlignment="1" applyProtection="1">
      <alignment horizontal="center" vertical="center"/>
    </xf>
    <xf numFmtId="164" fontId="15" fillId="0" borderId="2" xfId="3" applyNumberFormat="1" applyFont="1" applyFill="1" applyBorder="1" applyAlignment="1" applyProtection="1">
      <alignment horizontal="center" vertical="center" wrapText="1"/>
    </xf>
    <xf numFmtId="164" fontId="20" fillId="4" borderId="19" xfId="0" applyNumberFormat="1" applyFont="1" applyFill="1" applyBorder="1" applyAlignment="1" applyProtection="1">
      <alignment horizontal="center" vertical="center" wrapText="1"/>
      <protection hidden="1"/>
    </xf>
    <xf numFmtId="165" fontId="27" fillId="0" borderId="18" xfId="3" applyNumberFormat="1" applyFont="1" applyFill="1" applyBorder="1" applyAlignment="1" applyProtection="1">
      <alignment horizontal="center" vertical="center"/>
    </xf>
    <xf numFmtId="0" fontId="1" fillId="0" borderId="31" xfId="0" applyNumberFormat="1" applyFont="1" applyFill="1" applyBorder="1" applyAlignment="1" applyProtection="1">
      <alignment horizontal="center" vertical="top"/>
    </xf>
    <xf numFmtId="0" fontId="1" fillId="0" borderId="11" xfId="0" applyNumberFormat="1" applyFont="1" applyFill="1" applyBorder="1" applyAlignment="1" applyProtection="1">
      <alignment horizontal="center" vertical="top"/>
    </xf>
    <xf numFmtId="165" fontId="27" fillId="0" borderId="10" xfId="3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right" vertical="top"/>
      <protection locked="0"/>
    </xf>
    <xf numFmtId="0" fontId="8" fillId="0" borderId="0" xfId="2" applyNumberFormat="1" applyFont="1" applyFill="1" applyBorder="1" applyAlignment="1" applyProtection="1">
      <alignment horizontal="right" vertical="top"/>
    </xf>
    <xf numFmtId="0" fontId="8" fillId="0" borderId="0" xfId="0" applyNumberFormat="1" applyFont="1" applyFill="1" applyBorder="1" applyAlignment="1" applyProtection="1">
      <alignment horizontal="right"/>
    </xf>
    <xf numFmtId="2" fontId="10" fillId="11" borderId="8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NumberFormat="1" applyFont="1" applyFill="1" applyBorder="1" applyAlignment="1" applyProtection="1">
      <alignment vertical="top"/>
    </xf>
    <xf numFmtId="0" fontId="8" fillId="0" borderId="0" xfId="2" applyNumberFormat="1" applyFont="1" applyFill="1" applyBorder="1" applyAlignment="1" applyProtection="1">
      <alignment horizontal="left" vertical="top"/>
    </xf>
    <xf numFmtId="164" fontId="15" fillId="0" borderId="19" xfId="3" applyNumberFormat="1" applyFont="1" applyFill="1" applyBorder="1" applyAlignment="1" applyProtection="1">
      <alignment horizontal="center" vertical="center" wrapText="1"/>
    </xf>
    <xf numFmtId="164" fontId="7" fillId="7" borderId="1" xfId="3" applyNumberFormat="1" applyFont="1" applyFill="1" applyBorder="1" applyAlignment="1" applyProtection="1">
      <alignment horizontal="center" vertical="center"/>
    </xf>
    <xf numFmtId="164" fontId="8" fillId="0" borderId="12" xfId="3" applyNumberFormat="1" applyFont="1" applyFill="1" applyBorder="1" applyAlignment="1" applyProtection="1">
      <alignment horizontal="center" vertical="center"/>
    </xf>
    <xf numFmtId="164" fontId="11" fillId="7" borderId="10" xfId="0" applyNumberFormat="1" applyFont="1" applyFill="1" applyBorder="1" applyAlignment="1" applyProtection="1">
      <alignment horizontal="center" vertical="center" wrapText="1"/>
      <protection hidden="1"/>
    </xf>
    <xf numFmtId="164" fontId="2" fillId="0" borderId="0" xfId="0" applyNumberFormat="1" applyFont="1" applyFill="1" applyBorder="1" applyAlignment="1" applyProtection="1">
      <alignment vertical="top"/>
    </xf>
    <xf numFmtId="164" fontId="10" fillId="11" borderId="18" xfId="0" applyNumberFormat="1" applyFont="1" applyFill="1" applyBorder="1" applyAlignment="1" applyProtection="1">
      <alignment horizontal="center" vertical="center" wrapText="1"/>
      <protection hidden="1"/>
    </xf>
    <xf numFmtId="164" fontId="11" fillId="7" borderId="17" xfId="0" applyNumberFormat="1" applyFont="1" applyFill="1" applyBorder="1" applyAlignment="1" applyProtection="1">
      <alignment horizontal="center" vertical="center" wrapText="1"/>
      <protection hidden="1"/>
    </xf>
    <xf numFmtId="164" fontId="11" fillId="11" borderId="17" xfId="0" applyNumberFormat="1" applyFont="1" applyFill="1" applyBorder="1" applyAlignment="1" applyProtection="1">
      <alignment horizontal="center" vertical="center" wrapText="1"/>
      <protection hidden="1"/>
    </xf>
    <xf numFmtId="164" fontId="10" fillId="11" borderId="17" xfId="0" applyNumberFormat="1" applyFont="1" applyFill="1" applyBorder="1" applyAlignment="1" applyProtection="1">
      <alignment horizontal="center" vertical="center" wrapText="1"/>
      <protection hidden="1"/>
    </xf>
    <xf numFmtId="164" fontId="11" fillId="7" borderId="20" xfId="0" applyNumberFormat="1" applyFont="1" applyFill="1" applyBorder="1" applyAlignment="1" applyProtection="1">
      <alignment horizontal="center" vertical="center" wrapText="1"/>
      <protection hidden="1"/>
    </xf>
    <xf numFmtId="164" fontId="7" fillId="8" borderId="18" xfId="0" applyNumberFormat="1" applyFont="1" applyFill="1" applyBorder="1" applyAlignment="1" applyProtection="1">
      <alignment horizontal="center" vertical="center" wrapText="1"/>
      <protection hidden="1"/>
    </xf>
    <xf numFmtId="164" fontId="11" fillId="3" borderId="17" xfId="0" applyNumberFormat="1" applyFont="1" applyFill="1" applyBorder="1" applyAlignment="1" applyProtection="1">
      <alignment horizontal="center" vertical="center" wrapText="1"/>
      <protection hidden="1"/>
    </xf>
    <xf numFmtId="164" fontId="11" fillId="11" borderId="17" xfId="0" applyNumberFormat="1" applyFont="1" applyFill="1" applyBorder="1" applyAlignment="1" applyProtection="1">
      <alignment horizontal="center" vertical="center"/>
      <protection hidden="1"/>
    </xf>
    <xf numFmtId="2" fontId="10" fillId="11" borderId="17" xfId="0" applyNumberFormat="1" applyFont="1" applyFill="1" applyBorder="1" applyAlignment="1" applyProtection="1">
      <alignment horizontal="center" vertical="center" wrapText="1"/>
      <protection hidden="1"/>
    </xf>
    <xf numFmtId="164" fontId="11" fillId="7" borderId="17" xfId="0" applyNumberFormat="1" applyFont="1" applyFill="1" applyBorder="1" applyAlignment="1" applyProtection="1">
      <alignment horizontal="center" vertical="center"/>
      <protection hidden="1"/>
    </xf>
    <xf numFmtId="164" fontId="7" fillId="8" borderId="19" xfId="0" applyNumberFormat="1" applyFont="1" applyFill="1" applyBorder="1" applyAlignment="1" applyProtection="1">
      <alignment horizontal="center" vertical="center" wrapText="1"/>
      <protection hidden="1"/>
    </xf>
    <xf numFmtId="164" fontId="11" fillId="7" borderId="18" xfId="0" applyNumberFormat="1" applyFont="1" applyFill="1" applyBorder="1" applyAlignment="1" applyProtection="1">
      <alignment horizontal="center" vertical="center" wrapText="1"/>
      <protection hidden="1"/>
    </xf>
    <xf numFmtId="164" fontId="10" fillId="7" borderId="19" xfId="0" applyNumberFormat="1" applyFont="1" applyFill="1" applyBorder="1" applyAlignment="1" applyProtection="1">
      <alignment horizontal="center" vertical="center" wrapText="1"/>
      <protection hidden="1"/>
    </xf>
    <xf numFmtId="164" fontId="6" fillId="0" borderId="18" xfId="2" applyNumberFormat="1" applyFont="1" applyFill="1" applyBorder="1" applyAlignment="1" applyProtection="1">
      <alignment horizontal="center" vertical="center"/>
    </xf>
    <xf numFmtId="164" fontId="6" fillId="0" borderId="17" xfId="2" applyNumberFormat="1" applyFont="1" applyFill="1" applyBorder="1" applyAlignment="1" applyProtection="1">
      <alignment horizontal="center" vertical="center"/>
    </xf>
    <xf numFmtId="164" fontId="6" fillId="0" borderId="20" xfId="2" applyNumberFormat="1" applyFont="1" applyFill="1" applyBorder="1" applyAlignment="1" applyProtection="1">
      <alignment horizontal="center" vertical="center"/>
    </xf>
    <xf numFmtId="164" fontId="11" fillId="11" borderId="18" xfId="0" applyNumberFormat="1" applyFont="1" applyFill="1" applyBorder="1" applyAlignment="1" applyProtection="1">
      <alignment horizontal="center" vertical="center" wrapText="1"/>
      <protection hidden="1"/>
    </xf>
    <xf numFmtId="164" fontId="8" fillId="0" borderId="17" xfId="3" applyNumberFormat="1" applyFont="1" applyFill="1" applyBorder="1" applyAlignment="1" applyProtection="1">
      <alignment horizontal="center" vertical="center"/>
    </xf>
    <xf numFmtId="49" fontId="15" fillId="10" borderId="2" xfId="0" applyNumberFormat="1" applyFont="1" applyFill="1" applyBorder="1" applyAlignment="1" applyProtection="1">
      <alignment horizontal="center" vertical="center"/>
      <protection hidden="1"/>
    </xf>
    <xf numFmtId="164" fontId="15" fillId="10" borderId="19" xfId="0" applyNumberFormat="1" applyFont="1" applyFill="1" applyBorder="1" applyAlignment="1" applyProtection="1">
      <alignment horizontal="center" vertical="center"/>
      <protection hidden="1"/>
    </xf>
    <xf numFmtId="164" fontId="8" fillId="0" borderId="6" xfId="3" applyNumberFormat="1" applyFont="1" applyFill="1" applyBorder="1" applyAlignment="1" applyProtection="1">
      <alignment horizontal="center" vertical="center"/>
    </xf>
    <xf numFmtId="164" fontId="8" fillId="0" borderId="20" xfId="3" applyNumberFormat="1" applyFont="1" applyFill="1" applyBorder="1" applyAlignment="1" applyProtection="1">
      <alignment horizontal="center" vertical="center"/>
    </xf>
    <xf numFmtId="164" fontId="8" fillId="7" borderId="18" xfId="3" applyNumberFormat="1" applyFont="1" applyFill="1" applyBorder="1" applyAlignment="1" applyProtection="1">
      <alignment horizontal="center" vertical="center"/>
    </xf>
    <xf numFmtId="164" fontId="8" fillId="7" borderId="17" xfId="3" applyNumberFormat="1" applyFont="1" applyFill="1" applyBorder="1" applyAlignment="1" applyProtection="1">
      <alignment horizontal="center" vertical="center"/>
    </xf>
    <xf numFmtId="2" fontId="11" fillId="11" borderId="8" xfId="0" applyNumberFormat="1" applyFont="1" applyFill="1" applyBorder="1" applyAlignment="1" applyProtection="1">
      <alignment horizontal="center" vertical="center" wrapText="1"/>
      <protection hidden="1"/>
    </xf>
    <xf numFmtId="164" fontId="12" fillId="6" borderId="3" xfId="3" applyNumberFormat="1" applyFont="1" applyFill="1" applyBorder="1" applyAlignment="1" applyProtection="1">
      <alignment horizontal="center" vertical="center"/>
    </xf>
    <xf numFmtId="164" fontId="12" fillId="2" borderId="4" xfId="3" applyNumberFormat="1" applyFont="1" applyFill="1" applyBorder="1" applyAlignment="1" applyProtection="1">
      <alignment horizontal="center" vertical="center"/>
    </xf>
    <xf numFmtId="164" fontId="8" fillId="0" borderId="18" xfId="3" applyNumberFormat="1" applyFont="1" applyFill="1" applyBorder="1" applyAlignment="1" applyProtection="1">
      <alignment horizontal="center" vertical="center"/>
    </xf>
    <xf numFmtId="164" fontId="12" fillId="2" borderId="19" xfId="3" applyNumberFormat="1" applyFont="1" applyFill="1" applyBorder="1" applyAlignment="1" applyProtection="1">
      <alignment horizontal="center" vertical="center"/>
    </xf>
    <xf numFmtId="164" fontId="7" fillId="9" borderId="17" xfId="3" applyNumberFormat="1" applyFont="1" applyFill="1" applyBorder="1" applyAlignment="1" applyProtection="1">
      <alignment horizontal="center" vertical="center"/>
    </xf>
    <xf numFmtId="164" fontId="7" fillId="2" borderId="19" xfId="3" applyNumberFormat="1" applyFont="1" applyFill="1" applyBorder="1" applyAlignment="1" applyProtection="1">
      <alignment horizontal="center" vertical="center"/>
    </xf>
    <xf numFmtId="164" fontId="7" fillId="5" borderId="19" xfId="3" applyNumberFormat="1" applyFont="1" applyFill="1" applyBorder="1" applyAlignment="1" applyProtection="1">
      <alignment horizontal="center" vertical="center"/>
    </xf>
    <xf numFmtId="164" fontId="7" fillId="2" borderId="36" xfId="3" applyNumberFormat="1" applyFont="1" applyFill="1" applyBorder="1" applyAlignment="1" applyProtection="1">
      <alignment horizontal="center" vertical="center"/>
    </xf>
    <xf numFmtId="164" fontId="7" fillId="0" borderId="18" xfId="3" applyNumberFormat="1" applyFont="1" applyFill="1" applyBorder="1" applyAlignment="1" applyProtection="1">
      <alignment horizontal="center" vertical="center"/>
    </xf>
    <xf numFmtId="164" fontId="7" fillId="0" borderId="17" xfId="3" applyNumberFormat="1" applyFont="1" applyFill="1" applyBorder="1" applyAlignment="1" applyProtection="1">
      <alignment horizontal="center" vertical="center"/>
    </xf>
    <xf numFmtId="164" fontId="7" fillId="0" borderId="19" xfId="3" applyNumberFormat="1" applyFont="1" applyFill="1" applyBorder="1" applyAlignment="1" applyProtection="1">
      <alignment horizontal="center" vertical="center"/>
    </xf>
    <xf numFmtId="164" fontId="7" fillId="7" borderId="18" xfId="3" applyNumberFormat="1" applyFont="1" applyFill="1" applyBorder="1" applyAlignment="1" applyProtection="1">
      <alignment horizontal="center" vertical="center"/>
    </xf>
    <xf numFmtId="164" fontId="19" fillId="11" borderId="17" xfId="0" applyNumberFormat="1" applyFont="1" applyFill="1" applyBorder="1" applyAlignment="1">
      <alignment horizontal="center" vertical="center" wrapText="1"/>
    </xf>
    <xf numFmtId="2" fontId="10" fillId="13" borderId="17" xfId="0" applyNumberFormat="1" applyFont="1" applyFill="1" applyBorder="1" applyAlignment="1" applyProtection="1">
      <alignment horizontal="center" vertical="center" wrapText="1"/>
      <protection hidden="1"/>
    </xf>
    <xf numFmtId="2" fontId="0" fillId="0" borderId="0" xfId="0" applyNumberFormat="1" applyFont="1" applyFill="1" applyBorder="1" applyAlignment="1" applyProtection="1">
      <alignment vertical="top"/>
    </xf>
    <xf numFmtId="164" fontId="20" fillId="4" borderId="28" xfId="0" applyNumberFormat="1" applyFont="1" applyFill="1" applyBorder="1" applyAlignment="1" applyProtection="1">
      <alignment horizontal="center" vertical="center" wrapText="1"/>
      <protection hidden="1"/>
    </xf>
    <xf numFmtId="164" fontId="10" fillId="11" borderId="32" xfId="0" applyNumberFormat="1" applyFont="1" applyFill="1" applyBorder="1" applyAlignment="1" applyProtection="1">
      <alignment horizontal="center" vertical="center" wrapText="1"/>
      <protection hidden="1"/>
    </xf>
    <xf numFmtId="164" fontId="11" fillId="7" borderId="23" xfId="0" applyNumberFormat="1" applyFont="1" applyFill="1" applyBorder="1" applyAlignment="1" applyProtection="1">
      <alignment horizontal="center" vertical="center" wrapText="1"/>
      <protection hidden="1"/>
    </xf>
    <xf numFmtId="164" fontId="11" fillId="11" borderId="33" xfId="0" applyNumberFormat="1" applyFont="1" applyFill="1" applyBorder="1" applyAlignment="1" applyProtection="1">
      <alignment horizontal="center" vertical="center" wrapText="1"/>
      <protection hidden="1"/>
    </xf>
    <xf numFmtId="164" fontId="10" fillId="11" borderId="23" xfId="0" applyNumberFormat="1" applyFont="1" applyFill="1" applyBorder="1" applyAlignment="1" applyProtection="1">
      <alignment horizontal="center" vertical="center" wrapText="1"/>
      <protection hidden="1"/>
    </xf>
    <xf numFmtId="164" fontId="11" fillId="7" borderId="35" xfId="0" applyNumberFormat="1" applyFont="1" applyFill="1" applyBorder="1" applyAlignment="1" applyProtection="1">
      <alignment horizontal="center" vertical="center" wrapText="1"/>
      <protection hidden="1"/>
    </xf>
    <xf numFmtId="164" fontId="11" fillId="7" borderId="39" xfId="0" applyNumberFormat="1" applyFont="1" applyFill="1" applyBorder="1" applyAlignment="1" applyProtection="1">
      <alignment horizontal="center" vertical="center" wrapText="1"/>
      <protection hidden="1"/>
    </xf>
    <xf numFmtId="164" fontId="7" fillId="8" borderId="32" xfId="0" applyNumberFormat="1" applyFont="1" applyFill="1" applyBorder="1" applyAlignment="1" applyProtection="1">
      <alignment horizontal="center" vertical="center" wrapText="1"/>
      <protection hidden="1"/>
    </xf>
    <xf numFmtId="164" fontId="11" fillId="3" borderId="23" xfId="0" applyNumberFormat="1" applyFont="1" applyFill="1" applyBorder="1" applyAlignment="1" applyProtection="1">
      <alignment horizontal="center" vertical="center" wrapText="1"/>
      <protection hidden="1"/>
    </xf>
    <xf numFmtId="164" fontId="11" fillId="11" borderId="23" xfId="0" applyNumberFormat="1" applyFont="1" applyFill="1" applyBorder="1" applyAlignment="1" applyProtection="1">
      <alignment horizontal="center" vertical="center" wrapText="1"/>
      <protection hidden="1"/>
    </xf>
    <xf numFmtId="164" fontId="11" fillId="11" borderId="38" xfId="0" applyNumberFormat="1" applyFont="1" applyFill="1" applyBorder="1" applyAlignment="1" applyProtection="1">
      <alignment horizontal="center" vertical="center"/>
      <protection hidden="1"/>
    </xf>
    <xf numFmtId="2" fontId="11" fillId="11" borderId="38" xfId="0" applyNumberFormat="1" applyFont="1" applyFill="1" applyBorder="1" applyAlignment="1" applyProtection="1">
      <alignment horizontal="center" vertical="center" wrapText="1"/>
      <protection hidden="1"/>
    </xf>
    <xf numFmtId="164" fontId="11" fillId="11" borderId="23" xfId="0" applyNumberFormat="1" applyFont="1" applyFill="1" applyBorder="1" applyAlignment="1" applyProtection="1">
      <alignment horizontal="center" vertical="center"/>
      <protection hidden="1"/>
    </xf>
    <xf numFmtId="2" fontId="10" fillId="11" borderId="38" xfId="0" applyNumberFormat="1" applyFont="1" applyFill="1" applyBorder="1" applyAlignment="1" applyProtection="1">
      <alignment horizontal="center" vertical="center" wrapText="1"/>
      <protection hidden="1"/>
    </xf>
    <xf numFmtId="49" fontId="10" fillId="11" borderId="38" xfId="0" applyNumberFormat="1" applyFont="1" applyFill="1" applyBorder="1" applyAlignment="1" applyProtection="1">
      <alignment horizontal="center" vertical="center" wrapText="1"/>
      <protection hidden="1"/>
    </xf>
    <xf numFmtId="2" fontId="10" fillId="11" borderId="33" xfId="0" applyNumberFormat="1" applyFont="1" applyFill="1" applyBorder="1" applyAlignment="1" applyProtection="1">
      <alignment horizontal="center" vertical="center" wrapText="1"/>
      <protection hidden="1"/>
    </xf>
    <xf numFmtId="2" fontId="10" fillId="11" borderId="23" xfId="0" applyNumberFormat="1" applyFont="1" applyFill="1" applyBorder="1" applyAlignment="1" applyProtection="1">
      <alignment horizontal="center" vertical="center" wrapText="1"/>
      <protection hidden="1"/>
    </xf>
    <xf numFmtId="164" fontId="11" fillId="7" borderId="23" xfId="0" applyNumberFormat="1" applyFont="1" applyFill="1" applyBorder="1" applyAlignment="1" applyProtection="1">
      <alignment horizontal="center" vertical="center"/>
      <protection hidden="1"/>
    </xf>
    <xf numFmtId="2" fontId="10" fillId="13" borderId="23" xfId="0" applyNumberFormat="1" applyFont="1" applyFill="1" applyBorder="1" applyAlignment="1" applyProtection="1">
      <alignment horizontal="center" vertical="center" wrapText="1"/>
      <protection hidden="1"/>
    </xf>
    <xf numFmtId="164" fontId="11" fillId="7" borderId="33" xfId="0" applyNumberFormat="1" applyFont="1" applyFill="1" applyBorder="1" applyAlignment="1" applyProtection="1">
      <alignment horizontal="center" vertical="center" wrapText="1"/>
      <protection hidden="1"/>
    </xf>
    <xf numFmtId="164" fontId="19" fillId="11" borderId="23" xfId="0" applyNumberFormat="1" applyFont="1" applyFill="1" applyBorder="1" applyAlignment="1">
      <alignment horizontal="center" vertical="center" wrapText="1"/>
    </xf>
    <xf numFmtId="164" fontId="7" fillId="8" borderId="28" xfId="0" applyNumberFormat="1" applyFont="1" applyFill="1" applyBorder="1" applyAlignment="1" applyProtection="1">
      <alignment horizontal="center" vertical="center" wrapText="1"/>
      <protection hidden="1"/>
    </xf>
    <xf numFmtId="164" fontId="11" fillId="7" borderId="32" xfId="0" applyNumberFormat="1" applyFont="1" applyFill="1" applyBorder="1" applyAlignment="1" applyProtection="1">
      <alignment horizontal="center" vertical="center" wrapText="1"/>
      <protection hidden="1"/>
    </xf>
    <xf numFmtId="164" fontId="10" fillId="7" borderId="28" xfId="0" applyNumberFormat="1" applyFont="1" applyFill="1" applyBorder="1" applyAlignment="1" applyProtection="1">
      <alignment horizontal="center" vertical="center" wrapText="1"/>
      <protection hidden="1"/>
    </xf>
    <xf numFmtId="164" fontId="6" fillId="0" borderId="32" xfId="2" applyNumberFormat="1" applyFont="1" applyFill="1" applyBorder="1" applyAlignment="1" applyProtection="1">
      <alignment horizontal="center" vertical="center"/>
    </xf>
    <xf numFmtId="164" fontId="6" fillId="0" borderId="23" xfId="2" applyNumberFormat="1" applyFont="1" applyFill="1" applyBorder="1" applyAlignment="1" applyProtection="1">
      <alignment horizontal="center" vertical="center"/>
    </xf>
    <xf numFmtId="164" fontId="6" fillId="0" borderId="39" xfId="2" applyNumberFormat="1" applyFont="1" applyFill="1" applyBorder="1" applyAlignment="1" applyProtection="1">
      <alignment horizontal="center" vertical="center"/>
    </xf>
    <xf numFmtId="164" fontId="11" fillId="11" borderId="32" xfId="0" applyNumberFormat="1" applyFont="1" applyFill="1" applyBorder="1" applyAlignment="1" applyProtection="1">
      <alignment horizontal="center" vertical="center" wrapText="1"/>
      <protection hidden="1"/>
    </xf>
    <xf numFmtId="164" fontId="15" fillId="10" borderId="28" xfId="0" applyNumberFormat="1" applyFont="1" applyFill="1" applyBorder="1" applyAlignment="1" applyProtection="1">
      <alignment horizontal="center" vertical="center"/>
      <protection hidden="1"/>
    </xf>
    <xf numFmtId="164" fontId="12" fillId="6" borderId="28" xfId="3" applyNumberFormat="1" applyFont="1" applyFill="1" applyBorder="1" applyAlignment="1" applyProtection="1">
      <alignment horizontal="center" vertical="center"/>
    </xf>
    <xf numFmtId="164" fontId="12" fillId="2" borderId="26" xfId="3" applyNumberFormat="1" applyFont="1" applyFill="1" applyBorder="1" applyAlignment="1" applyProtection="1">
      <alignment horizontal="center" vertical="center"/>
    </xf>
    <xf numFmtId="164" fontId="8" fillId="0" borderId="41" xfId="3" applyNumberFormat="1" applyFont="1" applyFill="1" applyBorder="1" applyAlignment="1" applyProtection="1">
      <alignment horizontal="center" vertical="center"/>
    </xf>
    <xf numFmtId="164" fontId="8" fillId="0" borderId="33" xfId="3" applyNumberFormat="1" applyFont="1" applyFill="1" applyBorder="1" applyAlignment="1" applyProtection="1">
      <alignment horizontal="center" vertical="center"/>
    </xf>
    <xf numFmtId="164" fontId="12" fillId="2" borderId="28" xfId="3" applyNumberFormat="1" applyFont="1" applyFill="1" applyBorder="1" applyAlignment="1" applyProtection="1">
      <alignment horizontal="center" vertical="center"/>
    </xf>
    <xf numFmtId="164" fontId="7" fillId="9" borderId="23" xfId="3" applyNumberFormat="1" applyFont="1" applyFill="1" applyBorder="1" applyAlignment="1" applyProtection="1">
      <alignment horizontal="center" vertical="center"/>
    </xf>
    <xf numFmtId="164" fontId="7" fillId="2" borderId="28" xfId="3" applyNumberFormat="1" applyFont="1" applyFill="1" applyBorder="1" applyAlignment="1" applyProtection="1">
      <alignment horizontal="center" vertical="center"/>
    </xf>
    <xf numFmtId="164" fontId="8" fillId="0" borderId="32" xfId="3" applyNumberFormat="1" applyFont="1" applyFill="1" applyBorder="1" applyAlignment="1" applyProtection="1">
      <alignment horizontal="center" vertical="center"/>
    </xf>
    <xf numFmtId="164" fontId="7" fillId="5" borderId="28" xfId="3" applyNumberFormat="1" applyFont="1" applyFill="1" applyBorder="1" applyAlignment="1" applyProtection="1">
      <alignment horizontal="center" vertical="center"/>
    </xf>
    <xf numFmtId="164" fontId="7" fillId="2" borderId="26" xfId="3" applyNumberFormat="1" applyFont="1" applyFill="1" applyBorder="1" applyAlignment="1" applyProtection="1">
      <alignment horizontal="center" vertical="center"/>
    </xf>
    <xf numFmtId="164" fontId="7" fillId="0" borderId="32" xfId="3" applyNumberFormat="1" applyFont="1" applyFill="1" applyBorder="1" applyAlignment="1" applyProtection="1">
      <alignment horizontal="center" vertical="center"/>
    </xf>
    <xf numFmtId="164" fontId="7" fillId="0" borderId="23" xfId="3" applyNumberFormat="1" applyFont="1" applyFill="1" applyBorder="1" applyAlignment="1" applyProtection="1">
      <alignment horizontal="center" vertical="center"/>
    </xf>
    <xf numFmtId="164" fontId="8" fillId="0" borderId="39" xfId="3" applyNumberFormat="1" applyFont="1" applyFill="1" applyBorder="1" applyAlignment="1" applyProtection="1">
      <alignment horizontal="center" vertical="center"/>
    </xf>
    <xf numFmtId="164" fontId="8" fillId="7" borderId="32" xfId="3" applyNumberFormat="1" applyFont="1" applyFill="1" applyBorder="1" applyAlignment="1" applyProtection="1">
      <alignment horizontal="center" vertical="center"/>
    </xf>
    <xf numFmtId="164" fontId="7" fillId="7" borderId="43" xfId="3" applyNumberFormat="1" applyFont="1" applyFill="1" applyBorder="1" applyAlignment="1" applyProtection="1">
      <alignment horizontal="center" vertical="center"/>
    </xf>
    <xf numFmtId="164" fontId="8" fillId="7" borderId="23" xfId="3" applyNumberFormat="1" applyFont="1" applyFill="1" applyBorder="1" applyAlignment="1" applyProtection="1">
      <alignment horizontal="center" vertical="center"/>
    </xf>
    <xf numFmtId="165" fontId="27" fillId="0" borderId="32" xfId="3" applyNumberFormat="1" applyFont="1" applyFill="1" applyBorder="1" applyAlignment="1" applyProtection="1">
      <alignment horizontal="center" vertical="center"/>
    </xf>
    <xf numFmtId="164" fontId="7" fillId="0" borderId="28" xfId="3" applyNumberFormat="1" applyFont="1" applyFill="1" applyBorder="1" applyAlignment="1" applyProtection="1">
      <alignment horizontal="center" vertical="center"/>
    </xf>
    <xf numFmtId="164" fontId="7" fillId="7" borderId="32" xfId="3" applyNumberFormat="1" applyFont="1" applyFill="1" applyBorder="1" applyAlignment="1" applyProtection="1">
      <alignment horizontal="center" vertical="center"/>
    </xf>
    <xf numFmtId="164" fontId="8" fillId="0" borderId="38" xfId="3" applyNumberFormat="1" applyFont="1" applyFill="1" applyBorder="1" applyAlignment="1" applyProtection="1">
      <alignment horizontal="center" vertical="center"/>
    </xf>
    <xf numFmtId="165" fontId="27" fillId="0" borderId="28" xfId="3" applyNumberFormat="1" applyFont="1" applyFill="1" applyBorder="1" applyAlignment="1" applyProtection="1">
      <alignment horizontal="center" vertical="center"/>
    </xf>
    <xf numFmtId="49" fontId="31" fillId="10" borderId="2" xfId="0" applyNumberFormat="1" applyFont="1" applyFill="1" applyBorder="1" applyAlignment="1" applyProtection="1">
      <alignment horizontal="center" vertical="center" wrapText="1"/>
      <protection hidden="1"/>
    </xf>
    <xf numFmtId="164" fontId="31" fillId="4" borderId="2" xfId="0" applyNumberFormat="1" applyFont="1" applyFill="1" applyBorder="1" applyAlignment="1" applyProtection="1">
      <alignment horizontal="center" vertical="center" wrapText="1"/>
      <protection hidden="1"/>
    </xf>
    <xf numFmtId="164" fontId="31" fillId="4" borderId="19" xfId="0" applyNumberFormat="1" applyFont="1" applyFill="1" applyBorder="1" applyAlignment="1" applyProtection="1">
      <alignment horizontal="center" vertical="center" wrapText="1"/>
      <protection hidden="1"/>
    </xf>
    <xf numFmtId="49" fontId="32" fillId="11" borderId="8" xfId="0" applyNumberFormat="1" applyFont="1" applyFill="1" applyBorder="1" applyAlignment="1" applyProtection="1">
      <alignment horizontal="center" vertical="center" wrapText="1"/>
      <protection hidden="1"/>
    </xf>
    <xf numFmtId="164" fontId="32" fillId="11" borderId="8" xfId="0" applyNumberFormat="1" applyFont="1" applyFill="1" applyBorder="1" applyAlignment="1" applyProtection="1">
      <alignment horizontal="center" vertical="center" wrapText="1"/>
      <protection hidden="1"/>
    </xf>
    <xf numFmtId="49" fontId="33" fillId="7" borderId="8" xfId="0" applyNumberFormat="1" applyFont="1" applyFill="1" applyBorder="1" applyAlignment="1" applyProtection="1">
      <alignment horizontal="center" vertical="center" wrapText="1"/>
      <protection hidden="1"/>
    </xf>
    <xf numFmtId="164" fontId="33" fillId="7" borderId="8" xfId="0" applyNumberFormat="1" applyFont="1" applyFill="1" applyBorder="1" applyAlignment="1" applyProtection="1">
      <alignment horizontal="center" vertical="center" wrapText="1"/>
      <protection hidden="1"/>
    </xf>
    <xf numFmtId="164" fontId="33" fillId="7" borderId="17" xfId="0" applyNumberFormat="1" applyFont="1" applyFill="1" applyBorder="1" applyAlignment="1" applyProtection="1">
      <alignment horizontal="center" vertical="center" wrapText="1"/>
      <protection hidden="1"/>
    </xf>
    <xf numFmtId="164" fontId="33" fillId="11" borderId="8" xfId="0" applyNumberFormat="1" applyFont="1" applyFill="1" applyBorder="1" applyAlignment="1" applyProtection="1">
      <alignment horizontal="center" vertical="center" wrapText="1"/>
      <protection hidden="1"/>
    </xf>
    <xf numFmtId="49" fontId="33" fillId="0" borderId="8" xfId="2" applyNumberFormat="1" applyFont="1" applyFill="1" applyBorder="1" applyAlignment="1" applyProtection="1">
      <alignment horizontal="center" vertical="center"/>
    </xf>
    <xf numFmtId="164" fontId="33" fillId="11" borderId="42" xfId="0" applyNumberFormat="1" applyFont="1" applyFill="1" applyBorder="1" applyAlignment="1" applyProtection="1">
      <alignment horizontal="center" vertical="center" wrapText="1"/>
      <protection hidden="1"/>
    </xf>
    <xf numFmtId="164" fontId="33" fillId="11" borderId="34" xfId="0" applyNumberFormat="1" applyFont="1" applyFill="1" applyBorder="1" applyAlignment="1" applyProtection="1">
      <alignment horizontal="center" vertical="center" wrapText="1"/>
      <protection hidden="1"/>
    </xf>
    <xf numFmtId="49" fontId="33" fillId="11" borderId="8" xfId="0" applyNumberFormat="1" applyFont="1" applyFill="1" applyBorder="1" applyAlignment="1" applyProtection="1">
      <alignment horizontal="center" vertical="center" wrapText="1"/>
      <protection hidden="1"/>
    </xf>
    <xf numFmtId="49" fontId="33" fillId="3" borderId="8" xfId="0" applyNumberFormat="1" applyFont="1" applyFill="1" applyBorder="1" applyAlignment="1" applyProtection="1">
      <alignment horizontal="center" vertical="center" wrapText="1"/>
      <protection hidden="1"/>
    </xf>
    <xf numFmtId="164" fontId="33" fillId="7" borderId="20" xfId="0" applyNumberFormat="1" applyFont="1" applyFill="1" applyBorder="1" applyAlignment="1" applyProtection="1">
      <alignment horizontal="center" vertical="center" wrapText="1"/>
      <protection hidden="1"/>
    </xf>
    <xf numFmtId="164" fontId="33" fillId="7" borderId="42" xfId="0" applyNumberFormat="1" applyFont="1" applyFill="1" applyBorder="1" applyAlignment="1" applyProtection="1">
      <alignment horizontal="center" vertical="center" wrapText="1"/>
      <protection hidden="1"/>
    </xf>
    <xf numFmtId="164" fontId="33" fillId="7" borderId="34" xfId="0" applyNumberFormat="1" applyFont="1" applyFill="1" applyBorder="1" applyAlignment="1" applyProtection="1">
      <alignment horizontal="center" vertical="center" wrapText="1"/>
      <protection hidden="1"/>
    </xf>
    <xf numFmtId="164" fontId="33" fillId="3" borderId="8" xfId="0" applyNumberFormat="1" applyFont="1" applyFill="1" applyBorder="1" applyAlignment="1" applyProtection="1">
      <alignment horizontal="center" vertical="center" wrapText="1"/>
      <protection hidden="1"/>
    </xf>
    <xf numFmtId="49" fontId="33" fillId="3" borderId="12" xfId="0" applyNumberFormat="1" applyFont="1" applyFill="1" applyBorder="1" applyAlignment="1" applyProtection="1">
      <alignment vertical="center" wrapText="1"/>
      <protection hidden="1"/>
    </xf>
    <xf numFmtId="164" fontId="33" fillId="3" borderId="17" xfId="0" applyNumberFormat="1" applyFont="1" applyFill="1" applyBorder="1" applyAlignment="1" applyProtection="1">
      <alignment horizontal="center" vertical="center" wrapText="1"/>
      <protection hidden="1"/>
    </xf>
    <xf numFmtId="164" fontId="33" fillId="0" borderId="17" xfId="0" applyNumberFormat="1" applyFont="1" applyFill="1" applyBorder="1" applyAlignment="1" applyProtection="1">
      <alignment horizontal="center" vertical="center" wrapText="1"/>
      <protection hidden="1"/>
    </xf>
    <xf numFmtId="49" fontId="33" fillId="0" borderId="8" xfId="0" applyNumberFormat="1" applyFont="1" applyFill="1" applyBorder="1" applyAlignment="1" applyProtection="1">
      <alignment horizontal="center" vertical="center" wrapText="1"/>
      <protection hidden="1"/>
    </xf>
    <xf numFmtId="49" fontId="33" fillId="0" borderId="8" xfId="0" applyNumberFormat="1" applyFont="1" applyFill="1" applyBorder="1" applyAlignment="1" applyProtection="1">
      <alignment horizontal="center" vertical="center"/>
      <protection hidden="1"/>
    </xf>
    <xf numFmtId="164" fontId="33" fillId="0" borderId="8" xfId="0" applyNumberFormat="1" applyFont="1" applyFill="1" applyBorder="1" applyAlignment="1" applyProtection="1">
      <alignment horizontal="center" vertical="center"/>
      <protection hidden="1"/>
    </xf>
    <xf numFmtId="164" fontId="33" fillId="0" borderId="17" xfId="0" applyNumberFormat="1" applyFont="1" applyFill="1" applyBorder="1" applyAlignment="1" applyProtection="1">
      <alignment horizontal="center" vertical="center"/>
      <protection hidden="1"/>
    </xf>
    <xf numFmtId="49" fontId="32" fillId="0" borderId="8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8" xfId="0" applyNumberFormat="1" applyFont="1" applyFill="1" applyBorder="1" applyAlignment="1" applyProtection="1">
      <alignment horizontal="center" vertical="center" wrapText="1"/>
      <protection hidden="1"/>
    </xf>
    <xf numFmtId="2" fontId="33" fillId="0" borderId="8" xfId="0" applyNumberFormat="1" applyFont="1" applyFill="1" applyBorder="1" applyAlignment="1" applyProtection="1">
      <alignment horizontal="center" vertical="center" wrapText="1"/>
      <protection hidden="1"/>
    </xf>
    <xf numFmtId="49" fontId="33" fillId="7" borderId="8" xfId="0" applyNumberFormat="1" applyFont="1" applyFill="1" applyBorder="1" applyAlignment="1" applyProtection="1">
      <alignment horizontal="center" vertical="center"/>
      <protection hidden="1"/>
    </xf>
    <xf numFmtId="49" fontId="32" fillId="7" borderId="8" xfId="0" applyNumberFormat="1" applyFont="1" applyFill="1" applyBorder="1" applyAlignment="1" applyProtection="1">
      <alignment horizontal="center" vertical="center" wrapText="1"/>
      <protection hidden="1"/>
    </xf>
    <xf numFmtId="2" fontId="32" fillId="11" borderId="8" xfId="0" applyNumberFormat="1" applyFont="1" applyFill="1" applyBorder="1" applyAlignment="1" applyProtection="1">
      <alignment horizontal="center" vertical="center" wrapText="1"/>
      <protection hidden="1"/>
    </xf>
    <xf numFmtId="2" fontId="33" fillId="11" borderId="8" xfId="0" applyNumberFormat="1" applyFont="1" applyFill="1" applyBorder="1" applyAlignment="1" applyProtection="1">
      <alignment horizontal="center" vertical="center" wrapText="1"/>
      <protection hidden="1"/>
    </xf>
    <xf numFmtId="2" fontId="33" fillId="11" borderId="25" xfId="0" applyNumberFormat="1" applyFont="1" applyFill="1" applyBorder="1" applyAlignment="1" applyProtection="1">
      <alignment horizontal="center" vertical="center" wrapText="1"/>
      <protection hidden="1"/>
    </xf>
    <xf numFmtId="49" fontId="33" fillId="7" borderId="12" xfId="0" applyNumberFormat="1" applyFont="1" applyFill="1" applyBorder="1" applyAlignment="1" applyProtection="1">
      <alignment vertical="center"/>
      <protection hidden="1"/>
    </xf>
    <xf numFmtId="49" fontId="33" fillId="7" borderId="12" xfId="0" applyNumberFormat="1" applyFont="1" applyFill="1" applyBorder="1" applyAlignment="1" applyProtection="1">
      <alignment vertical="center" wrapText="1"/>
      <protection hidden="1"/>
    </xf>
    <xf numFmtId="164" fontId="33" fillId="7" borderId="41" xfId="0" applyNumberFormat="1" applyFont="1" applyFill="1" applyBorder="1" applyAlignment="1" applyProtection="1">
      <alignment horizontal="center" vertical="center" wrapText="1"/>
      <protection hidden="1"/>
    </xf>
    <xf numFmtId="164" fontId="33" fillId="7" borderId="40" xfId="0" applyNumberFormat="1" applyFont="1" applyFill="1" applyBorder="1" applyAlignment="1" applyProtection="1">
      <alignment horizontal="center" vertical="center" wrapText="1"/>
      <protection hidden="1"/>
    </xf>
    <xf numFmtId="49" fontId="33" fillId="7" borderId="13" xfId="0" applyNumberFormat="1" applyFont="1" applyFill="1" applyBorder="1" applyAlignment="1" applyProtection="1">
      <alignment vertical="center" wrapText="1"/>
      <protection hidden="1"/>
    </xf>
    <xf numFmtId="49" fontId="33" fillId="7" borderId="14" xfId="0" applyNumberFormat="1" applyFont="1" applyFill="1" applyBorder="1" applyAlignment="1" applyProtection="1">
      <alignment horizontal="center" vertical="center" wrapText="1"/>
      <protection hidden="1"/>
    </xf>
    <xf numFmtId="49" fontId="33" fillId="7" borderId="5" xfId="0" applyNumberFormat="1" applyFont="1" applyFill="1" applyBorder="1" applyAlignment="1" applyProtection="1">
      <alignment vertical="center" wrapText="1"/>
      <protection hidden="1"/>
    </xf>
    <xf numFmtId="49" fontId="33" fillId="7" borderId="6" xfId="0" applyNumberFormat="1" applyFont="1" applyFill="1" applyBorder="1" applyAlignment="1" applyProtection="1">
      <alignment horizontal="center" vertical="center" wrapText="1"/>
      <protection hidden="1"/>
    </xf>
    <xf numFmtId="164" fontId="33" fillId="7" borderId="18" xfId="0" applyNumberFormat="1" applyFont="1" applyFill="1" applyBorder="1" applyAlignment="1" applyProtection="1">
      <alignment horizontal="center" vertical="center" wrapText="1"/>
      <protection hidden="1"/>
    </xf>
    <xf numFmtId="12" fontId="33" fillId="7" borderId="14" xfId="0" applyNumberFormat="1" applyFont="1" applyFill="1" applyBorder="1" applyAlignment="1" applyProtection="1">
      <alignment horizontal="center" vertical="center" wrapText="1"/>
      <protection hidden="1"/>
    </xf>
    <xf numFmtId="49" fontId="32" fillId="7" borderId="1" xfId="0" applyNumberFormat="1" applyFont="1" applyFill="1" applyBorder="1" applyAlignment="1" applyProtection="1">
      <alignment vertical="center" wrapText="1"/>
      <protection hidden="1"/>
    </xf>
    <xf numFmtId="49" fontId="32" fillId="7" borderId="2" xfId="0" applyNumberFormat="1" applyFont="1" applyFill="1" applyBorder="1" applyAlignment="1" applyProtection="1">
      <alignment horizontal="center" vertical="center" wrapText="1"/>
      <protection hidden="1"/>
    </xf>
    <xf numFmtId="164" fontId="32" fillId="7" borderId="19" xfId="0" applyNumberFormat="1" applyFont="1" applyFill="1" applyBorder="1" applyAlignment="1" applyProtection="1">
      <alignment horizontal="center" vertical="center" wrapText="1"/>
      <protection hidden="1"/>
    </xf>
    <xf numFmtId="164" fontId="33" fillId="7" borderId="38" xfId="0" applyNumberFormat="1" applyFont="1" applyFill="1" applyBorder="1" applyAlignment="1" applyProtection="1">
      <alignment horizontal="center" vertical="center" wrapText="1"/>
      <protection hidden="1"/>
    </xf>
    <xf numFmtId="164" fontId="33" fillId="7" borderId="25" xfId="0" applyNumberFormat="1" applyFont="1" applyFill="1" applyBorder="1" applyAlignment="1" applyProtection="1">
      <alignment horizontal="center" vertical="center" wrapText="1"/>
      <protection hidden="1"/>
    </xf>
    <xf numFmtId="49" fontId="33" fillId="0" borderId="6" xfId="2" applyNumberFormat="1" applyFont="1" applyFill="1" applyBorder="1" applyAlignment="1" applyProtection="1">
      <alignment horizontal="center" vertical="center"/>
    </xf>
    <xf numFmtId="49" fontId="33" fillId="0" borderId="8" xfId="2" applyNumberFormat="1" applyFont="1" applyFill="1" applyBorder="1" applyAlignment="1" applyProtection="1">
      <alignment horizontal="center" vertical="center" wrapText="1"/>
    </xf>
    <xf numFmtId="12" fontId="33" fillId="0" borderId="14" xfId="2" applyNumberFormat="1" applyFont="1" applyFill="1" applyBorder="1" applyAlignment="1" applyProtection="1">
      <alignment horizontal="center" vertical="center" wrapText="1"/>
    </xf>
    <xf numFmtId="164" fontId="33" fillId="7" borderId="14" xfId="0" applyNumberFormat="1" applyFont="1" applyFill="1" applyBorder="1" applyAlignment="1" applyProtection="1">
      <alignment horizontal="center" vertical="center" wrapText="1"/>
      <protection hidden="1"/>
    </xf>
    <xf numFmtId="49" fontId="33" fillId="0" borderId="6" xfId="2" applyNumberFormat="1" applyFont="1" applyFill="1" applyBorder="1" applyAlignment="1" applyProtection="1">
      <alignment horizontal="center" vertical="center" wrapText="1"/>
    </xf>
    <xf numFmtId="49" fontId="33" fillId="0" borderId="14" xfId="2" applyNumberFormat="1" applyFont="1" applyFill="1" applyBorder="1" applyAlignment="1" applyProtection="1">
      <alignment horizontal="center" vertical="center" wrapText="1"/>
    </xf>
    <xf numFmtId="49" fontId="33" fillId="0" borderId="14" xfId="2" applyNumberFormat="1" applyFont="1" applyFill="1" applyBorder="1" applyAlignment="1" applyProtection="1">
      <alignment horizontal="center" vertical="center"/>
    </xf>
    <xf numFmtId="49" fontId="32" fillId="8" borderId="6" xfId="0" applyNumberFormat="1" applyFont="1" applyFill="1" applyBorder="1" applyAlignment="1" applyProtection="1">
      <alignment horizontal="left" vertical="center" wrapText="1"/>
      <protection hidden="1"/>
    </xf>
    <xf numFmtId="49" fontId="32" fillId="8" borderId="6" xfId="0" applyNumberFormat="1" applyFont="1" applyFill="1" applyBorder="1" applyAlignment="1" applyProtection="1">
      <alignment horizontal="center" vertical="center" wrapText="1"/>
      <protection hidden="1"/>
    </xf>
    <xf numFmtId="164" fontId="32" fillId="8" borderId="18" xfId="0" applyNumberFormat="1" applyFont="1" applyFill="1" applyBorder="1" applyAlignment="1" applyProtection="1">
      <alignment horizontal="center" vertical="center" wrapText="1"/>
      <protection hidden="1"/>
    </xf>
    <xf numFmtId="164" fontId="32" fillId="8" borderId="6" xfId="0" applyNumberFormat="1" applyFont="1" applyFill="1" applyBorder="1" applyAlignment="1" applyProtection="1">
      <alignment horizontal="center" vertical="center" wrapText="1"/>
      <protection hidden="1"/>
    </xf>
    <xf numFmtId="49" fontId="33" fillId="0" borderId="12" xfId="0" applyNumberFormat="1" applyFont="1" applyFill="1" applyBorder="1" applyAlignment="1">
      <alignment vertical="center"/>
    </xf>
    <xf numFmtId="49" fontId="33" fillId="0" borderId="12" xfId="0" applyNumberFormat="1" applyFont="1" applyBorder="1" applyAlignment="1">
      <alignment vertical="center"/>
    </xf>
    <xf numFmtId="0" fontId="33" fillId="0" borderId="8" xfId="0" applyFont="1" applyBorder="1" applyAlignment="1">
      <alignment horizontal="left" vertical="center" wrapText="1"/>
    </xf>
    <xf numFmtId="49" fontId="32" fillId="14" borderId="12" xfId="0" applyNumberFormat="1" applyFont="1" applyFill="1" applyBorder="1" applyAlignment="1">
      <alignment vertical="center"/>
    </xf>
    <xf numFmtId="49" fontId="32" fillId="3" borderId="12" xfId="0" applyNumberFormat="1" applyFont="1" applyFill="1" applyBorder="1" applyAlignment="1">
      <alignment vertical="center"/>
    </xf>
    <xf numFmtId="0" fontId="32" fillId="3" borderId="8" xfId="0" applyFont="1" applyFill="1" applyBorder="1" applyAlignment="1">
      <alignment horizontal="left" vertical="center" wrapText="1"/>
    </xf>
    <xf numFmtId="49" fontId="32" fillId="8" borderId="8" xfId="0" applyNumberFormat="1" applyFont="1" applyFill="1" applyBorder="1" applyAlignment="1" applyProtection="1">
      <alignment horizontal="center" vertical="center" wrapText="1"/>
      <protection hidden="1"/>
    </xf>
    <xf numFmtId="164" fontId="32" fillId="8" borderId="8" xfId="0" applyNumberFormat="1" applyFont="1" applyFill="1" applyBorder="1" applyAlignment="1" applyProtection="1">
      <alignment horizontal="center" vertical="center" wrapText="1"/>
      <protection hidden="1"/>
    </xf>
    <xf numFmtId="49" fontId="32" fillId="8" borderId="1" xfId="0" applyNumberFormat="1" applyFont="1" applyFill="1" applyBorder="1" applyAlignment="1" applyProtection="1">
      <alignment vertical="center" wrapText="1"/>
      <protection hidden="1"/>
    </xf>
    <xf numFmtId="49" fontId="32" fillId="8" borderId="2" xfId="0" applyNumberFormat="1" applyFont="1" applyFill="1" applyBorder="1" applyAlignment="1" applyProtection="1">
      <alignment horizontal="center" vertical="center" wrapText="1"/>
      <protection hidden="1"/>
    </xf>
    <xf numFmtId="164" fontId="32" fillId="8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3" borderId="2" xfId="0" applyFont="1" applyFill="1" applyBorder="1" applyAlignment="1">
      <alignment horizontal="left" vertical="center" wrapText="1"/>
    </xf>
    <xf numFmtId="164" fontId="33" fillId="0" borderId="18" xfId="2" applyNumberFormat="1" applyFont="1" applyFill="1" applyBorder="1" applyAlignment="1" applyProtection="1">
      <alignment horizontal="center" vertical="center"/>
    </xf>
    <xf numFmtId="49" fontId="33" fillId="0" borderId="12" xfId="2" applyNumberFormat="1" applyFont="1" applyFill="1" applyBorder="1" applyAlignment="1" applyProtection="1">
      <alignment vertical="center"/>
    </xf>
    <xf numFmtId="164" fontId="33" fillId="0" borderId="17" xfId="2" applyNumberFormat="1" applyFont="1" applyFill="1" applyBorder="1" applyAlignment="1" applyProtection="1">
      <alignment horizontal="center" vertical="center"/>
    </xf>
    <xf numFmtId="49" fontId="33" fillId="0" borderId="13" xfId="2" applyNumberFormat="1" applyFont="1" applyFill="1" applyBorder="1" applyAlignment="1" applyProtection="1">
      <alignment vertical="center"/>
    </xf>
    <xf numFmtId="164" fontId="33" fillId="0" borderId="20" xfId="2" applyNumberFormat="1" applyFont="1" applyFill="1" applyBorder="1" applyAlignment="1" applyProtection="1">
      <alignment horizontal="center" vertical="center"/>
    </xf>
    <xf numFmtId="49" fontId="33" fillId="0" borderId="15" xfId="2" applyNumberFormat="1" applyFont="1" applyFill="1" applyBorder="1" applyAlignment="1" applyProtection="1">
      <alignment vertical="center"/>
    </xf>
    <xf numFmtId="164" fontId="33" fillId="0" borderId="23" xfId="3" applyNumberFormat="1" applyFont="1" applyFill="1" applyBorder="1" applyAlignment="1" applyProtection="1">
      <alignment horizontal="center" vertical="center"/>
    </xf>
    <xf numFmtId="164" fontId="33" fillId="0" borderId="22" xfId="3" applyNumberFormat="1" applyFont="1" applyFill="1" applyBorder="1" applyAlignment="1" applyProtection="1">
      <alignment horizontal="center" vertical="center"/>
    </xf>
    <xf numFmtId="164" fontId="33" fillId="0" borderId="8" xfId="3" applyNumberFormat="1" applyFont="1" applyFill="1" applyBorder="1" applyAlignment="1" applyProtection="1">
      <alignment horizontal="center" vertical="center"/>
    </xf>
    <xf numFmtId="49" fontId="32" fillId="10" borderId="8" xfId="0" applyNumberFormat="1" applyFont="1" applyFill="1" applyBorder="1" applyAlignment="1" applyProtection="1">
      <alignment horizontal="center" vertical="center"/>
      <protection hidden="1"/>
    </xf>
    <xf numFmtId="164" fontId="32" fillId="10" borderId="8" xfId="0" applyNumberFormat="1" applyFont="1" applyFill="1" applyBorder="1" applyAlignment="1" applyProtection="1">
      <alignment horizontal="center" vertical="center"/>
      <protection hidden="1"/>
    </xf>
    <xf numFmtId="0" fontId="33" fillId="0" borderId="14" xfId="0" applyFont="1" applyBorder="1" applyAlignment="1">
      <alignment horizontal="left" vertical="center" wrapText="1"/>
    </xf>
    <xf numFmtId="164" fontId="33" fillId="0" borderId="8" xfId="0" applyNumberFormat="1" applyFont="1" applyFill="1" applyBorder="1" applyAlignment="1" applyProtection="1">
      <alignment horizontal="center" vertical="center" wrapText="1"/>
      <protection hidden="1"/>
    </xf>
    <xf numFmtId="164" fontId="33" fillId="0" borderId="38" xfId="0" applyNumberFormat="1" applyFont="1" applyFill="1" applyBorder="1" applyAlignment="1" applyProtection="1">
      <alignment horizontal="center" vertical="center" wrapText="1"/>
      <protection hidden="1"/>
    </xf>
    <xf numFmtId="164" fontId="33" fillId="0" borderId="25" xfId="0" applyNumberFormat="1" applyFont="1" applyFill="1" applyBorder="1" applyAlignment="1" applyProtection="1">
      <alignment horizontal="center" vertical="center" wrapText="1"/>
      <protection hidden="1"/>
    </xf>
    <xf numFmtId="49" fontId="33" fillId="15" borderId="8" xfId="0" applyNumberFormat="1" applyFont="1" applyFill="1" applyBorder="1" applyAlignment="1" applyProtection="1">
      <alignment horizontal="center" vertical="center" wrapText="1"/>
      <protection hidden="1"/>
    </xf>
    <xf numFmtId="164" fontId="33" fillId="15" borderId="8" xfId="0" applyNumberFormat="1" applyFont="1" applyFill="1" applyBorder="1" applyAlignment="1" applyProtection="1">
      <alignment horizontal="center" vertical="center" wrapText="1"/>
      <protection hidden="1"/>
    </xf>
    <xf numFmtId="164" fontId="32" fillId="7" borderId="8" xfId="0" applyNumberFormat="1" applyFont="1" applyFill="1" applyBorder="1" applyAlignment="1" applyProtection="1">
      <alignment horizontal="center" vertical="center" wrapText="1"/>
      <protection hidden="1"/>
    </xf>
    <xf numFmtId="49" fontId="32" fillId="15" borderId="12" xfId="0" applyNumberFormat="1" applyFont="1" applyFill="1" applyBorder="1" applyAlignment="1" applyProtection="1">
      <alignment vertical="center" wrapText="1"/>
      <protection hidden="1"/>
    </xf>
    <xf numFmtId="49" fontId="32" fillId="15" borderId="8" xfId="0" applyNumberFormat="1" applyFont="1" applyFill="1" applyBorder="1" applyAlignment="1" applyProtection="1">
      <alignment horizontal="center" vertical="center" wrapText="1"/>
      <protection hidden="1"/>
    </xf>
    <xf numFmtId="49" fontId="32" fillId="14" borderId="12" xfId="0" applyNumberFormat="1" applyFont="1" applyFill="1" applyBorder="1" applyAlignment="1" applyProtection="1">
      <alignment vertical="center" wrapText="1"/>
      <protection hidden="1"/>
    </xf>
    <xf numFmtId="49" fontId="32" fillId="14" borderId="8" xfId="0" applyNumberFormat="1" applyFont="1" applyFill="1" applyBorder="1" applyAlignment="1" applyProtection="1">
      <alignment horizontal="center" vertical="center" wrapText="1"/>
      <protection hidden="1"/>
    </xf>
    <xf numFmtId="164" fontId="32" fillId="14" borderId="20" xfId="0" applyNumberFormat="1" applyFont="1" applyFill="1" applyBorder="1" applyAlignment="1" applyProtection="1">
      <alignment horizontal="center" vertical="center" wrapText="1"/>
      <protection hidden="1"/>
    </xf>
    <xf numFmtId="164" fontId="32" fillId="14" borderId="17" xfId="0" applyNumberFormat="1" applyFont="1" applyFill="1" applyBorder="1" applyAlignment="1" applyProtection="1">
      <alignment horizontal="center" vertical="center" wrapText="1"/>
      <protection hidden="1"/>
    </xf>
    <xf numFmtId="49" fontId="32" fillId="15" borderId="5" xfId="0" applyNumberFormat="1" applyFont="1" applyFill="1" applyBorder="1" applyAlignment="1" applyProtection="1">
      <alignment vertical="center" wrapText="1"/>
      <protection hidden="1"/>
    </xf>
    <xf numFmtId="49" fontId="33" fillId="15" borderId="6" xfId="0" applyNumberFormat="1" applyFont="1" applyFill="1" applyBorder="1" applyAlignment="1" applyProtection="1">
      <alignment horizontal="center" vertical="center" wrapText="1"/>
      <protection hidden="1"/>
    </xf>
    <xf numFmtId="164" fontId="33" fillId="15" borderId="18" xfId="0" applyNumberFormat="1" applyFont="1" applyFill="1" applyBorder="1" applyAlignment="1" applyProtection="1">
      <alignment horizontal="center" vertical="center" wrapText="1"/>
      <protection hidden="1"/>
    </xf>
    <xf numFmtId="49" fontId="33" fillId="0" borderId="12" xfId="0" applyNumberFormat="1" applyFont="1" applyFill="1" applyBorder="1" applyAlignment="1" applyProtection="1">
      <alignment vertical="center" wrapText="1"/>
      <protection hidden="1"/>
    </xf>
    <xf numFmtId="49" fontId="33" fillId="14" borderId="12" xfId="0" applyNumberFormat="1" applyFont="1" applyFill="1" applyBorder="1" applyAlignment="1" applyProtection="1">
      <alignment vertical="center" wrapText="1"/>
      <protection hidden="1"/>
    </xf>
    <xf numFmtId="49" fontId="33" fillId="14" borderId="8" xfId="0" applyNumberFormat="1" applyFont="1" applyFill="1" applyBorder="1" applyAlignment="1" applyProtection="1">
      <alignment horizontal="center" vertical="center" wrapText="1"/>
      <protection hidden="1"/>
    </xf>
    <xf numFmtId="164" fontId="33" fillId="14" borderId="17" xfId="0" applyNumberFormat="1" applyFont="1" applyFill="1" applyBorder="1" applyAlignment="1" applyProtection="1">
      <alignment horizontal="center" vertical="center" wrapText="1"/>
      <protection hidden="1"/>
    </xf>
    <xf numFmtId="0" fontId="32" fillId="14" borderId="8" xfId="0" applyFont="1" applyFill="1" applyBorder="1" applyAlignment="1">
      <alignment horizontal="left" vertical="center" wrapText="1"/>
    </xf>
    <xf numFmtId="164" fontId="33" fillId="14" borderId="17" xfId="3" applyNumberFormat="1" applyFont="1" applyFill="1" applyBorder="1" applyAlignment="1" applyProtection="1">
      <alignment horizontal="center" vertical="center"/>
    </xf>
    <xf numFmtId="164" fontId="32" fillId="15" borderId="17" xfId="0" applyNumberFormat="1" applyFont="1" applyFill="1" applyBorder="1" applyAlignment="1" applyProtection="1">
      <alignment horizontal="center" vertical="center" wrapText="1"/>
      <protection hidden="1"/>
    </xf>
    <xf numFmtId="49" fontId="32" fillId="15" borderId="6" xfId="0" applyNumberFormat="1" applyFont="1" applyFill="1" applyBorder="1" applyAlignment="1" applyProtection="1">
      <alignment horizontal="center" vertical="center" wrapText="1"/>
      <protection hidden="1"/>
    </xf>
    <xf numFmtId="164" fontId="32" fillId="15" borderId="18" xfId="0" applyNumberFormat="1" applyFont="1" applyFill="1" applyBorder="1" applyAlignment="1" applyProtection="1">
      <alignment horizontal="center" vertical="center" wrapText="1"/>
      <protection hidden="1"/>
    </xf>
    <xf numFmtId="49" fontId="32" fillId="14" borderId="8" xfId="2" applyNumberFormat="1" applyFont="1" applyFill="1" applyBorder="1" applyAlignment="1" applyProtection="1">
      <alignment horizontal="center" vertical="center"/>
    </xf>
    <xf numFmtId="0" fontId="32" fillId="15" borderId="6" xfId="0" applyFont="1" applyFill="1" applyBorder="1" applyAlignment="1">
      <alignment horizontal="left" vertical="center" wrapText="1"/>
    </xf>
    <xf numFmtId="164" fontId="32" fillId="15" borderId="8" xfId="0" applyNumberFormat="1" applyFont="1" applyFill="1" applyBorder="1" applyAlignment="1" applyProtection="1">
      <alignment horizontal="center" vertical="center" wrapText="1"/>
      <protection hidden="1"/>
    </xf>
    <xf numFmtId="49" fontId="32" fillId="15" borderId="1" xfId="0" applyNumberFormat="1" applyFont="1" applyFill="1" applyBorder="1" applyAlignment="1" applyProtection="1">
      <alignment vertical="center" wrapText="1"/>
      <protection hidden="1"/>
    </xf>
    <xf numFmtId="49" fontId="32" fillId="15" borderId="2" xfId="0" applyNumberFormat="1" applyFont="1" applyFill="1" applyBorder="1" applyAlignment="1" applyProtection="1">
      <alignment horizontal="center" vertical="center" wrapText="1"/>
      <protection hidden="1"/>
    </xf>
    <xf numFmtId="164" fontId="32" fillId="15" borderId="19" xfId="0" applyNumberFormat="1" applyFont="1" applyFill="1" applyBorder="1" applyAlignment="1" applyProtection="1">
      <alignment horizontal="center" vertical="center" wrapText="1"/>
      <protection hidden="1"/>
    </xf>
    <xf numFmtId="49" fontId="32" fillId="15" borderId="12" xfId="0" applyNumberFormat="1" applyFont="1" applyFill="1" applyBorder="1" applyAlignment="1">
      <alignment vertical="center"/>
    </xf>
    <xf numFmtId="0" fontId="32" fillId="15" borderId="8" xfId="0" applyFont="1" applyFill="1" applyBorder="1" applyAlignment="1">
      <alignment horizontal="left" vertical="center" wrapText="1"/>
    </xf>
    <xf numFmtId="2" fontId="32" fillId="15" borderId="17" xfId="0" applyNumberFormat="1" applyFont="1" applyFill="1" applyBorder="1" applyAlignment="1" applyProtection="1">
      <alignment horizontal="center" vertical="center" wrapText="1"/>
      <protection hidden="1"/>
    </xf>
    <xf numFmtId="49" fontId="32" fillId="15" borderId="12" xfId="0" applyNumberFormat="1" applyFont="1" applyFill="1" applyBorder="1" applyAlignment="1" applyProtection="1">
      <alignment vertical="center"/>
      <protection hidden="1"/>
    </xf>
    <xf numFmtId="49" fontId="32" fillId="15" borderId="8" xfId="0" applyNumberFormat="1" applyFont="1" applyFill="1" applyBorder="1" applyAlignment="1" applyProtection="1">
      <alignment horizontal="center" vertical="center"/>
      <protection hidden="1"/>
    </xf>
    <xf numFmtId="164" fontId="32" fillId="14" borderId="8" xfId="0" applyNumberFormat="1" applyFont="1" applyFill="1" applyBorder="1" applyAlignment="1" applyProtection="1">
      <alignment horizontal="center" vertical="center" wrapText="1"/>
      <protection hidden="1"/>
    </xf>
    <xf numFmtId="164" fontId="33" fillId="14" borderId="8" xfId="0" applyNumberFormat="1" applyFont="1" applyFill="1" applyBorder="1" applyAlignment="1" applyProtection="1">
      <alignment horizontal="center" vertical="center" wrapText="1"/>
      <protection hidden="1"/>
    </xf>
    <xf numFmtId="164" fontId="32" fillId="14" borderId="17" xfId="0" applyNumberFormat="1" applyFont="1" applyFill="1" applyBorder="1" applyAlignment="1" applyProtection="1">
      <alignment horizontal="center" vertical="center"/>
      <protection hidden="1"/>
    </xf>
    <xf numFmtId="49" fontId="32" fillId="14" borderId="8" xfId="0" applyNumberFormat="1" applyFont="1" applyFill="1" applyBorder="1" applyAlignment="1" applyProtection="1">
      <alignment horizontal="center" vertical="center"/>
      <protection hidden="1"/>
    </xf>
    <xf numFmtId="2" fontId="32" fillId="14" borderId="8" xfId="0" applyNumberFormat="1" applyFont="1" applyFill="1" applyBorder="1" applyAlignment="1" applyProtection="1">
      <alignment horizontal="center" vertical="center" wrapText="1"/>
      <protection hidden="1"/>
    </xf>
    <xf numFmtId="2" fontId="32" fillId="14" borderId="25" xfId="0" applyNumberFormat="1" applyFont="1" applyFill="1" applyBorder="1" applyAlignment="1" applyProtection="1">
      <alignment horizontal="center" vertical="center" wrapText="1"/>
      <protection hidden="1"/>
    </xf>
    <xf numFmtId="49" fontId="32" fillId="14" borderId="12" xfId="0" applyNumberFormat="1" applyFont="1" applyFill="1" applyBorder="1" applyAlignment="1" applyProtection="1">
      <alignment vertical="center"/>
      <protection hidden="1"/>
    </xf>
    <xf numFmtId="0" fontId="32" fillId="14" borderId="17" xfId="0" applyFont="1" applyFill="1" applyBorder="1" applyAlignment="1">
      <alignment horizontal="center" vertical="center" wrapText="1"/>
    </xf>
    <xf numFmtId="164" fontId="32" fillId="14" borderId="17" xfId="0" applyNumberFormat="1" applyFont="1" applyFill="1" applyBorder="1" applyAlignment="1">
      <alignment horizontal="center" vertical="center" wrapText="1"/>
    </xf>
    <xf numFmtId="164" fontId="32" fillId="14" borderId="18" xfId="0" applyNumberFormat="1" applyFont="1" applyFill="1" applyBorder="1" applyAlignment="1" applyProtection="1">
      <alignment horizontal="center" vertical="center" wrapText="1"/>
      <protection hidden="1"/>
    </xf>
    <xf numFmtId="49" fontId="32" fillId="14" borderId="13" xfId="0" applyNumberFormat="1" applyFont="1" applyFill="1" applyBorder="1" applyAlignment="1" applyProtection="1">
      <alignment vertical="center" wrapText="1"/>
      <protection hidden="1"/>
    </xf>
    <xf numFmtId="49" fontId="32" fillId="14" borderId="14" xfId="0" applyNumberFormat="1" applyFont="1" applyFill="1" applyBorder="1" applyAlignment="1" applyProtection="1">
      <alignment horizontal="center" vertical="center" wrapText="1"/>
      <protection hidden="1"/>
    </xf>
    <xf numFmtId="49" fontId="32" fillId="15" borderId="6" xfId="0" applyNumberFormat="1" applyFont="1" applyFill="1" applyBorder="1" applyAlignment="1" applyProtection="1">
      <alignment horizontal="left" vertical="center" wrapText="1"/>
      <protection hidden="1"/>
    </xf>
    <xf numFmtId="0" fontId="33" fillId="0" borderId="8" xfId="0" applyFont="1" applyFill="1" applyBorder="1" applyAlignment="1">
      <alignment horizontal="left" vertical="center" wrapText="1"/>
    </xf>
    <xf numFmtId="164" fontId="33" fillId="0" borderId="42" xfId="0" applyNumberFormat="1" applyFont="1" applyFill="1" applyBorder="1" applyAlignment="1" applyProtection="1">
      <alignment horizontal="center" vertical="center" wrapText="1"/>
      <protection hidden="1"/>
    </xf>
    <xf numFmtId="164" fontId="33" fillId="0" borderId="34" xfId="0" applyNumberFormat="1" applyFont="1" applyFill="1" applyBorder="1" applyAlignment="1" applyProtection="1">
      <alignment horizontal="center" vertical="center" wrapText="1"/>
      <protection hidden="1"/>
    </xf>
    <xf numFmtId="49" fontId="33" fillId="0" borderId="14" xfId="0" applyNumberFormat="1" applyFont="1" applyFill="1" applyBorder="1" applyAlignment="1" applyProtection="1">
      <alignment horizontal="center" vertical="center" wrapText="1"/>
      <protection hidden="1"/>
    </xf>
    <xf numFmtId="164" fontId="33" fillId="0" borderId="20" xfId="0" applyNumberFormat="1" applyFont="1" applyFill="1" applyBorder="1" applyAlignment="1" applyProtection="1">
      <alignment horizontal="center" vertical="center" wrapText="1"/>
      <protection hidden="1"/>
    </xf>
    <xf numFmtId="49" fontId="33" fillId="8" borderId="8" xfId="0" applyNumberFormat="1" applyFont="1" applyFill="1" applyBorder="1" applyAlignment="1" applyProtection="1">
      <alignment horizontal="center" vertical="center" wrapText="1"/>
      <protection hidden="1"/>
    </xf>
    <xf numFmtId="164" fontId="33" fillId="8" borderId="8" xfId="0" applyNumberFormat="1" applyFont="1" applyFill="1" applyBorder="1" applyAlignment="1" applyProtection="1">
      <alignment horizontal="center" vertical="center" wrapText="1"/>
      <protection hidden="1"/>
    </xf>
    <xf numFmtId="0" fontId="32" fillId="8" borderId="8" xfId="0" applyFont="1" applyFill="1" applyBorder="1" applyAlignment="1">
      <alignment horizontal="left" vertical="center" wrapText="1"/>
    </xf>
    <xf numFmtId="164" fontId="11" fillId="7" borderId="0" xfId="0" applyNumberFormat="1" applyFont="1" applyFill="1" applyBorder="1" applyAlignment="1" applyProtection="1">
      <alignment horizontal="center" vertical="center" wrapText="1"/>
      <protection hidden="1"/>
    </xf>
    <xf numFmtId="164" fontId="11" fillId="7" borderId="44" xfId="0" applyNumberFormat="1" applyFont="1" applyFill="1" applyBorder="1" applyAlignment="1" applyProtection="1">
      <alignment horizontal="center" vertical="center" wrapText="1"/>
      <protection hidden="1"/>
    </xf>
    <xf numFmtId="164" fontId="32" fillId="8" borderId="2" xfId="0" applyNumberFormat="1" applyFont="1" applyFill="1" applyBorder="1" applyAlignment="1" applyProtection="1">
      <alignment horizontal="center" vertical="center" wrapText="1"/>
      <protection hidden="1"/>
    </xf>
    <xf numFmtId="164" fontId="32" fillId="8" borderId="27" xfId="0" applyNumberFormat="1" applyFont="1" applyFill="1" applyBorder="1" applyAlignment="1" applyProtection="1">
      <alignment horizontal="center" vertical="center" wrapText="1"/>
      <protection hidden="1"/>
    </xf>
    <xf numFmtId="49" fontId="33" fillId="15" borderId="2" xfId="0" applyNumberFormat="1" applyFont="1" applyFill="1" applyBorder="1" applyAlignment="1" applyProtection="1">
      <alignment horizontal="center" vertical="center" wrapText="1"/>
      <protection hidden="1"/>
    </xf>
    <xf numFmtId="164" fontId="33" fillId="15" borderId="2" xfId="0" applyNumberFormat="1" applyFont="1" applyFill="1" applyBorder="1" applyAlignment="1" applyProtection="1">
      <alignment horizontal="center" vertical="center" wrapText="1"/>
      <protection hidden="1"/>
    </xf>
    <xf numFmtId="49" fontId="32" fillId="14" borderId="5" xfId="0" applyNumberFormat="1" applyFont="1" applyFill="1" applyBorder="1" applyAlignment="1" applyProtection="1">
      <alignment vertical="center" wrapText="1"/>
      <protection hidden="1"/>
    </xf>
    <xf numFmtId="12" fontId="32" fillId="14" borderId="6" xfId="0" applyNumberFormat="1" applyFont="1" applyFill="1" applyBorder="1" applyAlignment="1" applyProtection="1">
      <alignment horizontal="center" vertical="center" wrapText="1"/>
      <protection hidden="1"/>
    </xf>
    <xf numFmtId="49" fontId="32" fillId="14" borderId="6" xfId="0" applyNumberFormat="1" applyFont="1" applyFill="1" applyBorder="1" applyAlignment="1" applyProtection="1">
      <alignment horizontal="center" vertical="center" wrapText="1"/>
      <protection hidden="1"/>
    </xf>
    <xf numFmtId="164" fontId="32" fillId="14" borderId="6" xfId="0" applyNumberFormat="1" applyFont="1" applyFill="1" applyBorder="1" applyAlignment="1" applyProtection="1">
      <alignment horizontal="center" vertical="center" wrapText="1"/>
      <protection hidden="1"/>
    </xf>
    <xf numFmtId="12" fontId="33" fillId="0" borderId="8" xfId="0" applyNumberFormat="1" applyFont="1" applyFill="1" applyBorder="1" applyAlignment="1" applyProtection="1">
      <alignment horizontal="center" vertical="center" wrapText="1"/>
      <protection hidden="1"/>
    </xf>
    <xf numFmtId="0" fontId="36" fillId="0" borderId="0" xfId="0" applyNumberFormat="1" applyFont="1" applyFill="1" applyBorder="1" applyAlignment="1" applyProtection="1">
      <alignment vertical="top" wrapText="1"/>
    </xf>
    <xf numFmtId="0" fontId="37" fillId="0" borderId="0" xfId="0" applyNumberFormat="1" applyFont="1" applyFill="1" applyBorder="1" applyAlignment="1" applyProtection="1">
      <alignment horizontal="center"/>
    </xf>
    <xf numFmtId="0" fontId="39" fillId="0" borderId="0" xfId="0" applyNumberFormat="1" applyFont="1" applyFill="1" applyBorder="1" applyAlignment="1" applyProtection="1">
      <alignment vertical="top"/>
    </xf>
    <xf numFmtId="0" fontId="39" fillId="0" borderId="8" xfId="0" applyNumberFormat="1" applyFont="1" applyFill="1" applyBorder="1" applyAlignment="1" applyProtection="1">
      <alignment horizontal="center" vertical="top" wrapText="1"/>
    </xf>
    <xf numFmtId="0" fontId="39" fillId="0" borderId="8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right" vertical="center" wrapText="1"/>
    </xf>
    <xf numFmtId="0" fontId="34" fillId="0" borderId="0" xfId="0" applyNumberFormat="1" applyFont="1" applyFill="1" applyBorder="1" applyAlignment="1" applyProtection="1">
      <alignment horizontal="center" vertical="top"/>
    </xf>
    <xf numFmtId="0" fontId="34" fillId="0" borderId="0" xfId="0" applyNumberFormat="1" applyFont="1" applyFill="1" applyBorder="1" applyAlignment="1" applyProtection="1">
      <alignment vertical="top"/>
    </xf>
    <xf numFmtId="0" fontId="34" fillId="0" borderId="0" xfId="0" applyNumberFormat="1" applyFont="1" applyFill="1" applyBorder="1" applyAlignment="1" applyProtection="1">
      <alignment horizontal="right" vertical="top"/>
    </xf>
    <xf numFmtId="164" fontId="34" fillId="0" borderId="8" xfId="3" applyNumberFormat="1" applyFont="1" applyFill="1" applyBorder="1" applyAlignment="1" applyProtection="1">
      <alignment horizontal="center" vertical="center"/>
    </xf>
    <xf numFmtId="164" fontId="34" fillId="7" borderId="8" xfId="3" applyNumberFormat="1" applyFont="1" applyFill="1" applyBorder="1" applyAlignment="1" applyProtection="1">
      <alignment horizontal="center" vertical="center"/>
    </xf>
    <xf numFmtId="164" fontId="41" fillId="0" borderId="8" xfId="3" applyNumberFormat="1" applyFont="1" applyFill="1" applyBorder="1" applyAlignment="1" applyProtection="1">
      <alignment horizontal="center" vertical="center"/>
    </xf>
    <xf numFmtId="0" fontId="41" fillId="0" borderId="0" xfId="0" applyNumberFormat="1" applyFont="1" applyFill="1" applyBorder="1" applyAlignment="1" applyProtection="1">
      <alignment horizontal="left" vertical="top"/>
    </xf>
    <xf numFmtId="0" fontId="41" fillId="0" borderId="0" xfId="0" applyNumberFormat="1" applyFont="1" applyFill="1" applyBorder="1" applyAlignment="1" applyProtection="1">
      <alignment horizontal="right" vertical="top"/>
    </xf>
    <xf numFmtId="3" fontId="34" fillId="0" borderId="8" xfId="3" applyNumberFormat="1" applyFont="1" applyFill="1" applyBorder="1" applyAlignment="1" applyProtection="1">
      <alignment horizontal="center" vertical="center"/>
    </xf>
    <xf numFmtId="0" fontId="34" fillId="12" borderId="8" xfId="3" applyNumberFormat="1" applyFont="1" applyFill="1" applyBorder="1" applyAlignment="1" applyProtection="1">
      <alignment horizontal="center" vertical="center"/>
    </xf>
    <xf numFmtId="0" fontId="34" fillId="0" borderId="8" xfId="3" applyNumberFormat="1" applyFont="1" applyFill="1" applyBorder="1" applyAlignment="1" applyProtection="1">
      <alignment horizontal="center" vertical="center"/>
    </xf>
    <xf numFmtId="0" fontId="34" fillId="7" borderId="8" xfId="3" applyNumberFormat="1" applyFont="1" applyFill="1" applyBorder="1" applyAlignment="1" applyProtection="1">
      <alignment horizontal="center" vertical="center"/>
    </xf>
    <xf numFmtId="0" fontId="41" fillId="0" borderId="8" xfId="3" applyNumberFormat="1" applyFont="1" applyFill="1" applyBorder="1" applyAlignment="1" applyProtection="1">
      <alignment horizontal="center" vertical="center" wrapText="1"/>
    </xf>
    <xf numFmtId="0" fontId="41" fillId="0" borderId="8" xfId="3" applyNumberFormat="1" applyFont="1" applyFill="1" applyBorder="1" applyAlignment="1" applyProtection="1">
      <alignment horizontal="center" vertical="center"/>
    </xf>
    <xf numFmtId="164" fontId="41" fillId="0" borderId="8" xfId="3" applyNumberFormat="1" applyFont="1" applyFill="1" applyBorder="1" applyAlignment="1" applyProtection="1">
      <alignment horizontal="center" vertical="center" wrapText="1"/>
    </xf>
    <xf numFmtId="0" fontId="41" fillId="13" borderId="8" xfId="3" applyNumberFormat="1" applyFont="1" applyFill="1" applyBorder="1" applyAlignment="1" applyProtection="1">
      <alignment horizontal="center" vertical="center"/>
    </xf>
    <xf numFmtId="3" fontId="41" fillId="13" borderId="8" xfId="3" applyNumberFormat="1" applyFont="1" applyFill="1" applyBorder="1" applyAlignment="1" applyProtection="1">
      <alignment horizontal="center" vertical="center"/>
    </xf>
    <xf numFmtId="0" fontId="41" fillId="13" borderId="8" xfId="3" applyNumberFormat="1" applyFont="1" applyFill="1" applyBorder="1" applyAlignment="1" applyProtection="1">
      <alignment horizontal="left" vertical="center"/>
    </xf>
    <xf numFmtId="164" fontId="41" fillId="13" borderId="8" xfId="3" applyNumberFormat="1" applyFont="1" applyFill="1" applyBorder="1" applyAlignment="1" applyProtection="1">
      <alignment horizontal="center" vertical="center"/>
    </xf>
    <xf numFmtId="0" fontId="41" fillId="2" borderId="8" xfId="3" applyNumberFormat="1" applyFont="1" applyFill="1" applyBorder="1" applyAlignment="1" applyProtection="1">
      <alignment horizontal="left" vertical="center"/>
    </xf>
    <xf numFmtId="3" fontId="41" fillId="2" borderId="8" xfId="3" applyNumberFormat="1" applyFont="1" applyFill="1" applyBorder="1" applyAlignment="1" applyProtection="1">
      <alignment horizontal="center" vertical="center"/>
    </xf>
    <xf numFmtId="164" fontId="41" fillId="2" borderId="8" xfId="3" applyNumberFormat="1" applyFont="1" applyFill="1" applyBorder="1" applyAlignment="1" applyProtection="1">
      <alignment horizontal="center" vertical="center"/>
    </xf>
    <xf numFmtId="49" fontId="34" fillId="0" borderId="8" xfId="3" applyNumberFormat="1" applyFont="1" applyFill="1" applyBorder="1" applyAlignment="1" applyProtection="1">
      <alignment horizontal="left" vertical="center"/>
    </xf>
    <xf numFmtId="0" fontId="34" fillId="0" borderId="8" xfId="0" applyNumberFormat="1" applyFont="1" applyFill="1" applyBorder="1" applyAlignment="1" applyProtection="1">
      <alignment vertical="center"/>
    </xf>
    <xf numFmtId="0" fontId="34" fillId="12" borderId="8" xfId="3" applyNumberFormat="1" applyFont="1" applyFill="1" applyBorder="1" applyAlignment="1" applyProtection="1">
      <alignment horizontal="left" vertical="center"/>
    </xf>
    <xf numFmtId="164" fontId="41" fillId="9" borderId="8" xfId="3" applyNumberFormat="1" applyFont="1" applyFill="1" applyBorder="1" applyAlignment="1" applyProtection="1">
      <alignment horizontal="center" vertical="center"/>
    </xf>
    <xf numFmtId="49" fontId="34" fillId="7" borderId="8" xfId="3" applyNumberFormat="1" applyFont="1" applyFill="1" applyBorder="1" applyAlignment="1" applyProtection="1">
      <alignment horizontal="left" vertical="center"/>
    </xf>
    <xf numFmtId="164" fontId="41" fillId="5" borderId="8" xfId="3" applyNumberFormat="1" applyFont="1" applyFill="1" applyBorder="1" applyAlignment="1" applyProtection="1">
      <alignment horizontal="center" vertical="center"/>
    </xf>
    <xf numFmtId="164" fontId="34" fillId="13" borderId="8" xfId="3" applyNumberFormat="1" applyFont="1" applyFill="1" applyBorder="1" applyAlignment="1" applyProtection="1">
      <alignment horizontal="center" vertical="center"/>
    </xf>
    <xf numFmtId="49" fontId="41" fillId="0" borderId="8" xfId="3" applyNumberFormat="1" applyFont="1" applyFill="1" applyBorder="1" applyAlignment="1" applyProtection="1">
      <alignment horizontal="left" vertical="center"/>
    </xf>
    <xf numFmtId="3" fontId="41" fillId="0" borderId="8" xfId="3" applyNumberFormat="1" applyFont="1" applyFill="1" applyBorder="1" applyAlignment="1" applyProtection="1">
      <alignment horizontal="center" vertical="center"/>
    </xf>
    <xf numFmtId="165" fontId="41" fillId="0" borderId="8" xfId="3" applyNumberFormat="1" applyFont="1" applyFill="1" applyBorder="1" applyAlignment="1" applyProtection="1">
      <alignment horizontal="center" vertical="center"/>
    </xf>
    <xf numFmtId="164" fontId="41" fillId="7" borderId="8" xfId="3" applyNumberFormat="1" applyFont="1" applyFill="1" applyBorder="1" applyAlignment="1" applyProtection="1">
      <alignment horizontal="center" vertical="center"/>
    </xf>
    <xf numFmtId="0" fontId="34" fillId="0" borderId="8" xfId="0" applyNumberFormat="1" applyFont="1" applyFill="1" applyBorder="1" applyAlignment="1" applyProtection="1">
      <alignment vertical="top"/>
    </xf>
    <xf numFmtId="0" fontId="41" fillId="0" borderId="8" xfId="3" applyNumberFormat="1" applyFont="1" applyFill="1" applyBorder="1" applyAlignment="1" applyProtection="1">
      <alignment horizontal="center" vertical="top"/>
    </xf>
    <xf numFmtId="164" fontId="34" fillId="2" borderId="8" xfId="3" applyNumberFormat="1" applyFont="1" applyFill="1" applyBorder="1" applyAlignment="1" applyProtection="1">
      <alignment horizontal="center" vertical="center"/>
    </xf>
    <xf numFmtId="0" fontId="41" fillId="0" borderId="8" xfId="3" applyNumberFormat="1" applyFont="1" applyFill="1" applyBorder="1" applyAlignment="1" applyProtection="1">
      <alignment horizontal="left" vertical="top"/>
    </xf>
    <xf numFmtId="165" fontId="34" fillId="0" borderId="8" xfId="3" applyNumberFormat="1" applyFont="1" applyFill="1" applyBorder="1" applyAlignment="1" applyProtection="1">
      <alignment horizontal="center" vertical="center"/>
    </xf>
    <xf numFmtId="0" fontId="41" fillId="2" borderId="8" xfId="3" applyNumberFormat="1" applyFont="1" applyFill="1" applyBorder="1" applyAlignment="1" applyProtection="1">
      <alignment horizontal="left" vertical="center" wrapText="1"/>
    </xf>
    <xf numFmtId="0" fontId="34" fillId="0" borderId="8" xfId="3" applyNumberFormat="1" applyFont="1" applyFill="1" applyBorder="1" applyAlignment="1" applyProtection="1">
      <alignment horizontal="left" vertical="center" wrapText="1"/>
    </xf>
    <xf numFmtId="0" fontId="34" fillId="0" borderId="8" xfId="3" applyNumberFormat="1" applyFont="1" applyFill="1" applyBorder="1" applyAlignment="1" applyProtection="1">
      <alignment horizontal="left" vertical="center"/>
    </xf>
    <xf numFmtId="0" fontId="34" fillId="12" borderId="8" xfId="3" applyNumberFormat="1" applyFont="1" applyFill="1" applyBorder="1" applyAlignment="1" applyProtection="1">
      <alignment horizontal="left" vertical="center" wrapText="1"/>
    </xf>
    <xf numFmtId="0" fontId="34" fillId="7" borderId="8" xfId="3" applyNumberFormat="1" applyFont="1" applyFill="1" applyBorder="1" applyAlignment="1" applyProtection="1">
      <alignment horizontal="left" vertical="center" wrapText="1"/>
    </xf>
    <xf numFmtId="0" fontId="34" fillId="0" borderId="8" xfId="3" applyNumberFormat="1" applyFont="1" applyFill="1" applyBorder="1" applyAlignment="1" applyProtection="1">
      <alignment horizontal="left" vertical="top" wrapText="1"/>
    </xf>
    <xf numFmtId="0" fontId="41" fillId="0" borderId="8" xfId="3" applyNumberFormat="1" applyFont="1" applyFill="1" applyBorder="1" applyAlignment="1" applyProtection="1">
      <alignment horizontal="left" vertical="center" wrapText="1"/>
    </xf>
    <xf numFmtId="0" fontId="42" fillId="0" borderId="8" xfId="0" applyNumberFormat="1" applyFont="1" applyFill="1" applyBorder="1" applyAlignment="1" applyProtection="1">
      <alignment horizontal="left" vertical="top" wrapText="1"/>
    </xf>
    <xf numFmtId="49" fontId="32" fillId="10" borderId="8" xfId="0" applyNumberFormat="1" applyFont="1" applyFill="1" applyBorder="1" applyAlignment="1" applyProtection="1">
      <alignment horizontal="center" vertical="center" wrapText="1"/>
      <protection hidden="1"/>
    </xf>
    <xf numFmtId="164" fontId="32" fillId="10" borderId="8" xfId="0" applyNumberFormat="1" applyFont="1" applyFill="1" applyBorder="1" applyAlignment="1" applyProtection="1">
      <alignment horizontal="center" vertical="center" wrapText="1"/>
      <protection hidden="1"/>
    </xf>
    <xf numFmtId="49" fontId="33" fillId="10" borderId="8" xfId="0" applyNumberFormat="1" applyFont="1" applyFill="1" applyBorder="1" applyAlignment="1" applyProtection="1">
      <alignment horizontal="center" vertical="center" wrapText="1"/>
      <protection hidden="1"/>
    </xf>
    <xf numFmtId="164" fontId="33" fillId="10" borderId="8" xfId="0" applyNumberFormat="1" applyFont="1" applyFill="1" applyBorder="1" applyAlignment="1" applyProtection="1">
      <alignment horizontal="center" vertical="center" wrapText="1"/>
      <protection hidden="1"/>
    </xf>
    <xf numFmtId="164" fontId="11" fillId="7" borderId="24" xfId="0" applyNumberFormat="1" applyFont="1" applyFill="1" applyBorder="1" applyAlignment="1" applyProtection="1">
      <alignment horizontal="center" vertical="center" wrapText="1"/>
      <protection hidden="1"/>
    </xf>
    <xf numFmtId="164" fontId="11" fillId="7" borderId="21" xfId="0" applyNumberFormat="1" applyFont="1" applyFill="1" applyBorder="1" applyAlignment="1" applyProtection="1">
      <alignment horizontal="center" vertical="center" wrapText="1"/>
      <protection hidden="1"/>
    </xf>
    <xf numFmtId="49" fontId="15" fillId="10" borderId="30" xfId="0" applyNumberFormat="1" applyFont="1" applyFill="1" applyBorder="1" applyAlignment="1" applyProtection="1">
      <alignment horizontal="center" vertical="top"/>
      <protection hidden="1"/>
    </xf>
    <xf numFmtId="164" fontId="32" fillId="4" borderId="8" xfId="0" applyNumberFormat="1" applyFont="1" applyFill="1" applyBorder="1" applyAlignment="1" applyProtection="1">
      <alignment horizontal="center" vertical="center" wrapText="1"/>
      <protection hidden="1"/>
    </xf>
    <xf numFmtId="164" fontId="35" fillId="4" borderId="8" xfId="0" applyNumberFormat="1" applyFont="1" applyFill="1" applyBorder="1" applyAlignment="1" applyProtection="1">
      <alignment horizontal="center" vertical="center" wrapText="1"/>
      <protection hidden="1"/>
    </xf>
    <xf numFmtId="2" fontId="32" fillId="8" borderId="8" xfId="0" applyNumberFormat="1" applyFont="1" applyFill="1" applyBorder="1" applyAlignment="1" applyProtection="1">
      <alignment horizontal="center" vertical="center" wrapText="1"/>
      <protection hidden="1"/>
    </xf>
    <xf numFmtId="12" fontId="32" fillId="8" borderId="8" xfId="0" applyNumberFormat="1" applyFont="1" applyFill="1" applyBorder="1" applyAlignment="1" applyProtection="1">
      <alignment horizontal="justify" vertical="center" wrapText="1"/>
      <protection hidden="1"/>
    </xf>
    <xf numFmtId="164" fontId="33" fillId="0" borderId="8" xfId="2" applyNumberFormat="1" applyFont="1" applyFill="1" applyBorder="1" applyAlignment="1" applyProtection="1">
      <alignment horizontal="center" vertical="center"/>
    </xf>
    <xf numFmtId="49" fontId="35" fillId="10" borderId="8" xfId="0" applyNumberFormat="1" applyFont="1" applyFill="1" applyBorder="1" applyAlignment="1" applyProtection="1">
      <alignment horizontal="center" vertical="center"/>
      <protection hidden="1"/>
    </xf>
    <xf numFmtId="164" fontId="35" fillId="10" borderId="8" xfId="0" applyNumberFormat="1" applyFont="1" applyFill="1" applyBorder="1" applyAlignment="1" applyProtection="1">
      <alignment horizontal="center" vertical="center"/>
      <protection hidden="1"/>
    </xf>
    <xf numFmtId="0" fontId="34" fillId="0" borderId="0" xfId="0" applyNumberFormat="1" applyFont="1" applyFill="1" applyBorder="1" applyAlignment="1" applyProtection="1">
      <alignment vertical="top"/>
      <protection locked="0"/>
    </xf>
    <xf numFmtId="164" fontId="34" fillId="0" borderId="0" xfId="0" applyNumberFormat="1" applyFont="1" applyFill="1" applyBorder="1" applyAlignment="1" applyProtection="1">
      <alignment vertical="top"/>
      <protection locked="0"/>
    </xf>
    <xf numFmtId="0" fontId="41" fillId="0" borderId="0" xfId="0" applyNumberFormat="1" applyFont="1" applyFill="1" applyBorder="1" applyAlignment="1" applyProtection="1">
      <alignment horizontal="right" vertical="top"/>
      <protection locked="0"/>
    </xf>
    <xf numFmtId="49" fontId="34" fillId="0" borderId="0" xfId="0" applyNumberFormat="1" applyFont="1" applyFill="1" applyBorder="1" applyAlignment="1" applyProtection="1">
      <alignment vertical="center"/>
    </xf>
    <xf numFmtId="0" fontId="34" fillId="0" borderId="0" xfId="2" applyNumberFormat="1" applyFont="1" applyFill="1" applyBorder="1" applyAlignment="1" applyProtection="1">
      <alignment horizontal="right" vertical="top"/>
    </xf>
    <xf numFmtId="0" fontId="34" fillId="0" borderId="0" xfId="2" applyNumberFormat="1" applyFont="1" applyFill="1" applyBorder="1" applyAlignment="1" applyProtection="1">
      <alignment horizontal="left" vertical="top"/>
    </xf>
    <xf numFmtId="0" fontId="34" fillId="0" borderId="0" xfId="0" applyNumberFormat="1" applyFont="1" applyFill="1" applyBorder="1" applyAlignment="1" applyProtection="1">
      <alignment horizontal="right"/>
    </xf>
    <xf numFmtId="0" fontId="34" fillId="0" borderId="0" xfId="0" applyNumberFormat="1" applyFont="1" applyFill="1" applyBorder="1" applyAlignment="1" applyProtection="1">
      <alignment horizontal="center" vertical="top"/>
      <protection hidden="1"/>
    </xf>
    <xf numFmtId="0" fontId="34" fillId="0" borderId="0" xfId="0" applyNumberFormat="1" applyFont="1" applyFill="1" applyBorder="1" applyAlignment="1" applyProtection="1">
      <alignment horizontal="left" vertical="top"/>
      <protection hidden="1"/>
    </xf>
    <xf numFmtId="0" fontId="43" fillId="0" borderId="0" xfId="0" applyNumberFormat="1" applyFont="1" applyFill="1" applyBorder="1" applyAlignment="1" applyProtection="1">
      <alignment vertical="top"/>
      <protection hidden="1"/>
    </xf>
    <xf numFmtId="164" fontId="34" fillId="0" borderId="0" xfId="0" applyNumberFormat="1" applyFont="1" applyFill="1" applyBorder="1" applyAlignment="1" applyProtection="1">
      <alignment vertical="top"/>
      <protection hidden="1"/>
    </xf>
    <xf numFmtId="0" fontId="35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35" fillId="0" borderId="8" xfId="0" applyNumberFormat="1" applyFont="1" applyFill="1" applyBorder="1" applyAlignment="1" applyProtection="1">
      <alignment horizontal="center" vertical="center"/>
      <protection hidden="1"/>
    </xf>
    <xf numFmtId="0" fontId="35" fillId="0" borderId="8" xfId="0" applyNumberFormat="1" applyFont="1" applyFill="1" applyBorder="1" applyAlignment="1" applyProtection="1">
      <alignment horizontal="center" vertical="center" wrapText="1"/>
      <protection hidden="1"/>
    </xf>
    <xf numFmtId="164" fontId="35" fillId="0" borderId="8" xfId="0" applyNumberFormat="1" applyFont="1" applyFill="1" applyBorder="1" applyAlignment="1" applyProtection="1">
      <alignment horizontal="center" vertical="center" wrapText="1"/>
      <protection hidden="1"/>
    </xf>
    <xf numFmtId="164" fontId="35" fillId="0" borderId="8" xfId="3" applyNumberFormat="1" applyFont="1" applyFill="1" applyBorder="1" applyAlignment="1" applyProtection="1">
      <alignment horizontal="center" vertical="center" wrapText="1"/>
    </xf>
    <xf numFmtId="49" fontId="31" fillId="4" borderId="30" xfId="0" applyNumberFormat="1" applyFont="1" applyFill="1" applyBorder="1" applyAlignment="1" applyProtection="1">
      <alignment horizontal="center" vertical="top" wrapText="1"/>
      <protection hidden="1"/>
    </xf>
    <xf numFmtId="49" fontId="33" fillId="11" borderId="29" xfId="0" applyNumberFormat="1" applyFont="1" applyFill="1" applyBorder="1" applyAlignment="1" applyProtection="1">
      <alignment horizontal="left" vertical="top" wrapText="1"/>
      <protection hidden="1"/>
    </xf>
    <xf numFmtId="49" fontId="33" fillId="7" borderId="22" xfId="0" applyNumberFormat="1" applyFont="1" applyFill="1" applyBorder="1" applyAlignment="1" applyProtection="1">
      <alignment horizontal="left" vertical="top" wrapText="1"/>
      <protection hidden="1"/>
    </xf>
    <xf numFmtId="49" fontId="32" fillId="11" borderId="22" xfId="0" applyNumberFormat="1" applyFont="1" applyFill="1" applyBorder="1" applyAlignment="1" applyProtection="1">
      <alignment horizontal="left" vertical="top" wrapText="1"/>
      <protection hidden="1"/>
    </xf>
    <xf numFmtId="49" fontId="41" fillId="8" borderId="29" xfId="0" applyNumberFormat="1" applyFont="1" applyFill="1" applyBorder="1" applyAlignment="1" applyProtection="1">
      <alignment horizontal="left" vertical="top" wrapText="1"/>
      <protection hidden="1"/>
    </xf>
    <xf numFmtId="49" fontId="33" fillId="3" borderId="22" xfId="0" applyNumberFormat="1" applyFont="1" applyFill="1" applyBorder="1" applyAlignment="1" applyProtection="1">
      <alignment horizontal="left" vertical="top" wrapText="1"/>
      <protection hidden="1"/>
    </xf>
    <xf numFmtId="49" fontId="44" fillId="11" borderId="22" xfId="0" applyNumberFormat="1" applyFont="1" applyFill="1" applyBorder="1" applyAlignment="1">
      <alignment horizontal="center" vertical="center"/>
    </xf>
    <xf numFmtId="49" fontId="45" fillId="0" borderId="22" xfId="0" applyNumberFormat="1" applyFont="1" applyBorder="1" applyAlignment="1">
      <alignment horizontal="center" vertical="center"/>
    </xf>
    <xf numFmtId="49" fontId="44" fillId="0" borderId="22" xfId="0" applyNumberFormat="1" applyFont="1" applyBorder="1" applyAlignment="1">
      <alignment horizontal="center" vertical="center"/>
    </xf>
    <xf numFmtId="49" fontId="33" fillId="11" borderId="22" xfId="0" applyNumberFormat="1" applyFont="1" applyFill="1" applyBorder="1" applyAlignment="1" applyProtection="1">
      <alignment horizontal="left" vertical="top"/>
      <protection hidden="1"/>
    </xf>
    <xf numFmtId="49" fontId="33" fillId="7" borderId="22" xfId="0" applyNumberFormat="1" applyFont="1" applyFill="1" applyBorder="1" applyAlignment="1" applyProtection="1">
      <alignment horizontal="left" vertical="top"/>
      <protection hidden="1"/>
    </xf>
    <xf numFmtId="49" fontId="46" fillId="13" borderId="22" xfId="0" applyNumberFormat="1" applyFont="1" applyFill="1" applyBorder="1" applyAlignment="1">
      <alignment horizontal="center" vertical="center"/>
    </xf>
    <xf numFmtId="49" fontId="44" fillId="3" borderId="22" xfId="0" applyNumberFormat="1" applyFont="1" applyFill="1" applyBorder="1" applyAlignment="1">
      <alignment horizontal="center" vertical="center"/>
    </xf>
    <xf numFmtId="49" fontId="33" fillId="7" borderId="45" xfId="0" applyNumberFormat="1" applyFont="1" applyFill="1" applyBorder="1" applyAlignment="1" applyProtection="1">
      <alignment horizontal="left" vertical="top" wrapText="1"/>
      <protection hidden="1"/>
    </xf>
    <xf numFmtId="49" fontId="41" fillId="8" borderId="30" xfId="0" applyNumberFormat="1" applyFont="1" applyFill="1" applyBorder="1" applyAlignment="1" applyProtection="1">
      <alignment horizontal="left" vertical="top" wrapText="1"/>
      <protection hidden="1"/>
    </xf>
    <xf numFmtId="49" fontId="33" fillId="7" borderId="29" xfId="0" applyNumberFormat="1" applyFont="1" applyFill="1" applyBorder="1" applyAlignment="1" applyProtection="1">
      <alignment horizontal="left" vertical="top" wrapText="1"/>
      <protection hidden="1"/>
    </xf>
    <xf numFmtId="49" fontId="33" fillId="7" borderId="31" xfId="0" applyNumberFormat="1" applyFont="1" applyFill="1" applyBorder="1" applyAlignment="1" applyProtection="1">
      <alignment horizontal="left" vertical="top" wrapText="1"/>
      <protection hidden="1"/>
    </xf>
    <xf numFmtId="49" fontId="32" fillId="7" borderId="30" xfId="0" applyNumberFormat="1" applyFont="1" applyFill="1" applyBorder="1" applyAlignment="1" applyProtection="1">
      <alignment horizontal="left" vertical="top" wrapText="1"/>
      <protection hidden="1"/>
    </xf>
    <xf numFmtId="49" fontId="45" fillId="0" borderId="29" xfId="2" applyNumberFormat="1" applyFont="1" applyFill="1" applyBorder="1" applyAlignment="1" applyProtection="1">
      <alignment horizontal="left" vertical="center"/>
    </xf>
    <xf numFmtId="49" fontId="45" fillId="0" borderId="22" xfId="2" applyNumberFormat="1" applyFont="1" applyFill="1" applyBorder="1" applyAlignment="1" applyProtection="1">
      <alignment horizontal="left" vertical="center"/>
    </xf>
    <xf numFmtId="49" fontId="45" fillId="0" borderId="45" xfId="2" applyNumberFormat="1" applyFont="1" applyFill="1" applyBorder="1" applyAlignment="1" applyProtection="1">
      <alignment horizontal="left" vertical="center"/>
    </xf>
    <xf numFmtId="49" fontId="45" fillId="0" borderId="31" xfId="2" applyNumberFormat="1" applyFont="1" applyFill="1" applyBorder="1" applyAlignment="1" applyProtection="1">
      <alignment horizontal="left" vertical="center"/>
    </xf>
    <xf numFmtId="49" fontId="32" fillId="11" borderId="29" xfId="0" applyNumberFormat="1" applyFont="1" applyFill="1" applyBorder="1" applyAlignment="1" applyProtection="1">
      <alignment horizontal="left" vertical="top" wrapText="1"/>
      <protection hidden="1"/>
    </xf>
    <xf numFmtId="49" fontId="32" fillId="15" borderId="15" xfId="0" applyNumberFormat="1" applyFont="1" applyFill="1" applyBorder="1" applyAlignment="1" applyProtection="1">
      <alignment vertical="center" wrapText="1"/>
      <protection hidden="1"/>
    </xf>
    <xf numFmtId="49" fontId="32" fillId="15" borderId="16" xfId="0" applyNumberFormat="1" applyFont="1" applyFill="1" applyBorder="1" applyAlignment="1" applyProtection="1">
      <alignment horizontal="center" vertical="center" wrapText="1"/>
      <protection hidden="1"/>
    </xf>
    <xf numFmtId="164" fontId="32" fillId="15" borderId="21" xfId="0" applyNumberFormat="1" applyFont="1" applyFill="1" applyBorder="1" applyAlignment="1" applyProtection="1">
      <alignment horizontal="center" vertical="center" wrapText="1"/>
      <protection hidden="1"/>
    </xf>
    <xf numFmtId="49" fontId="32" fillId="14" borderId="1" xfId="0" applyNumberFormat="1" applyFont="1" applyFill="1" applyBorder="1" applyAlignment="1" applyProtection="1">
      <alignment vertical="center" wrapText="1"/>
      <protection hidden="1"/>
    </xf>
    <xf numFmtId="0" fontId="32" fillId="14" borderId="2" xfId="0" applyFont="1" applyFill="1" applyBorder="1" applyAlignment="1">
      <alignment horizontal="left" vertical="center" wrapText="1"/>
    </xf>
    <xf numFmtId="49" fontId="32" fillId="14" borderId="2" xfId="0" applyNumberFormat="1" applyFont="1" applyFill="1" applyBorder="1" applyAlignment="1" applyProtection="1">
      <alignment horizontal="center" vertical="center" wrapText="1"/>
      <protection hidden="1"/>
    </xf>
    <xf numFmtId="164" fontId="32" fillId="14" borderId="19" xfId="0" applyNumberFormat="1" applyFont="1" applyFill="1" applyBorder="1" applyAlignment="1" applyProtection="1">
      <alignment horizontal="center" vertical="center" wrapText="1"/>
      <protection hidden="1"/>
    </xf>
    <xf numFmtId="164" fontId="33" fillId="0" borderId="14" xfId="0" applyNumberFormat="1" applyFont="1" applyFill="1" applyBorder="1" applyAlignment="1" applyProtection="1">
      <alignment horizontal="center" vertical="center" wrapText="1"/>
      <protection hidden="1"/>
    </xf>
    <xf numFmtId="12" fontId="33" fillId="0" borderId="8" xfId="2" applyNumberFormat="1" applyFont="1" applyFill="1" applyBorder="1" applyAlignment="1" applyProtection="1">
      <alignment horizontal="center" vertical="center" wrapText="1"/>
    </xf>
    <xf numFmtId="49" fontId="33" fillId="0" borderId="5" xfId="2" applyNumberFormat="1" applyFont="1" applyFill="1" applyBorder="1" applyAlignment="1" applyProtection="1">
      <alignment horizontal="left" vertical="center"/>
    </xf>
    <xf numFmtId="49" fontId="33" fillId="0" borderId="6" xfId="2" applyNumberFormat="1" applyFont="1" applyFill="1" applyBorder="1" applyAlignment="1" applyProtection="1">
      <alignment horizontal="left" vertical="center"/>
    </xf>
    <xf numFmtId="49" fontId="33" fillId="0" borderId="5" xfId="2" applyNumberFormat="1" applyFont="1" applyFill="1" applyBorder="1" applyAlignment="1" applyProtection="1">
      <alignment vertical="center"/>
    </xf>
    <xf numFmtId="164" fontId="33" fillId="0" borderId="18" xfId="0" applyNumberFormat="1" applyFont="1" applyFill="1" applyBorder="1" applyAlignment="1" applyProtection="1">
      <alignment horizontal="center" vertical="center" wrapText="1"/>
      <protection hidden="1"/>
    </xf>
    <xf numFmtId="49" fontId="33" fillId="0" borderId="13" xfId="0" applyNumberFormat="1" applyFont="1" applyFill="1" applyBorder="1" applyAlignment="1" applyProtection="1">
      <alignment vertical="center" wrapText="1"/>
      <protection hidden="1"/>
    </xf>
    <xf numFmtId="12" fontId="33" fillId="0" borderId="14" xfId="0" applyNumberFormat="1" applyFont="1" applyFill="1" applyBorder="1" applyAlignment="1" applyProtection="1">
      <alignment horizontal="center" vertical="center" wrapText="1"/>
      <protection hidden="1"/>
    </xf>
    <xf numFmtId="49" fontId="32" fillId="15" borderId="8" xfId="2" applyNumberFormat="1" applyFont="1" applyFill="1" applyBorder="1" applyAlignment="1" applyProtection="1">
      <alignment horizontal="center" vertical="center"/>
    </xf>
    <xf numFmtId="164" fontId="32" fillId="15" borderId="8" xfId="0" applyNumberFormat="1" applyFont="1" applyFill="1" applyBorder="1" applyAlignment="1" applyProtection="1">
      <alignment horizontal="center" vertical="center"/>
      <protection hidden="1"/>
    </xf>
    <xf numFmtId="2" fontId="32" fillId="15" borderId="8" xfId="0" applyNumberFormat="1" applyFont="1" applyFill="1" applyBorder="1" applyAlignment="1" applyProtection="1">
      <alignment horizontal="center" vertical="center" wrapText="1"/>
      <protection hidden="1"/>
    </xf>
    <xf numFmtId="0" fontId="32" fillId="15" borderId="8" xfId="0" applyFont="1" applyFill="1" applyBorder="1" applyAlignment="1">
      <alignment horizontal="center" vertical="center" wrapText="1"/>
    </xf>
    <xf numFmtId="164" fontId="32" fillId="15" borderId="8" xfId="0" applyNumberFormat="1" applyFont="1" applyFill="1" applyBorder="1" applyAlignment="1">
      <alignment horizontal="center" vertical="center" wrapText="1"/>
    </xf>
    <xf numFmtId="49" fontId="32" fillId="15" borderId="8" xfId="0" applyNumberFormat="1" applyFont="1" applyFill="1" applyBorder="1" applyAlignment="1" applyProtection="1">
      <alignment horizontal="justify" vertical="center" wrapText="1"/>
      <protection hidden="1"/>
    </xf>
    <xf numFmtId="0" fontId="32" fillId="15" borderId="8" xfId="0" applyNumberFormat="1" applyFont="1" applyFill="1" applyBorder="1" applyAlignment="1" applyProtection="1">
      <alignment horizontal="center" vertical="center"/>
    </xf>
    <xf numFmtId="164" fontId="32" fillId="15" borderId="8" xfId="0" applyNumberFormat="1" applyFont="1" applyFill="1" applyBorder="1" applyAlignment="1" applyProtection="1">
      <alignment horizontal="center" vertical="center"/>
    </xf>
    <xf numFmtId="0" fontId="32" fillId="15" borderId="8" xfId="0" applyNumberFormat="1" applyFont="1" applyFill="1" applyBorder="1" applyAlignment="1" applyProtection="1">
      <alignment vertical="center"/>
    </xf>
    <xf numFmtId="164" fontId="32" fillId="15" borderId="8" xfId="3" applyNumberFormat="1" applyFont="1" applyFill="1" applyBorder="1" applyAlignment="1" applyProtection="1">
      <alignment horizontal="center" vertical="center"/>
    </xf>
    <xf numFmtId="164" fontId="32" fillId="14" borderId="8" xfId="0" applyNumberFormat="1" applyFont="1" applyFill="1" applyBorder="1" applyAlignment="1" applyProtection="1">
      <alignment horizontal="center" vertical="center"/>
      <protection hidden="1"/>
    </xf>
    <xf numFmtId="164" fontId="35" fillId="10" borderId="19" xfId="0" applyNumberFormat="1" applyFont="1" applyFill="1" applyBorder="1" applyAlignment="1" applyProtection="1">
      <alignment horizontal="center" vertical="center"/>
      <protection hidden="1"/>
    </xf>
    <xf numFmtId="0" fontId="41" fillId="0" borderId="0" xfId="0" applyNumberFormat="1" applyFont="1" applyFill="1" applyBorder="1" applyAlignment="1" applyProtection="1">
      <alignment vertical="center"/>
      <protection hidden="1"/>
    </xf>
    <xf numFmtId="49" fontId="33" fillId="7" borderId="8" xfId="0" applyNumberFormat="1" applyFont="1" applyFill="1" applyBorder="1" applyAlignment="1" applyProtection="1">
      <alignment horizontal="justify" vertical="center" wrapText="1"/>
      <protection hidden="1"/>
    </xf>
    <xf numFmtId="49" fontId="41" fillId="10" borderId="8" xfId="0" applyNumberFormat="1" applyFont="1" applyFill="1" applyBorder="1" applyAlignment="1" applyProtection="1">
      <alignment horizontal="left" vertical="center" wrapText="1"/>
      <protection hidden="1"/>
    </xf>
    <xf numFmtId="49" fontId="32" fillId="8" borderId="8" xfId="0" applyNumberFormat="1" applyFont="1" applyFill="1" applyBorder="1" applyAlignment="1" applyProtection="1">
      <alignment horizontal="left" vertical="center" wrapText="1"/>
      <protection hidden="1"/>
    </xf>
    <xf numFmtId="49" fontId="32" fillId="15" borderId="8" xfId="0" applyNumberFormat="1" applyFont="1" applyFill="1" applyBorder="1" applyAlignment="1" applyProtection="1">
      <alignment horizontal="left" vertical="center" wrapText="1"/>
      <protection hidden="1"/>
    </xf>
    <xf numFmtId="49" fontId="33" fillId="7" borderId="8" xfId="0" applyNumberFormat="1" applyFont="1" applyFill="1" applyBorder="1" applyAlignment="1" applyProtection="1">
      <alignment horizontal="left" vertical="center" wrapText="1"/>
      <protection hidden="1"/>
    </xf>
    <xf numFmtId="49" fontId="32" fillId="15" borderId="8" xfId="2" applyNumberFormat="1" applyFont="1" applyFill="1" applyBorder="1" applyAlignment="1" applyProtection="1">
      <alignment horizontal="left" vertical="center" wrapText="1"/>
    </xf>
    <xf numFmtId="49" fontId="33" fillId="7" borderId="8" xfId="2" applyNumberFormat="1" applyFont="1" applyFill="1" applyBorder="1" applyAlignment="1" applyProtection="1">
      <alignment horizontal="left" vertical="center" wrapText="1"/>
    </xf>
    <xf numFmtId="0" fontId="33" fillId="0" borderId="8" xfId="0" applyNumberFormat="1" applyFont="1" applyFill="1" applyBorder="1" applyAlignment="1" applyProtection="1">
      <alignment vertical="center"/>
    </xf>
    <xf numFmtId="49" fontId="33" fillId="0" borderId="8" xfId="2" applyNumberFormat="1" applyFont="1" applyFill="1" applyBorder="1" applyAlignment="1" applyProtection="1">
      <alignment horizontal="justify" vertical="center" wrapText="1"/>
    </xf>
    <xf numFmtId="49" fontId="33" fillId="3" borderId="8" xfId="0" applyNumberFormat="1" applyFont="1" applyFill="1" applyBorder="1" applyAlignment="1" applyProtection="1">
      <alignment horizontal="left" vertical="center" wrapText="1"/>
      <protection hidden="1"/>
    </xf>
    <xf numFmtId="49" fontId="32" fillId="10" borderId="8" xfId="0" applyNumberFormat="1" applyFont="1" applyFill="1" applyBorder="1" applyAlignment="1" applyProtection="1">
      <alignment horizontal="left" vertical="center" wrapText="1"/>
      <protection hidden="1"/>
    </xf>
    <xf numFmtId="49" fontId="33" fillId="0" borderId="8" xfId="0" applyNumberFormat="1" applyFont="1" applyFill="1" applyBorder="1" applyAlignment="1" applyProtection="1">
      <alignment horizontal="left" vertical="center" wrapText="1"/>
      <protection hidden="1"/>
    </xf>
    <xf numFmtId="49" fontId="33" fillId="0" borderId="8" xfId="0" applyNumberFormat="1" applyFont="1" applyFill="1" applyBorder="1" applyAlignment="1" applyProtection="1">
      <alignment horizontal="justify" vertical="center" wrapText="1"/>
      <protection hidden="1"/>
    </xf>
    <xf numFmtId="49" fontId="32" fillId="7" borderId="8" xfId="0" applyNumberFormat="1" applyFont="1" applyFill="1" applyBorder="1" applyAlignment="1" applyProtection="1">
      <alignment horizontal="justify" vertical="center" wrapText="1"/>
      <protection hidden="1"/>
    </xf>
    <xf numFmtId="49" fontId="32" fillId="10" borderId="8" xfId="0" applyNumberFormat="1" applyFont="1" applyFill="1" applyBorder="1" applyAlignment="1" applyProtection="1">
      <alignment horizontal="justify" vertical="center" wrapText="1"/>
      <protection hidden="1"/>
    </xf>
    <xf numFmtId="12" fontId="33" fillId="7" borderId="8" xfId="0" applyNumberFormat="1" applyFont="1" applyFill="1" applyBorder="1" applyAlignment="1" applyProtection="1">
      <alignment horizontal="justify" vertical="center" wrapText="1"/>
      <protection hidden="1"/>
    </xf>
    <xf numFmtId="49" fontId="33" fillId="0" borderId="8" xfId="2" applyNumberFormat="1" applyFont="1" applyFill="1" applyBorder="1" applyAlignment="1" applyProtection="1">
      <alignment horizontal="justify" vertical="center"/>
    </xf>
    <xf numFmtId="12" fontId="33" fillId="0" borderId="8" xfId="2" applyNumberFormat="1" applyFont="1" applyFill="1" applyBorder="1" applyAlignment="1" applyProtection="1">
      <alignment horizontal="justify" vertical="center" wrapText="1"/>
    </xf>
    <xf numFmtId="0" fontId="33" fillId="0" borderId="8" xfId="0" applyNumberFormat="1" applyFont="1" applyFill="1" applyBorder="1" applyAlignment="1" applyProtection="1">
      <alignment horizontal="center" vertical="center"/>
    </xf>
    <xf numFmtId="164" fontId="33" fillId="0" borderId="8" xfId="0" applyNumberFormat="1" applyFont="1" applyFill="1" applyBorder="1" applyAlignment="1" applyProtection="1">
      <alignment horizontal="center" vertical="center"/>
    </xf>
    <xf numFmtId="0" fontId="33" fillId="10" borderId="8" xfId="0" applyNumberFormat="1" applyFont="1" applyFill="1" applyBorder="1" applyAlignment="1" applyProtection="1">
      <alignment horizontal="center" vertical="center"/>
    </xf>
    <xf numFmtId="164" fontId="33" fillId="10" borderId="8" xfId="0" applyNumberFormat="1" applyFont="1" applyFill="1" applyBorder="1" applyAlignment="1" applyProtection="1">
      <alignment horizontal="center" vertical="center"/>
    </xf>
    <xf numFmtId="0" fontId="33" fillId="10" borderId="8" xfId="0" applyNumberFormat="1" applyFont="1" applyFill="1" applyBorder="1" applyAlignment="1" applyProtection="1">
      <alignment vertical="center"/>
    </xf>
    <xf numFmtId="0" fontId="32" fillId="8" borderId="8" xfId="0" applyNumberFormat="1" applyFont="1" applyFill="1" applyBorder="1" applyAlignment="1" applyProtection="1">
      <alignment horizontal="center" vertical="center"/>
    </xf>
    <xf numFmtId="164" fontId="32" fillId="8" borderId="8" xfId="0" applyNumberFormat="1" applyFont="1" applyFill="1" applyBorder="1" applyAlignment="1" applyProtection="1">
      <alignment horizontal="center" vertical="center"/>
    </xf>
    <xf numFmtId="0" fontId="32" fillId="8" borderId="8" xfId="0" applyNumberFormat="1" applyFont="1" applyFill="1" applyBorder="1" applyAlignment="1" applyProtection="1">
      <alignment vertical="center"/>
    </xf>
    <xf numFmtId="49" fontId="32" fillId="8" borderId="8" xfId="0" applyNumberFormat="1" applyFont="1" applyFill="1" applyBorder="1" applyAlignment="1" applyProtection="1">
      <alignment horizontal="justify" vertical="center" wrapText="1"/>
      <protection hidden="1"/>
    </xf>
    <xf numFmtId="0" fontId="33" fillId="8" borderId="8" xfId="0" applyNumberFormat="1" applyFont="1" applyFill="1" applyBorder="1" applyAlignment="1" applyProtection="1">
      <alignment horizontal="center" vertical="center"/>
    </xf>
    <xf numFmtId="164" fontId="33" fillId="8" borderId="8" xfId="0" applyNumberFormat="1" applyFont="1" applyFill="1" applyBorder="1" applyAlignment="1" applyProtection="1">
      <alignment horizontal="center" vertical="center"/>
    </xf>
    <xf numFmtId="0" fontId="33" fillId="8" borderId="8" xfId="0" applyNumberFormat="1" applyFont="1" applyFill="1" applyBorder="1" applyAlignment="1" applyProtection="1">
      <alignment vertical="center"/>
    </xf>
    <xf numFmtId="49" fontId="32" fillId="15" borderId="8" xfId="2" applyNumberFormat="1" applyFont="1" applyFill="1" applyBorder="1" applyAlignment="1" applyProtection="1">
      <alignment horizontal="justify" vertical="center"/>
    </xf>
    <xf numFmtId="49" fontId="35" fillId="10" borderId="8" xfId="0" applyNumberFormat="1" applyFont="1" applyFill="1" applyBorder="1" applyAlignment="1" applyProtection="1">
      <alignment horizontal="left" vertical="center"/>
      <protection hidden="1"/>
    </xf>
    <xf numFmtId="0" fontId="34" fillId="10" borderId="8" xfId="0" applyNumberFormat="1" applyFont="1" applyFill="1" applyBorder="1" applyAlignment="1" applyProtection="1">
      <alignment horizontal="center" vertical="center"/>
    </xf>
    <xf numFmtId="164" fontId="34" fillId="10" borderId="8" xfId="0" applyNumberFormat="1" applyFont="1" applyFill="1" applyBorder="1" applyAlignment="1" applyProtection="1">
      <alignment horizontal="center" vertical="center"/>
    </xf>
    <xf numFmtId="0" fontId="34" fillId="10" borderId="8" xfId="0" applyNumberFormat="1" applyFont="1" applyFill="1" applyBorder="1" applyAlignment="1" applyProtection="1">
      <alignment vertical="center"/>
    </xf>
    <xf numFmtId="49" fontId="31" fillId="4" borderId="1" xfId="0" applyNumberFormat="1" applyFont="1" applyFill="1" applyBorder="1" applyAlignment="1" applyProtection="1">
      <alignment horizontal="center" vertical="center" wrapText="1"/>
      <protection hidden="1"/>
    </xf>
    <xf numFmtId="49" fontId="31" fillId="10" borderId="2" xfId="0" applyNumberFormat="1" applyFont="1" applyFill="1" applyBorder="1" applyAlignment="1" applyProtection="1">
      <alignment horizontal="left" vertical="center" wrapText="1"/>
      <protection hidden="1"/>
    </xf>
    <xf numFmtId="49" fontId="32" fillId="8" borderId="5" xfId="0" applyNumberFormat="1" applyFont="1" applyFill="1" applyBorder="1" applyAlignment="1" applyProtection="1">
      <alignment horizontal="left" vertical="center" wrapText="1"/>
      <protection hidden="1"/>
    </xf>
    <xf numFmtId="49" fontId="32" fillId="15" borderId="5" xfId="0" applyNumberFormat="1" applyFont="1" applyFill="1" applyBorder="1" applyAlignment="1" applyProtection="1">
      <alignment horizontal="left" vertical="center" wrapText="1"/>
      <protection hidden="1"/>
    </xf>
    <xf numFmtId="49" fontId="32" fillId="14" borderId="12" xfId="0" applyNumberFormat="1" applyFont="1" applyFill="1" applyBorder="1" applyAlignment="1" applyProtection="1">
      <alignment horizontal="left" vertical="center" wrapText="1"/>
      <protection hidden="1"/>
    </xf>
    <xf numFmtId="49" fontId="32" fillId="14" borderId="8" xfId="0" applyNumberFormat="1" applyFont="1" applyFill="1" applyBorder="1" applyAlignment="1" applyProtection="1">
      <alignment horizontal="left" vertical="center" wrapText="1"/>
      <protection hidden="1"/>
    </xf>
    <xf numFmtId="49" fontId="33" fillId="0" borderId="12" xfId="0" applyNumberFormat="1" applyFont="1" applyFill="1" applyBorder="1" applyAlignment="1" applyProtection="1">
      <alignment horizontal="left" vertical="center" wrapText="1"/>
      <protection hidden="1"/>
    </xf>
    <xf numFmtId="49" fontId="32" fillId="15" borderId="12" xfId="0" applyNumberFormat="1" applyFont="1" applyFill="1" applyBorder="1" applyAlignment="1" applyProtection="1">
      <alignment horizontal="left" vertical="center" wrapText="1"/>
      <protection hidden="1"/>
    </xf>
    <xf numFmtId="49" fontId="32" fillId="14" borderId="8" xfId="2" applyNumberFormat="1" applyFont="1" applyFill="1" applyBorder="1" applyAlignment="1" applyProtection="1">
      <alignment horizontal="left" vertical="center" wrapText="1"/>
    </xf>
    <xf numFmtId="49" fontId="33" fillId="7" borderId="12" xfId="0" applyNumberFormat="1" applyFont="1" applyFill="1" applyBorder="1" applyAlignment="1" applyProtection="1">
      <alignment horizontal="left" vertical="center" wrapText="1"/>
      <protection hidden="1"/>
    </xf>
    <xf numFmtId="49" fontId="32" fillId="11" borderId="12" xfId="0" applyNumberFormat="1" applyFont="1" applyFill="1" applyBorder="1" applyAlignment="1" applyProtection="1">
      <alignment horizontal="left" vertical="center" wrapText="1"/>
      <protection hidden="1"/>
    </xf>
    <xf numFmtId="49" fontId="33" fillId="7" borderId="14" xfId="0" applyNumberFormat="1" applyFont="1" applyFill="1" applyBorder="1" applyAlignment="1" applyProtection="1">
      <alignment horizontal="justify" vertical="center" wrapText="1"/>
      <protection hidden="1"/>
    </xf>
    <xf numFmtId="49" fontId="32" fillId="8" borderId="2" xfId="0" applyNumberFormat="1" applyFont="1" applyFill="1" applyBorder="1" applyAlignment="1" applyProtection="1">
      <alignment horizontal="left" vertical="center" wrapText="1"/>
      <protection hidden="1"/>
    </xf>
    <xf numFmtId="49" fontId="32" fillId="8" borderId="2" xfId="0" applyNumberFormat="1" applyFont="1" applyFill="1" applyBorder="1" applyAlignment="1" applyProtection="1">
      <alignment horizontal="justify" vertical="center" wrapText="1"/>
      <protection hidden="1"/>
    </xf>
    <xf numFmtId="49" fontId="32" fillId="15" borderId="2" xfId="0" applyNumberFormat="1" applyFont="1" applyFill="1" applyBorder="1" applyAlignment="1" applyProtection="1">
      <alignment horizontal="left" vertical="center" wrapText="1"/>
      <protection hidden="1"/>
    </xf>
    <xf numFmtId="49" fontId="32" fillId="14" borderId="6" xfId="0" applyNumberFormat="1" applyFont="1" applyFill="1" applyBorder="1" applyAlignment="1" applyProtection="1">
      <alignment horizontal="justify" vertical="center" wrapText="1"/>
      <protection hidden="1"/>
    </xf>
    <xf numFmtId="12" fontId="33" fillId="0" borderId="8" xfId="0" applyNumberFormat="1" applyFont="1" applyFill="1" applyBorder="1" applyAlignment="1" applyProtection="1">
      <alignment horizontal="justify" vertical="center" wrapText="1"/>
      <protection hidden="1"/>
    </xf>
    <xf numFmtId="12" fontId="33" fillId="7" borderId="14" xfId="0" applyNumberFormat="1" applyFont="1" applyFill="1" applyBorder="1" applyAlignment="1" applyProtection="1">
      <alignment horizontal="justify" vertical="center" wrapText="1"/>
      <protection hidden="1"/>
    </xf>
    <xf numFmtId="12" fontId="33" fillId="7" borderId="6" xfId="0" applyNumberFormat="1" applyFont="1" applyFill="1" applyBorder="1" applyAlignment="1" applyProtection="1">
      <alignment horizontal="justify" vertical="center" wrapText="1"/>
      <protection hidden="1"/>
    </xf>
    <xf numFmtId="12" fontId="32" fillId="15" borderId="16" xfId="0" applyNumberFormat="1" applyFont="1" applyFill="1" applyBorder="1" applyAlignment="1" applyProtection="1">
      <alignment horizontal="justify" vertical="center" wrapText="1"/>
      <protection hidden="1"/>
    </xf>
    <xf numFmtId="12" fontId="33" fillId="0" borderId="14" xfId="2" applyNumberFormat="1" applyFont="1" applyFill="1" applyBorder="1" applyAlignment="1" applyProtection="1">
      <alignment horizontal="justify" vertical="center" wrapText="1"/>
    </xf>
    <xf numFmtId="0" fontId="33" fillId="0" borderId="14" xfId="0" applyNumberFormat="1" applyFont="1" applyFill="1" applyBorder="1" applyAlignment="1" applyProtection="1">
      <alignment vertical="center"/>
    </xf>
    <xf numFmtId="49" fontId="33" fillId="0" borderId="6" xfId="2" applyNumberFormat="1" applyFont="1" applyFill="1" applyBorder="1" applyAlignment="1" applyProtection="1">
      <alignment horizontal="justify" vertical="center" wrapText="1"/>
    </xf>
    <xf numFmtId="49" fontId="33" fillId="0" borderId="16" xfId="2" applyNumberFormat="1" applyFont="1" applyFill="1" applyBorder="1" applyAlignment="1" applyProtection="1">
      <alignment horizontal="justify" vertical="center" wrapText="1"/>
    </xf>
    <xf numFmtId="49" fontId="33" fillId="0" borderId="14" xfId="2" applyNumberFormat="1" applyFont="1" applyFill="1" applyBorder="1" applyAlignment="1" applyProtection="1">
      <alignment horizontal="justify" vertical="center" wrapText="1"/>
    </xf>
    <xf numFmtId="0" fontId="33" fillId="0" borderId="0" xfId="0" applyNumberFormat="1" applyFont="1" applyFill="1" applyBorder="1" applyAlignment="1" applyProtection="1">
      <alignment horizontal="center" vertical="center"/>
    </xf>
    <xf numFmtId="164" fontId="33" fillId="0" borderId="0" xfId="0" applyNumberFormat="1" applyFont="1" applyFill="1" applyBorder="1" applyAlignment="1" applyProtection="1">
      <alignment horizontal="center" vertical="center"/>
    </xf>
    <xf numFmtId="0" fontId="33" fillId="0" borderId="0" xfId="0" applyNumberFormat="1" applyFont="1" applyFill="1" applyBorder="1" applyAlignment="1" applyProtection="1">
      <alignment vertical="center"/>
    </xf>
    <xf numFmtId="49" fontId="32" fillId="14" borderId="8" xfId="0" applyNumberFormat="1" applyFont="1" applyFill="1" applyBorder="1" applyAlignment="1" applyProtection="1">
      <alignment horizontal="justify" vertical="center" wrapText="1"/>
      <protection hidden="1"/>
    </xf>
    <xf numFmtId="0" fontId="32" fillId="14" borderId="0" xfId="0" applyNumberFormat="1" applyFont="1" applyFill="1" applyBorder="1" applyAlignment="1" applyProtection="1">
      <alignment horizontal="center" vertical="center"/>
    </xf>
    <xf numFmtId="164" fontId="32" fillId="14" borderId="0" xfId="0" applyNumberFormat="1" applyFont="1" applyFill="1" applyBorder="1" applyAlignment="1" applyProtection="1">
      <alignment horizontal="center" vertical="center"/>
    </xf>
    <xf numFmtId="0" fontId="32" fillId="14" borderId="0" xfId="0" applyNumberFormat="1" applyFont="1" applyFill="1" applyBorder="1" applyAlignment="1" applyProtection="1">
      <alignment vertical="center"/>
    </xf>
    <xf numFmtId="12" fontId="33" fillId="0" borderId="14" xfId="0" applyNumberFormat="1" applyFont="1" applyFill="1" applyBorder="1" applyAlignment="1" applyProtection="1">
      <alignment horizontal="justify" vertical="center" wrapText="1"/>
      <protection hidden="1"/>
    </xf>
    <xf numFmtId="0" fontId="32" fillId="15" borderId="0" xfId="0" applyNumberFormat="1" applyFont="1" applyFill="1" applyBorder="1" applyAlignment="1" applyProtection="1">
      <alignment horizontal="center" vertical="center"/>
    </xf>
    <xf numFmtId="164" fontId="32" fillId="15" borderId="0" xfId="0" applyNumberFormat="1" applyFont="1" applyFill="1" applyBorder="1" applyAlignment="1" applyProtection="1">
      <alignment horizontal="center" vertical="center"/>
    </xf>
    <xf numFmtId="0" fontId="32" fillId="15" borderId="0" xfId="0" applyNumberFormat="1" applyFont="1" applyFill="1" applyBorder="1" applyAlignment="1" applyProtection="1">
      <alignment vertical="center"/>
    </xf>
    <xf numFmtId="49" fontId="32" fillId="14" borderId="14" xfId="0" applyNumberFormat="1" applyFont="1" applyFill="1" applyBorder="1" applyAlignment="1" applyProtection="1">
      <alignment horizontal="justify" vertical="center" wrapText="1"/>
      <protection hidden="1"/>
    </xf>
    <xf numFmtId="49" fontId="33" fillId="0" borderId="14" xfId="0" applyNumberFormat="1" applyFont="1" applyFill="1" applyBorder="1" applyAlignment="1" applyProtection="1">
      <alignment horizontal="justify" vertical="center" wrapText="1"/>
      <protection hidden="1"/>
    </xf>
    <xf numFmtId="0" fontId="33" fillId="15" borderId="0" xfId="0" applyNumberFormat="1" applyFont="1" applyFill="1" applyBorder="1" applyAlignment="1" applyProtection="1">
      <alignment horizontal="center" vertical="center"/>
    </xf>
    <xf numFmtId="164" fontId="33" fillId="15" borderId="0" xfId="0" applyNumberFormat="1" applyFont="1" applyFill="1" applyBorder="1" applyAlignment="1" applyProtection="1">
      <alignment horizontal="center" vertical="center"/>
    </xf>
    <xf numFmtId="0" fontId="33" fillId="15" borderId="0" xfId="0" applyNumberFormat="1" applyFont="1" applyFill="1" applyBorder="1" applyAlignment="1" applyProtection="1">
      <alignment vertical="center"/>
    </xf>
    <xf numFmtId="49" fontId="32" fillId="14" borderId="8" xfId="2" applyNumberFormat="1" applyFont="1" applyFill="1" applyBorder="1" applyAlignment="1" applyProtection="1">
      <alignment horizontal="justify" vertical="center"/>
    </xf>
    <xf numFmtId="0" fontId="33" fillId="14" borderId="0" xfId="0" applyNumberFormat="1" applyFont="1" applyFill="1" applyBorder="1" applyAlignment="1" applyProtection="1">
      <alignment horizontal="center" vertical="center"/>
    </xf>
    <xf numFmtId="164" fontId="33" fillId="14" borderId="0" xfId="0" applyNumberFormat="1" applyFont="1" applyFill="1" applyBorder="1" applyAlignment="1" applyProtection="1">
      <alignment horizontal="center" vertical="center"/>
    </xf>
    <xf numFmtId="0" fontId="33" fillId="14" borderId="0" xfId="0" applyNumberFormat="1" applyFont="1" applyFill="1" applyBorder="1" applyAlignment="1" applyProtection="1">
      <alignment vertical="center"/>
    </xf>
    <xf numFmtId="49" fontId="33" fillId="14" borderId="8" xfId="0" applyNumberFormat="1" applyFont="1" applyFill="1" applyBorder="1" applyAlignment="1" applyProtection="1">
      <alignment horizontal="justify" vertical="center" wrapText="1"/>
      <protection hidden="1"/>
    </xf>
    <xf numFmtId="49" fontId="15" fillId="10" borderId="1" xfId="0" applyNumberFormat="1" applyFont="1" applyFill="1" applyBorder="1" applyAlignment="1" applyProtection="1">
      <alignment horizontal="center" vertical="center"/>
      <protection hidden="1"/>
    </xf>
    <xf numFmtId="49" fontId="15" fillId="10" borderId="2" xfId="0" applyNumberFormat="1" applyFont="1" applyFill="1" applyBorder="1" applyAlignment="1" applyProtection="1">
      <alignment horizontal="left" vertical="center"/>
      <protection hidden="1"/>
    </xf>
    <xf numFmtId="0" fontId="8" fillId="0" borderId="37" xfId="0" applyNumberFormat="1" applyFont="1" applyFill="1" applyBorder="1" applyAlignment="1" applyProtection="1">
      <alignment horizontal="center" vertical="center"/>
    </xf>
    <xf numFmtId="164" fontId="8" fillId="0" borderId="37" xfId="0" applyNumberFormat="1" applyFont="1" applyFill="1" applyBorder="1" applyAlignment="1" applyProtection="1">
      <alignment horizontal="center" vertical="center"/>
    </xf>
    <xf numFmtId="0" fontId="0" fillId="0" borderId="37" xfId="0" applyNumberFormat="1" applyFont="1" applyFill="1" applyBorder="1" applyAlignment="1" applyProtection="1">
      <alignment vertical="center"/>
    </xf>
    <xf numFmtId="0" fontId="42" fillId="0" borderId="0" xfId="0" applyNumberFormat="1" applyFont="1" applyFill="1" applyBorder="1" applyAlignment="1" applyProtection="1">
      <alignment vertical="top" wrapText="1"/>
    </xf>
    <xf numFmtId="0" fontId="35" fillId="0" borderId="8" xfId="0" applyNumberFormat="1" applyFont="1" applyFill="1" applyBorder="1" applyAlignment="1" applyProtection="1">
      <alignment horizontal="center" vertical="center" wrapText="1"/>
    </xf>
    <xf numFmtId="165" fontId="35" fillId="0" borderId="8" xfId="0" applyNumberFormat="1" applyFont="1" applyFill="1" applyBorder="1" applyAlignment="1" applyProtection="1">
      <alignment horizontal="center" vertical="center" wrapText="1"/>
    </xf>
    <xf numFmtId="165" fontId="35" fillId="0" borderId="8" xfId="0" applyNumberFormat="1" applyFont="1" applyFill="1" applyBorder="1" applyAlignment="1" applyProtection="1">
      <alignment horizontal="center" vertical="center"/>
    </xf>
    <xf numFmtId="165" fontId="47" fillId="0" borderId="8" xfId="0" applyNumberFormat="1" applyFont="1" applyFill="1" applyBorder="1" applyAlignment="1" applyProtection="1">
      <alignment horizontal="center" vertical="center"/>
    </xf>
    <xf numFmtId="0" fontId="35" fillId="0" borderId="8" xfId="0" applyNumberFormat="1" applyFont="1" applyFill="1" applyBorder="1" applyAlignment="1" applyProtection="1">
      <alignment horizontal="left" vertical="center" wrapText="1"/>
    </xf>
    <xf numFmtId="0" fontId="47" fillId="0" borderId="8" xfId="0" applyNumberFormat="1" applyFont="1" applyFill="1" applyBorder="1" applyAlignment="1" applyProtection="1">
      <alignment horizontal="left" vertical="center" wrapText="1"/>
    </xf>
    <xf numFmtId="164" fontId="32" fillId="15" borderId="9" xfId="0" applyNumberFormat="1" applyFont="1" applyFill="1" applyBorder="1" applyAlignment="1" applyProtection="1">
      <alignment horizontal="center" vertical="center" wrapText="1"/>
      <protection hidden="1"/>
    </xf>
    <xf numFmtId="0" fontId="25" fillId="0" borderId="8" xfId="0" applyNumberFormat="1" applyFont="1" applyFill="1" applyBorder="1" applyAlignment="1" applyProtection="1">
      <alignment horizontal="center" vertical="center" wrapText="1"/>
    </xf>
    <xf numFmtId="0" fontId="24" fillId="0" borderId="8" xfId="0" applyNumberFormat="1" applyFont="1" applyFill="1" applyBorder="1" applyAlignment="1" applyProtection="1">
      <alignment horizontal="center" vertical="top" wrapText="1"/>
    </xf>
    <xf numFmtId="0" fontId="24" fillId="0" borderId="8" xfId="0" applyNumberFormat="1" applyFont="1" applyFill="1" applyBorder="1" applyAlignment="1" applyProtection="1">
      <alignment horizontal="center" vertical="top"/>
    </xf>
    <xf numFmtId="0" fontId="26" fillId="0" borderId="8" xfId="0" applyNumberFormat="1" applyFont="1" applyFill="1" applyBorder="1" applyAlignment="1" applyProtection="1">
      <alignment vertical="top" wrapText="1"/>
    </xf>
    <xf numFmtId="49" fontId="24" fillId="0" borderId="8" xfId="0" applyNumberFormat="1" applyFont="1" applyFill="1" applyBorder="1" applyAlignment="1" applyProtection="1">
      <alignment horizontal="center" vertical="top"/>
    </xf>
    <xf numFmtId="0" fontId="25" fillId="0" borderId="8" xfId="0" applyNumberFormat="1" applyFont="1" applyFill="1" applyBorder="1" applyAlignment="1" applyProtection="1">
      <alignment vertical="top" wrapText="1"/>
    </xf>
    <xf numFmtId="0" fontId="24" fillId="0" borderId="8" xfId="0" applyNumberFormat="1" applyFont="1" applyFill="1" applyBorder="1" applyAlignment="1" applyProtection="1">
      <alignment vertical="top" wrapText="1"/>
    </xf>
    <xf numFmtId="49" fontId="24" fillId="0" borderId="8" xfId="0" applyNumberFormat="1" applyFont="1" applyFill="1" applyBorder="1" applyAlignment="1" applyProtection="1">
      <alignment horizontal="center" vertical="top" wrapText="1"/>
    </xf>
    <xf numFmtId="0" fontId="41" fillId="0" borderId="0" xfId="0" applyNumberFormat="1" applyFont="1" applyFill="1" applyBorder="1" applyAlignment="1" applyProtection="1">
      <alignment horizontal="left" vertical="center" wrapText="1"/>
    </xf>
    <xf numFmtId="0" fontId="41" fillId="0" borderId="0" xfId="0" applyNumberFormat="1" applyFont="1" applyFill="1" applyBorder="1" applyAlignment="1" applyProtection="1">
      <alignment horizontal="center" vertical="center" wrapText="1"/>
    </xf>
    <xf numFmtId="0" fontId="29" fillId="0" borderId="0" xfId="4" applyFont="1" applyBorder="1" applyAlignment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  <protection hidden="1"/>
    </xf>
    <xf numFmtId="0" fontId="41" fillId="0" borderId="0" xfId="0" applyNumberFormat="1" applyFont="1" applyFill="1" applyBorder="1" applyAlignment="1" applyProtection="1">
      <alignment horizontal="center" vertical="center"/>
      <protection hidden="1"/>
    </xf>
    <xf numFmtId="0" fontId="35" fillId="0" borderId="8" xfId="0" applyNumberFormat="1" applyFont="1" applyFill="1" applyBorder="1" applyAlignment="1" applyProtection="1">
      <alignment horizontal="left" vertical="center" wrapText="1"/>
    </xf>
    <xf numFmtId="0" fontId="48" fillId="0" borderId="0" xfId="0" applyNumberFormat="1" applyFont="1" applyFill="1" applyBorder="1" applyAlignment="1" applyProtection="1">
      <alignment horizontal="right" vertical="top" wrapText="1"/>
    </xf>
    <xf numFmtId="0" fontId="42" fillId="0" borderId="0" xfId="0" applyNumberFormat="1" applyFont="1" applyFill="1" applyBorder="1" applyAlignment="1" applyProtection="1">
      <alignment horizontal="right" vertical="center" wrapText="1"/>
    </xf>
    <xf numFmtId="0" fontId="42" fillId="0" borderId="0" xfId="0" applyNumberFormat="1" applyFont="1" applyFill="1" applyBorder="1" applyAlignment="1" applyProtection="1">
      <alignment horizontal="right" vertical="top" wrapText="1"/>
    </xf>
    <xf numFmtId="0" fontId="40" fillId="0" borderId="0" xfId="0" applyNumberFormat="1" applyFont="1" applyFill="1" applyBorder="1" applyAlignment="1" applyProtection="1">
      <alignment horizontal="center"/>
    </xf>
    <xf numFmtId="0" fontId="47" fillId="0" borderId="0" xfId="0" applyNumberFormat="1" applyFont="1" applyFill="1" applyBorder="1" applyAlignment="1" applyProtection="1">
      <alignment horizontal="right" vertical="top"/>
    </xf>
    <xf numFmtId="0" fontId="35" fillId="0" borderId="8" xfId="0" applyNumberFormat="1" applyFont="1" applyFill="1" applyBorder="1" applyAlignment="1" applyProtection="1">
      <alignment vertical="center" wrapText="1"/>
    </xf>
    <xf numFmtId="0" fontId="39" fillId="0" borderId="0" xfId="0" applyNumberFormat="1" applyFont="1" applyFill="1" applyBorder="1" applyAlignment="1" applyProtection="1">
      <alignment horizontal="right" vertical="top"/>
    </xf>
    <xf numFmtId="0" fontId="40" fillId="0" borderId="0" xfId="0" applyNumberFormat="1" applyFont="1" applyFill="1" applyBorder="1" applyAlignment="1" applyProtection="1">
      <alignment horizontal="right"/>
    </xf>
    <xf numFmtId="0" fontId="37" fillId="0" borderId="0" xfId="0" applyNumberFormat="1" applyFont="1" applyFill="1" applyBorder="1" applyAlignment="1" applyProtection="1">
      <alignment horizontal="center"/>
    </xf>
    <xf numFmtId="0" fontId="23" fillId="0" borderId="0" xfId="0" applyNumberFormat="1" applyFont="1" applyFill="1" applyBorder="1" applyAlignment="1" applyProtection="1">
      <alignment horizontal="right" vertical="center" wrapText="1"/>
    </xf>
    <xf numFmtId="0" fontId="8" fillId="0" borderId="0" xfId="0" applyNumberFormat="1" applyFont="1" applyFill="1" applyBorder="1" applyAlignment="1" applyProtection="1">
      <alignment horizontal="right" vertical="center" wrapText="1"/>
    </xf>
    <xf numFmtId="0" fontId="39" fillId="0" borderId="8" xfId="0" applyNumberFormat="1" applyFont="1" applyFill="1" applyBorder="1" applyAlignment="1" applyProtection="1">
      <alignment horizontal="center" vertical="center" wrapText="1"/>
    </xf>
    <xf numFmtId="0" fontId="36" fillId="0" borderId="0" xfId="0" applyNumberFormat="1" applyFont="1" applyFill="1" applyBorder="1" applyAlignment="1" applyProtection="1">
      <alignment vertical="top" wrapText="1"/>
    </xf>
    <xf numFmtId="0" fontId="38" fillId="0" borderId="8" xfId="0" applyNumberFormat="1" applyFont="1" applyFill="1" applyBorder="1" applyAlignment="1" applyProtection="1">
      <alignment horizontal="center" vertical="top" wrapText="1"/>
    </xf>
    <xf numFmtId="49" fontId="39" fillId="0" borderId="8" xfId="0" applyNumberFormat="1" applyFont="1" applyFill="1" applyBorder="1" applyAlignment="1" applyProtection="1">
      <alignment horizontal="left" vertical="center" wrapText="1"/>
    </xf>
    <xf numFmtId="0" fontId="39" fillId="0" borderId="8" xfId="0" applyNumberFormat="1" applyFont="1" applyFill="1" applyBorder="1" applyAlignment="1" applyProtection="1">
      <alignment horizontal="left" vertical="center" wrapText="1"/>
    </xf>
  </cellXfs>
  <cellStyles count="7">
    <cellStyle name="Обычный" xfId="0" builtinId="0"/>
    <cellStyle name="Обычный 2" xfId="1"/>
    <cellStyle name="Обычный 2 2" xfId="2"/>
    <cellStyle name="Обычный 3" xfId="3"/>
    <cellStyle name="Обычный 4" xfId="4"/>
    <cellStyle name="Обычный 5" xfId="5"/>
    <cellStyle name="Обычный 6" xfId="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87;&#1088;&#1086;&#1077;&#1082;&#1090;%20%202012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&#1055;&#1086;&#1087;&#1088;&#1072;&#1074;&#1082;&#1080;%20&#1080;&#1102;&#1083;&#110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Р."/>
      <sheetName val="доходы"/>
      <sheetName val="доходы проект"/>
      <sheetName val="роспись"/>
      <sheetName val="ведомст.структ"/>
      <sheetName val="СРП(Д)"/>
      <sheetName val="прилож 4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79">
          <cell r="I79">
            <v>20086.600000000002</v>
          </cell>
          <cell r="J79">
            <v>30141.100000000002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Р."/>
      <sheetName val="доходы"/>
      <sheetName val="доходы июль"/>
      <sheetName val="роспись"/>
      <sheetName val="ведомст.структ"/>
      <sheetName val="СРП(Д)"/>
      <sheetName val="прилож 4"/>
    </sheetNames>
    <sheetDataSet>
      <sheetData sheetId="0" refreshError="1"/>
      <sheetData sheetId="1" refreshError="1"/>
      <sheetData sheetId="2" refreshError="1"/>
      <sheetData sheetId="3" refreshError="1">
        <row r="10">
          <cell r="H10">
            <v>753.2</v>
          </cell>
        </row>
        <row r="22">
          <cell r="H22">
            <v>8080.0000000000009</v>
          </cell>
        </row>
        <row r="37">
          <cell r="H37">
            <v>12.7</v>
          </cell>
        </row>
        <row r="46">
          <cell r="H46">
            <v>200</v>
          </cell>
        </row>
        <row r="48">
          <cell r="H48">
            <v>60</v>
          </cell>
        </row>
        <row r="63">
          <cell r="H63">
            <v>5320</v>
          </cell>
        </row>
        <row r="68">
          <cell r="H68">
            <v>668</v>
          </cell>
        </row>
        <row r="70">
          <cell r="H70">
            <v>796</v>
          </cell>
        </row>
        <row r="75">
          <cell r="H75">
            <v>204</v>
          </cell>
        </row>
        <row r="76">
          <cell r="H76">
            <v>370</v>
          </cell>
        </row>
        <row r="77">
          <cell r="H77">
            <v>130</v>
          </cell>
        </row>
        <row r="79">
          <cell r="H79">
            <v>1077.7</v>
          </cell>
        </row>
        <row r="84">
          <cell r="H84">
            <v>552.70000000000005</v>
          </cell>
        </row>
        <row r="96">
          <cell r="H96">
            <v>228.1</v>
          </cell>
        </row>
        <row r="103">
          <cell r="H103">
            <v>500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E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21"/>
  </sheetPr>
  <dimension ref="A1:L71"/>
  <sheetViews>
    <sheetView zoomScale="87" zoomScaleNormal="87" workbookViewId="0">
      <pane xSplit="2" ySplit="10" topLeftCell="C55" activePane="bottomRight" state="frozen"/>
      <selection activeCell="A5" sqref="A5"/>
      <selection pane="topRight" activeCell="C5" sqref="C5"/>
      <selection pane="bottomLeft" activeCell="A9" sqref="A9"/>
      <selection pane="bottomRight" activeCell="C93" sqref="C93"/>
    </sheetView>
  </sheetViews>
  <sheetFormatPr defaultColWidth="9.140625" defaultRowHeight="12.75"/>
  <cols>
    <col min="1" max="1" width="9.140625" style="1" customWidth="1"/>
    <col min="2" max="2" width="38.5703125" style="1" customWidth="1"/>
    <col min="3" max="3" width="51.42578125" style="2" customWidth="1"/>
    <col min="4" max="4" width="11.7109375" style="6" hidden="1" customWidth="1"/>
    <col min="5" max="5" width="10.85546875" style="2" hidden="1" customWidth="1"/>
    <col min="6" max="6" width="13.42578125" style="2" hidden="1" customWidth="1"/>
    <col min="7" max="7" width="15.85546875" style="2" hidden="1" customWidth="1"/>
    <col min="8" max="8" width="14" style="2" hidden="1" customWidth="1"/>
    <col min="9" max="9" width="16.5703125" style="2" hidden="1" customWidth="1"/>
    <col min="10" max="10" width="15.42578125" style="2" customWidth="1"/>
    <col min="11" max="11" width="12.7109375" style="2" hidden="1" customWidth="1"/>
    <col min="12" max="12" width="12" style="2" hidden="1" customWidth="1"/>
    <col min="13" max="16384" width="9.140625" style="2"/>
  </cols>
  <sheetData>
    <row r="1" spans="1:12" ht="21" customHeight="1">
      <c r="A1" s="308"/>
      <c r="B1" s="314"/>
      <c r="C1" s="314"/>
      <c r="D1" s="314"/>
      <c r="E1" s="314"/>
      <c r="F1" s="314"/>
      <c r="G1" s="309"/>
      <c r="H1" s="309"/>
      <c r="I1" s="309"/>
      <c r="J1" s="315" t="s">
        <v>223</v>
      </c>
    </row>
    <row r="2" spans="1:12" ht="21" customHeight="1">
      <c r="A2" s="309"/>
      <c r="B2" s="309"/>
      <c r="C2" s="309"/>
      <c r="D2" s="309"/>
      <c r="E2" s="309"/>
      <c r="F2" s="309"/>
      <c r="G2" s="309"/>
      <c r="H2" s="309"/>
      <c r="I2" s="309"/>
      <c r="J2" s="310" t="s">
        <v>98</v>
      </c>
    </row>
    <row r="3" spans="1:12" ht="17.25" customHeight="1">
      <c r="A3" s="309"/>
      <c r="B3" s="309"/>
      <c r="C3" s="309"/>
      <c r="D3" s="309"/>
      <c r="E3" s="309"/>
      <c r="F3" s="309"/>
      <c r="G3" s="309"/>
      <c r="H3" s="309"/>
      <c r="I3" s="309"/>
      <c r="J3" s="310" t="s">
        <v>534</v>
      </c>
    </row>
    <row r="4" spans="1:12" ht="22.5" customHeight="1">
      <c r="A4" s="309"/>
      <c r="B4" s="309"/>
      <c r="C4" s="309"/>
      <c r="D4" s="309"/>
      <c r="E4" s="309"/>
      <c r="F4" s="309"/>
      <c r="G4" s="309"/>
      <c r="H4" s="309"/>
      <c r="I4" s="309"/>
      <c r="J4" s="310" t="s">
        <v>413</v>
      </c>
    </row>
    <row r="5" spans="1:12" ht="22.5" customHeight="1">
      <c r="A5" s="309"/>
      <c r="B5" s="309"/>
      <c r="C5" s="309"/>
      <c r="D5" s="309"/>
      <c r="E5" s="309"/>
      <c r="F5" s="309"/>
      <c r="G5" s="309"/>
      <c r="H5" s="309"/>
      <c r="I5" s="309"/>
      <c r="J5" s="310"/>
    </row>
    <row r="6" spans="1:12" ht="22.5" customHeight="1">
      <c r="A6" s="309"/>
      <c r="B6" s="309"/>
      <c r="C6" s="537" t="s">
        <v>414</v>
      </c>
      <c r="D6" s="537"/>
      <c r="E6" s="537"/>
      <c r="F6" s="537"/>
      <c r="G6" s="309"/>
      <c r="H6" s="309"/>
      <c r="I6" s="309"/>
      <c r="J6" s="310"/>
    </row>
    <row r="7" spans="1:12" ht="27.6" customHeight="1" thickBot="1">
      <c r="A7" s="538" t="s">
        <v>421</v>
      </c>
      <c r="B7" s="538"/>
      <c r="C7" s="538"/>
      <c r="D7" s="538"/>
      <c r="E7" s="309"/>
      <c r="F7" s="309"/>
      <c r="G7" s="309"/>
      <c r="H7" s="309"/>
      <c r="I7" s="309"/>
      <c r="J7" s="309"/>
    </row>
    <row r="8" spans="1:12" s="7" customFormat="1" ht="39" thickBot="1">
      <c r="A8" s="320" t="s">
        <v>0</v>
      </c>
      <c r="B8" s="320" t="s">
        <v>11</v>
      </c>
      <c r="C8" s="321" t="s">
        <v>1</v>
      </c>
      <c r="D8" s="322" t="s">
        <v>228</v>
      </c>
      <c r="E8" s="322" t="s">
        <v>233</v>
      </c>
      <c r="F8" s="322" t="s">
        <v>229</v>
      </c>
      <c r="G8" s="322" t="s">
        <v>382</v>
      </c>
      <c r="H8" s="322" t="s">
        <v>412</v>
      </c>
      <c r="I8" s="322" t="s">
        <v>301</v>
      </c>
      <c r="J8" s="322" t="s">
        <v>416</v>
      </c>
      <c r="K8" s="41" t="s">
        <v>288</v>
      </c>
      <c r="L8" s="34" t="s">
        <v>302</v>
      </c>
    </row>
    <row r="9" spans="1:12" s="3" customFormat="1" ht="16.5" thickBot="1">
      <c r="A9" s="323" t="s">
        <v>2</v>
      </c>
      <c r="B9" s="324" t="s">
        <v>16</v>
      </c>
      <c r="C9" s="325" t="s">
        <v>497</v>
      </c>
      <c r="D9" s="326" t="e">
        <f>D10+D21+D24+D31+D35</f>
        <v>#REF!</v>
      </c>
      <c r="E9" s="326" t="e">
        <f>E10+E21+E24+E31+E35</f>
        <v>#REF!</v>
      </c>
      <c r="F9" s="326" t="e">
        <f>F10+F21+F24+F31+F35</f>
        <v>#REF!</v>
      </c>
      <c r="G9" s="326">
        <f t="shared" ref="G9:L9" si="0">G10+G21+G24+G35+G39</f>
        <v>29725.4</v>
      </c>
      <c r="H9" s="326">
        <f t="shared" si="0"/>
        <v>17464.399999999998</v>
      </c>
      <c r="I9" s="326">
        <f t="shared" si="0"/>
        <v>29091.899999999998</v>
      </c>
      <c r="J9" s="326">
        <f t="shared" si="0"/>
        <v>26856.007000000001</v>
      </c>
      <c r="K9" s="131">
        <f t="shared" si="0"/>
        <v>28840.029406000005</v>
      </c>
      <c r="L9" s="87">
        <f t="shared" si="0"/>
        <v>30426.231023330001</v>
      </c>
    </row>
    <row r="10" spans="1:12" s="4" customFormat="1" ht="16.5" thickBot="1">
      <c r="A10" s="327" t="s">
        <v>7</v>
      </c>
      <c r="B10" s="328" t="s">
        <v>113</v>
      </c>
      <c r="C10" s="346" t="s">
        <v>5</v>
      </c>
      <c r="D10" s="329">
        <f t="shared" ref="D10:L10" si="1">D11+D18</f>
        <v>9631.4</v>
      </c>
      <c r="E10" s="329">
        <f t="shared" si="1"/>
        <v>6727.71</v>
      </c>
      <c r="F10" s="329">
        <f t="shared" si="1"/>
        <v>10213.75</v>
      </c>
      <c r="G10" s="329">
        <f t="shared" si="1"/>
        <v>18820</v>
      </c>
      <c r="H10" s="329">
        <f t="shared" si="1"/>
        <v>10036.199999999999</v>
      </c>
      <c r="I10" s="329">
        <f t="shared" si="1"/>
        <v>17432.899999999998</v>
      </c>
      <c r="J10" s="329">
        <f>J11+J18</f>
        <v>14770.967000000001</v>
      </c>
      <c r="K10" s="132">
        <f t="shared" si="1"/>
        <v>16054.057086000003</v>
      </c>
      <c r="L10" s="88">
        <f t="shared" si="1"/>
        <v>16937.030225730003</v>
      </c>
    </row>
    <row r="11" spans="1:12" s="6" customFormat="1" ht="39.950000000000003" customHeight="1">
      <c r="A11" s="330" t="s">
        <v>65</v>
      </c>
      <c r="B11" s="316" t="s">
        <v>285</v>
      </c>
      <c r="C11" s="347" t="s">
        <v>107</v>
      </c>
      <c r="D11" s="311">
        <f>D12+D15+D13+D16</f>
        <v>9391.4</v>
      </c>
      <c r="E11" s="311">
        <f>E12+E15+E13+E16</f>
        <v>6546.21</v>
      </c>
      <c r="F11" s="311">
        <f>F12+F15+F13+F16</f>
        <v>9941.5</v>
      </c>
      <c r="G11" s="311">
        <f>G12+G15+G13+G16+G17</f>
        <v>18620</v>
      </c>
      <c r="H11" s="311">
        <f>H12+H15+H13+H16+H17</f>
        <v>9812.9999999999982</v>
      </c>
      <c r="I11" s="311">
        <f>I12+I15+I13+I16+I17+I18</f>
        <v>17098.099999999999</v>
      </c>
      <c r="J11" s="311">
        <f>J12+J15+J13+J16+J17</f>
        <v>14367.967000000001</v>
      </c>
      <c r="K11" s="133">
        <f>K12+K15+K13+K16+K17+K18</f>
        <v>15627.683086000003</v>
      </c>
      <c r="L11" s="82">
        <f>L12+L15+L13+L16+L17+L18</f>
        <v>16487.205655730002</v>
      </c>
    </row>
    <row r="12" spans="1:12" s="6" customFormat="1" ht="39.950000000000003" customHeight="1">
      <c r="A12" s="330" t="s">
        <v>45</v>
      </c>
      <c r="B12" s="316" t="s">
        <v>193</v>
      </c>
      <c r="C12" s="347" t="s">
        <v>108</v>
      </c>
      <c r="D12" s="311">
        <v>6131.4</v>
      </c>
      <c r="E12" s="311">
        <v>3667.3</v>
      </c>
      <c r="F12" s="311">
        <f>E12/8*12</f>
        <v>5500.9500000000007</v>
      </c>
      <c r="G12" s="311">
        <v>17300</v>
      </c>
      <c r="H12" s="311">
        <v>8970.7999999999993</v>
      </c>
      <c r="I12" s="311">
        <v>15500</v>
      </c>
      <c r="J12" s="311">
        <v>12423</v>
      </c>
      <c r="K12" s="134">
        <f>J12*1.058</f>
        <v>13143.534000000001</v>
      </c>
      <c r="L12" s="59">
        <f>K12*1.055</f>
        <v>13866.428370000001</v>
      </c>
    </row>
    <row r="13" spans="1:12" s="6" customFormat="1" ht="39.950000000000003" hidden="1" customHeight="1">
      <c r="A13" s="330" t="s">
        <v>44</v>
      </c>
      <c r="B13" s="316" t="s">
        <v>194</v>
      </c>
      <c r="C13" s="347" t="s">
        <v>195</v>
      </c>
      <c r="D13" s="311">
        <v>2450</v>
      </c>
      <c r="E13" s="311">
        <v>2220.5</v>
      </c>
      <c r="F13" s="311">
        <f>E13/8*12</f>
        <v>3330.75</v>
      </c>
      <c r="G13" s="311"/>
      <c r="H13" s="311"/>
      <c r="I13" s="311">
        <f>H13/8*12</f>
        <v>0</v>
      </c>
      <c r="J13" s="311">
        <f t="shared" ref="J13:K43" si="2">I13*1.058</f>
        <v>0</v>
      </c>
      <c r="K13" s="134">
        <f t="shared" si="2"/>
        <v>0</v>
      </c>
      <c r="L13" s="59">
        <f t="shared" ref="L13:L43" si="3">K13*1.055</f>
        <v>0</v>
      </c>
    </row>
    <row r="14" spans="1:12" s="6" customFormat="1" ht="39.950000000000003" customHeight="1">
      <c r="A14" s="330" t="s">
        <v>66</v>
      </c>
      <c r="B14" s="316" t="s">
        <v>383</v>
      </c>
      <c r="C14" s="347" t="s">
        <v>109</v>
      </c>
      <c r="D14" s="311"/>
      <c r="E14" s="311"/>
      <c r="F14" s="311"/>
      <c r="G14" s="311">
        <f>G15</f>
        <v>760</v>
      </c>
      <c r="H14" s="311">
        <f>H15</f>
        <v>824.4</v>
      </c>
      <c r="I14" s="311">
        <f>I15</f>
        <v>1236.5999999999999</v>
      </c>
      <c r="J14" s="311">
        <f>J15</f>
        <v>1918</v>
      </c>
      <c r="K14" s="134">
        <f t="shared" si="2"/>
        <v>2029.2440000000001</v>
      </c>
      <c r="L14" s="59">
        <f t="shared" si="3"/>
        <v>2140.8524200000002</v>
      </c>
    </row>
    <row r="15" spans="1:12" s="6" customFormat="1" ht="39.950000000000003" customHeight="1">
      <c r="A15" s="330" t="s">
        <v>152</v>
      </c>
      <c r="B15" s="316" t="s">
        <v>196</v>
      </c>
      <c r="C15" s="347" t="s">
        <v>109</v>
      </c>
      <c r="D15" s="311">
        <v>800</v>
      </c>
      <c r="E15" s="311">
        <v>733.2</v>
      </c>
      <c r="F15" s="311">
        <f>E15/8*12</f>
        <v>1099.8000000000002</v>
      </c>
      <c r="G15" s="311">
        <v>760</v>
      </c>
      <c r="H15" s="311">
        <v>824.4</v>
      </c>
      <c r="I15" s="311">
        <f t="shared" ref="I15:I20" si="4">H15/8*12</f>
        <v>1236.5999999999999</v>
      </c>
      <c r="J15" s="311">
        <f>1818+100</f>
        <v>1918</v>
      </c>
      <c r="K15" s="134">
        <f t="shared" si="2"/>
        <v>2029.2440000000001</v>
      </c>
      <c r="L15" s="59">
        <f t="shared" si="3"/>
        <v>2140.8524200000002</v>
      </c>
    </row>
    <row r="16" spans="1:12" s="6" customFormat="1" ht="39.950000000000003" hidden="1" customHeight="1">
      <c r="A16" s="330" t="s">
        <v>152</v>
      </c>
      <c r="B16" s="316" t="s">
        <v>197</v>
      </c>
      <c r="C16" s="347" t="s">
        <v>198</v>
      </c>
      <c r="D16" s="311">
        <v>10</v>
      </c>
      <c r="E16" s="311">
        <v>-74.790000000000006</v>
      </c>
      <c r="F16" s="311">
        <v>10</v>
      </c>
      <c r="G16" s="331"/>
      <c r="H16" s="331"/>
      <c r="I16" s="311">
        <f t="shared" si="4"/>
        <v>0</v>
      </c>
      <c r="J16" s="311">
        <f t="shared" si="2"/>
        <v>0</v>
      </c>
      <c r="K16" s="134">
        <f t="shared" si="2"/>
        <v>0</v>
      </c>
      <c r="L16" s="59">
        <f t="shared" si="3"/>
        <v>0</v>
      </c>
    </row>
    <row r="17" spans="1:12" s="6" customFormat="1" ht="39.950000000000003" customHeight="1">
      <c r="A17" s="330" t="s">
        <v>284</v>
      </c>
      <c r="B17" s="316" t="s">
        <v>282</v>
      </c>
      <c r="C17" s="347" t="s">
        <v>283</v>
      </c>
      <c r="D17" s="311"/>
      <c r="E17" s="311"/>
      <c r="F17" s="311"/>
      <c r="G17" s="311">
        <v>560</v>
      </c>
      <c r="H17" s="311">
        <v>17.8</v>
      </c>
      <c r="I17" s="311">
        <f t="shared" si="4"/>
        <v>26.700000000000003</v>
      </c>
      <c r="J17" s="311">
        <f>I17*1.01</f>
        <v>26.967000000000002</v>
      </c>
      <c r="K17" s="134">
        <f t="shared" si="2"/>
        <v>28.531086000000005</v>
      </c>
      <c r="L17" s="59">
        <f t="shared" si="3"/>
        <v>30.100295730000003</v>
      </c>
    </row>
    <row r="18" spans="1:12" s="6" customFormat="1" ht="39.950000000000003" customHeight="1">
      <c r="A18" s="330" t="s">
        <v>129</v>
      </c>
      <c r="B18" s="316" t="s">
        <v>287</v>
      </c>
      <c r="C18" s="347" t="s">
        <v>422</v>
      </c>
      <c r="D18" s="311">
        <f>D19+D20</f>
        <v>240</v>
      </c>
      <c r="E18" s="311">
        <f>E19+E20</f>
        <v>181.5</v>
      </c>
      <c r="F18" s="311">
        <f>E18/8*12</f>
        <v>272.25</v>
      </c>
      <c r="G18" s="311">
        <f>G19+G20</f>
        <v>200</v>
      </c>
      <c r="H18" s="311">
        <f>H19+H20</f>
        <v>223.2</v>
      </c>
      <c r="I18" s="311">
        <f t="shared" si="4"/>
        <v>334.79999999999995</v>
      </c>
      <c r="J18" s="311">
        <f>J19</f>
        <v>403</v>
      </c>
      <c r="K18" s="134">
        <f t="shared" si="2"/>
        <v>426.37400000000002</v>
      </c>
      <c r="L18" s="59">
        <f t="shared" si="3"/>
        <v>449.82456999999999</v>
      </c>
    </row>
    <row r="19" spans="1:12" s="6" customFormat="1" ht="39.950000000000003" customHeight="1" thickBot="1">
      <c r="A19" s="330" t="s">
        <v>151</v>
      </c>
      <c r="B19" s="316" t="s">
        <v>200</v>
      </c>
      <c r="C19" s="347" t="s">
        <v>422</v>
      </c>
      <c r="D19" s="311">
        <v>120</v>
      </c>
      <c r="E19" s="311">
        <v>130.5</v>
      </c>
      <c r="F19" s="311">
        <f>E19/8*12</f>
        <v>195.75</v>
      </c>
      <c r="G19" s="311">
        <v>200</v>
      </c>
      <c r="H19" s="311">
        <v>223.2</v>
      </c>
      <c r="I19" s="311">
        <f t="shared" si="4"/>
        <v>334.79999999999995</v>
      </c>
      <c r="J19" s="311">
        <f>303+100</f>
        <v>403</v>
      </c>
      <c r="K19" s="134">
        <f t="shared" si="2"/>
        <v>426.37400000000002</v>
      </c>
      <c r="L19" s="59">
        <f t="shared" si="3"/>
        <v>449.82456999999999</v>
      </c>
    </row>
    <row r="20" spans="1:12" s="4" customFormat="1" ht="39" hidden="1" thickBot="1">
      <c r="A20" s="330" t="s">
        <v>199</v>
      </c>
      <c r="B20" s="316" t="s">
        <v>201</v>
      </c>
      <c r="C20" s="347" t="s">
        <v>202</v>
      </c>
      <c r="D20" s="311">
        <v>120</v>
      </c>
      <c r="E20" s="311">
        <v>51</v>
      </c>
      <c r="F20" s="311">
        <f>E20/8*12</f>
        <v>76.5</v>
      </c>
      <c r="G20" s="331"/>
      <c r="H20" s="311"/>
      <c r="I20" s="311">
        <f t="shared" si="4"/>
        <v>0</v>
      </c>
      <c r="J20" s="311">
        <f t="shared" si="2"/>
        <v>0</v>
      </c>
      <c r="K20" s="134">
        <f t="shared" si="2"/>
        <v>0</v>
      </c>
      <c r="L20" s="59">
        <f t="shared" si="3"/>
        <v>0</v>
      </c>
    </row>
    <row r="21" spans="1:12" s="6" customFormat="1" ht="16.5" thickBot="1">
      <c r="A21" s="327" t="s">
        <v>4</v>
      </c>
      <c r="B21" s="328" t="s">
        <v>114</v>
      </c>
      <c r="C21" s="346" t="s">
        <v>6</v>
      </c>
      <c r="D21" s="329">
        <f>D22</f>
        <v>300</v>
      </c>
      <c r="E21" s="329">
        <f t="shared" ref="E21:L22" si="5">E22</f>
        <v>175</v>
      </c>
      <c r="F21" s="329">
        <f t="shared" si="5"/>
        <v>262.5</v>
      </c>
      <c r="G21" s="329">
        <f t="shared" si="5"/>
        <v>1600</v>
      </c>
      <c r="H21" s="329">
        <f t="shared" si="5"/>
        <v>950.7</v>
      </c>
      <c r="I21" s="329">
        <f t="shared" si="5"/>
        <v>1600</v>
      </c>
      <c r="J21" s="329">
        <f t="shared" si="5"/>
        <v>1727.5</v>
      </c>
      <c r="K21" s="135">
        <f t="shared" si="5"/>
        <v>1827.6950000000002</v>
      </c>
      <c r="L21" s="90">
        <f t="shared" si="5"/>
        <v>1928.2182250000001</v>
      </c>
    </row>
    <row r="22" spans="1:12" ht="39.950000000000003" customHeight="1">
      <c r="A22" s="330" t="s">
        <v>67</v>
      </c>
      <c r="B22" s="316" t="s">
        <v>286</v>
      </c>
      <c r="C22" s="348" t="s">
        <v>56</v>
      </c>
      <c r="D22" s="311">
        <f>D23</f>
        <v>300</v>
      </c>
      <c r="E22" s="311">
        <v>175</v>
      </c>
      <c r="F22" s="311">
        <f t="shared" si="5"/>
        <v>262.5</v>
      </c>
      <c r="G22" s="311">
        <f t="shared" si="5"/>
        <v>1600</v>
      </c>
      <c r="H22" s="311">
        <f t="shared" si="5"/>
        <v>950.7</v>
      </c>
      <c r="I22" s="311">
        <f>I23</f>
        <v>1600</v>
      </c>
      <c r="J22" s="311">
        <f>J23</f>
        <v>1727.5</v>
      </c>
      <c r="K22" s="134">
        <f t="shared" si="2"/>
        <v>1827.6950000000002</v>
      </c>
      <c r="L22" s="59">
        <f t="shared" si="3"/>
        <v>1928.2182250000001</v>
      </c>
    </row>
    <row r="23" spans="1:12" s="6" customFormat="1" ht="64.5" thickBot="1">
      <c r="A23" s="330" t="s">
        <v>68</v>
      </c>
      <c r="B23" s="316" t="s">
        <v>53</v>
      </c>
      <c r="C23" s="347" t="s">
        <v>57</v>
      </c>
      <c r="D23" s="311">
        <v>300</v>
      </c>
      <c r="E23" s="311">
        <v>175</v>
      </c>
      <c r="F23" s="311">
        <f>E23/8*12</f>
        <v>262.5</v>
      </c>
      <c r="G23" s="311">
        <v>1600</v>
      </c>
      <c r="H23" s="311">
        <v>950.7</v>
      </c>
      <c r="I23" s="311">
        <v>1600</v>
      </c>
      <c r="J23" s="311">
        <f>1666.5+61</f>
        <v>1727.5</v>
      </c>
      <c r="K23" s="134">
        <f t="shared" si="2"/>
        <v>1827.6950000000002</v>
      </c>
      <c r="L23" s="59">
        <f t="shared" si="3"/>
        <v>1928.2182250000001</v>
      </c>
    </row>
    <row r="24" spans="1:12" s="6" customFormat="1" ht="39" thickBot="1">
      <c r="A24" s="327">
        <v>3</v>
      </c>
      <c r="B24" s="328" t="s">
        <v>17</v>
      </c>
      <c r="C24" s="346" t="s">
        <v>110</v>
      </c>
      <c r="D24" s="329" t="e">
        <f>#REF!+#REF!+D25+#REF!+#REF!</f>
        <v>#REF!</v>
      </c>
      <c r="E24" s="329" t="e">
        <f>#REF!+#REF!+E25+#REF!+#REF!</f>
        <v>#REF!</v>
      </c>
      <c r="F24" s="329" t="e">
        <f>#REF!+#REF!+F25+#REF!+#REF!</f>
        <v>#REF!</v>
      </c>
      <c r="G24" s="329">
        <f t="shared" ref="G24:L24" si="6">G29+G33</f>
        <v>9275.4</v>
      </c>
      <c r="H24" s="329">
        <f t="shared" si="6"/>
        <v>6457.7</v>
      </c>
      <c r="I24" s="329">
        <f t="shared" si="6"/>
        <v>10024</v>
      </c>
      <c r="J24" s="329">
        <f t="shared" si="6"/>
        <v>10324.24</v>
      </c>
      <c r="K24" s="135">
        <f t="shared" si="6"/>
        <v>10923.04592</v>
      </c>
      <c r="L24" s="90">
        <f t="shared" si="6"/>
        <v>11523.813445599999</v>
      </c>
    </row>
    <row r="25" spans="1:12" s="6" customFormat="1" ht="30" hidden="1" customHeight="1">
      <c r="A25" s="332"/>
      <c r="B25" s="317" t="s">
        <v>399</v>
      </c>
      <c r="C25" s="349" t="s">
        <v>400</v>
      </c>
      <c r="D25" s="311">
        <f>D30</f>
        <v>5500</v>
      </c>
      <c r="E25" s="311">
        <f>E30</f>
        <v>3350.4</v>
      </c>
      <c r="F25" s="311">
        <f>F30</f>
        <v>5025.6000000000004</v>
      </c>
      <c r="G25" s="331"/>
      <c r="H25" s="311">
        <f>H26</f>
        <v>0</v>
      </c>
      <c r="I25" s="311">
        <f>H25/8*12</f>
        <v>0</v>
      </c>
      <c r="J25" s="311">
        <f t="shared" si="2"/>
        <v>0</v>
      </c>
      <c r="K25" s="134">
        <f t="shared" si="2"/>
        <v>0</v>
      </c>
      <c r="L25" s="59">
        <f t="shared" si="3"/>
        <v>0</v>
      </c>
    </row>
    <row r="26" spans="1:12" s="6" customFormat="1" ht="57.75" hidden="1" customHeight="1">
      <c r="A26" s="332"/>
      <c r="B26" s="317" t="s">
        <v>401</v>
      </c>
      <c r="C26" s="349" t="s">
        <v>402</v>
      </c>
      <c r="D26" s="311">
        <f>D30</f>
        <v>5500</v>
      </c>
      <c r="E26" s="311">
        <f>E30</f>
        <v>3350.4</v>
      </c>
      <c r="F26" s="311">
        <f>F30</f>
        <v>5025.6000000000004</v>
      </c>
      <c r="G26" s="331"/>
      <c r="H26" s="311">
        <f>H27</f>
        <v>0</v>
      </c>
      <c r="I26" s="311">
        <f>H26/8*12</f>
        <v>0</v>
      </c>
      <c r="J26" s="311">
        <f t="shared" si="2"/>
        <v>0</v>
      </c>
      <c r="K26" s="134">
        <f t="shared" si="2"/>
        <v>0</v>
      </c>
      <c r="L26" s="59">
        <f t="shared" si="3"/>
        <v>0</v>
      </c>
    </row>
    <row r="27" spans="1:12" s="6" customFormat="1" ht="36" hidden="1" customHeight="1">
      <c r="A27" s="332"/>
      <c r="B27" s="317" t="s">
        <v>403</v>
      </c>
      <c r="C27" s="349" t="s">
        <v>404</v>
      </c>
      <c r="D27" s="311">
        <f>D30</f>
        <v>5500</v>
      </c>
      <c r="E27" s="311">
        <v>3350.4</v>
      </c>
      <c r="F27" s="311">
        <f>F30</f>
        <v>5025.6000000000004</v>
      </c>
      <c r="G27" s="331"/>
      <c r="H27" s="311">
        <f>H28</f>
        <v>0</v>
      </c>
      <c r="I27" s="311">
        <f>H27/8*12</f>
        <v>0</v>
      </c>
      <c r="J27" s="311">
        <f t="shared" si="2"/>
        <v>0</v>
      </c>
      <c r="K27" s="134">
        <f t="shared" si="2"/>
        <v>0</v>
      </c>
      <c r="L27" s="59">
        <f t="shared" si="3"/>
        <v>0</v>
      </c>
    </row>
    <row r="28" spans="1:12" s="6" customFormat="1" ht="51" hidden="1">
      <c r="A28" s="332"/>
      <c r="B28" s="317" t="s">
        <v>405</v>
      </c>
      <c r="C28" s="349" t="s">
        <v>406</v>
      </c>
      <c r="D28" s="311">
        <v>5500</v>
      </c>
      <c r="E28" s="311">
        <v>3350.4</v>
      </c>
      <c r="F28" s="311">
        <f>E28/8*12</f>
        <v>5025.6000000000004</v>
      </c>
      <c r="G28" s="331"/>
      <c r="H28" s="311">
        <f>G28*1.05</f>
        <v>0</v>
      </c>
      <c r="I28" s="311">
        <f>H28/8*12</f>
        <v>0</v>
      </c>
      <c r="J28" s="311">
        <f t="shared" si="2"/>
        <v>0</v>
      </c>
      <c r="K28" s="134">
        <f t="shared" si="2"/>
        <v>0</v>
      </c>
      <c r="L28" s="59">
        <f t="shared" si="3"/>
        <v>0</v>
      </c>
    </row>
    <row r="29" spans="1:12" s="6" customFormat="1" ht="65.099999999999994" customHeight="1">
      <c r="A29" s="330" t="s">
        <v>69</v>
      </c>
      <c r="B29" s="318" t="s">
        <v>127</v>
      </c>
      <c r="C29" s="347" t="s">
        <v>203</v>
      </c>
      <c r="D29" s="333"/>
      <c r="E29" s="333"/>
      <c r="F29" s="333"/>
      <c r="G29" s="311">
        <f t="shared" ref="G29:I31" si="7">G30</f>
        <v>9251.4</v>
      </c>
      <c r="H29" s="311">
        <f t="shared" si="7"/>
        <v>6445.7</v>
      </c>
      <c r="I29" s="311">
        <f t="shared" si="7"/>
        <v>10000</v>
      </c>
      <c r="J29" s="311">
        <f>J30</f>
        <v>10300</v>
      </c>
      <c r="K29" s="134">
        <f t="shared" si="2"/>
        <v>10897.4</v>
      </c>
      <c r="L29" s="59">
        <f t="shared" si="3"/>
        <v>11496.757</v>
      </c>
    </row>
    <row r="30" spans="1:12" s="6" customFormat="1" ht="65.099999999999994" customHeight="1">
      <c r="A30" s="330" t="s">
        <v>70</v>
      </c>
      <c r="B30" s="318" t="s">
        <v>128</v>
      </c>
      <c r="C30" s="347" t="s">
        <v>111</v>
      </c>
      <c r="D30" s="311">
        <v>5500</v>
      </c>
      <c r="E30" s="311">
        <v>3350.4</v>
      </c>
      <c r="F30" s="311">
        <f>E30/8*12</f>
        <v>5025.6000000000004</v>
      </c>
      <c r="G30" s="311">
        <f t="shared" si="7"/>
        <v>9251.4</v>
      </c>
      <c r="H30" s="311">
        <f t="shared" si="7"/>
        <v>6445.7</v>
      </c>
      <c r="I30" s="311">
        <f>I31</f>
        <v>10000</v>
      </c>
      <c r="J30" s="311">
        <f>J31</f>
        <v>10300</v>
      </c>
      <c r="K30" s="134">
        <f t="shared" si="2"/>
        <v>10897.4</v>
      </c>
      <c r="L30" s="59">
        <f t="shared" si="3"/>
        <v>11496.757</v>
      </c>
    </row>
    <row r="31" spans="1:12" s="6" customFormat="1" ht="65.099999999999994" customHeight="1">
      <c r="A31" s="330" t="s">
        <v>105</v>
      </c>
      <c r="B31" s="318" t="s">
        <v>384</v>
      </c>
      <c r="C31" s="347" t="s">
        <v>112</v>
      </c>
      <c r="D31" s="329">
        <f>D32</f>
        <v>3450</v>
      </c>
      <c r="E31" s="329">
        <f>E32</f>
        <v>1791.7</v>
      </c>
      <c r="F31" s="329">
        <f>F32</f>
        <v>2090</v>
      </c>
      <c r="G31" s="311">
        <f>G32</f>
        <v>9251.4</v>
      </c>
      <c r="H31" s="311">
        <f t="shared" si="7"/>
        <v>6445.7</v>
      </c>
      <c r="I31" s="311">
        <f>I32</f>
        <v>10000</v>
      </c>
      <c r="J31" s="311">
        <f>J32</f>
        <v>10300</v>
      </c>
      <c r="K31" s="134">
        <f t="shared" si="2"/>
        <v>10897.4</v>
      </c>
      <c r="L31" s="59">
        <f t="shared" si="3"/>
        <v>11496.757</v>
      </c>
    </row>
    <row r="32" spans="1:12" s="6" customFormat="1" ht="65.099999999999994" customHeight="1">
      <c r="A32" s="330" t="s">
        <v>385</v>
      </c>
      <c r="B32" s="318" t="s">
        <v>275</v>
      </c>
      <c r="C32" s="347" t="s">
        <v>60</v>
      </c>
      <c r="D32" s="312">
        <f>D33</f>
        <v>3450</v>
      </c>
      <c r="E32" s="312">
        <f>E33</f>
        <v>1791.7</v>
      </c>
      <c r="F32" s="312">
        <f>F33</f>
        <v>2090</v>
      </c>
      <c r="G32" s="311">
        <f>9214.3+37.1</f>
        <v>9251.4</v>
      </c>
      <c r="H32" s="312">
        <v>6445.7</v>
      </c>
      <c r="I32" s="311">
        <v>10000</v>
      </c>
      <c r="J32" s="311">
        <f>10100+200</f>
        <v>10300</v>
      </c>
      <c r="K32" s="134">
        <f t="shared" si="2"/>
        <v>10897.4</v>
      </c>
      <c r="L32" s="59">
        <f t="shared" si="3"/>
        <v>11496.757</v>
      </c>
    </row>
    <row r="33" spans="1:12" s="6" customFormat="1" ht="31.5" customHeight="1">
      <c r="A33" s="330" t="s">
        <v>386</v>
      </c>
      <c r="B33" s="318" t="s">
        <v>387</v>
      </c>
      <c r="C33" s="347" t="s">
        <v>498</v>
      </c>
      <c r="D33" s="311">
        <f>D34</f>
        <v>3450</v>
      </c>
      <c r="E33" s="311">
        <f>E34</f>
        <v>1791.7</v>
      </c>
      <c r="F33" s="311">
        <v>2090</v>
      </c>
      <c r="G33" s="311">
        <f t="shared" ref="G33:L33" si="8">G34</f>
        <v>24</v>
      </c>
      <c r="H33" s="311">
        <f t="shared" si="8"/>
        <v>12</v>
      </c>
      <c r="I33" s="311">
        <f t="shared" si="8"/>
        <v>24</v>
      </c>
      <c r="J33" s="311">
        <f t="shared" si="8"/>
        <v>24.240000000000002</v>
      </c>
      <c r="K33" s="136">
        <f t="shared" si="8"/>
        <v>25.645920000000004</v>
      </c>
      <c r="L33" s="91">
        <f t="shared" si="8"/>
        <v>27.056445600000004</v>
      </c>
    </row>
    <row r="34" spans="1:12" s="6" customFormat="1" ht="77.25" customHeight="1" thickBot="1">
      <c r="A34" s="330" t="s">
        <v>388</v>
      </c>
      <c r="B34" s="318" t="s">
        <v>389</v>
      </c>
      <c r="C34" s="347" t="s">
        <v>390</v>
      </c>
      <c r="D34" s="312">
        <v>3450</v>
      </c>
      <c r="E34" s="312">
        <v>1791.7</v>
      </c>
      <c r="F34" s="312">
        <v>2090</v>
      </c>
      <c r="G34" s="311">
        <v>24</v>
      </c>
      <c r="H34" s="312">
        <v>12</v>
      </c>
      <c r="I34" s="311">
        <v>24</v>
      </c>
      <c r="J34" s="311">
        <f>I34*1.01</f>
        <v>24.240000000000002</v>
      </c>
      <c r="K34" s="134">
        <f t="shared" si="2"/>
        <v>25.645920000000004</v>
      </c>
      <c r="L34" s="59">
        <f t="shared" si="3"/>
        <v>27.056445600000004</v>
      </c>
    </row>
    <row r="35" spans="1:12" s="6" customFormat="1" ht="26.25" hidden="1" thickBot="1">
      <c r="A35" s="327">
        <v>4</v>
      </c>
      <c r="B35" s="328" t="s">
        <v>58</v>
      </c>
      <c r="C35" s="346" t="s">
        <v>276</v>
      </c>
      <c r="D35" s="329">
        <f>D36</f>
        <v>140</v>
      </c>
      <c r="E35" s="329">
        <f t="shared" ref="E35:H37" si="9">E36</f>
        <v>88</v>
      </c>
      <c r="F35" s="329">
        <f t="shared" si="9"/>
        <v>132</v>
      </c>
      <c r="G35" s="329">
        <f t="shared" si="9"/>
        <v>0</v>
      </c>
      <c r="H35" s="329">
        <f t="shared" si="9"/>
        <v>0</v>
      </c>
      <c r="I35" s="311">
        <f>H35/8*12</f>
        <v>0</v>
      </c>
      <c r="J35" s="311">
        <f t="shared" si="2"/>
        <v>0</v>
      </c>
      <c r="K35" s="134">
        <f t="shared" si="2"/>
        <v>0</v>
      </c>
      <c r="L35" s="59">
        <f t="shared" si="3"/>
        <v>0</v>
      </c>
    </row>
    <row r="36" spans="1:12" s="6" customFormat="1" ht="31.5" hidden="1" customHeight="1">
      <c r="A36" s="334" t="s">
        <v>71</v>
      </c>
      <c r="B36" s="319" t="s">
        <v>277</v>
      </c>
      <c r="C36" s="350" t="s">
        <v>278</v>
      </c>
      <c r="D36" s="311">
        <f>D37</f>
        <v>140</v>
      </c>
      <c r="E36" s="311">
        <f t="shared" si="9"/>
        <v>88</v>
      </c>
      <c r="F36" s="311">
        <f t="shared" si="9"/>
        <v>132</v>
      </c>
      <c r="G36" s="312">
        <f t="shared" si="9"/>
        <v>0</v>
      </c>
      <c r="H36" s="311"/>
      <c r="I36" s="311">
        <f>H36/8*12</f>
        <v>0</v>
      </c>
      <c r="J36" s="311">
        <f t="shared" si="2"/>
        <v>0</v>
      </c>
      <c r="K36" s="134">
        <f t="shared" si="2"/>
        <v>0</v>
      </c>
      <c r="L36" s="59">
        <f t="shared" si="3"/>
        <v>0</v>
      </c>
    </row>
    <row r="37" spans="1:12" s="5" customFormat="1" ht="44.25" hidden="1" customHeight="1">
      <c r="A37" s="334" t="s">
        <v>72</v>
      </c>
      <c r="B37" s="319" t="s">
        <v>279</v>
      </c>
      <c r="C37" s="350" t="s">
        <v>280</v>
      </c>
      <c r="D37" s="311">
        <f>D38+D39</f>
        <v>140</v>
      </c>
      <c r="E37" s="311">
        <v>88</v>
      </c>
      <c r="F37" s="311">
        <f>E37/8*12</f>
        <v>132</v>
      </c>
      <c r="G37" s="312">
        <f t="shared" si="9"/>
        <v>0</v>
      </c>
      <c r="H37" s="311"/>
      <c r="I37" s="311">
        <f>H37/8*12</f>
        <v>0</v>
      </c>
      <c r="J37" s="311">
        <f t="shared" si="2"/>
        <v>0</v>
      </c>
      <c r="K37" s="134">
        <f t="shared" si="2"/>
        <v>0</v>
      </c>
      <c r="L37" s="59">
        <f t="shared" si="3"/>
        <v>0</v>
      </c>
    </row>
    <row r="38" spans="1:12" s="5" customFormat="1" ht="76.5" hidden="1" customHeight="1" thickBot="1">
      <c r="A38" s="334" t="s">
        <v>73</v>
      </c>
      <c r="B38" s="319" t="s">
        <v>281</v>
      </c>
      <c r="C38" s="350" t="s">
        <v>115</v>
      </c>
      <c r="D38" s="311">
        <v>125</v>
      </c>
      <c r="E38" s="311">
        <v>88</v>
      </c>
      <c r="F38" s="311">
        <f>E38/8*12</f>
        <v>132</v>
      </c>
      <c r="G38" s="312">
        <v>0</v>
      </c>
      <c r="H38" s="311"/>
      <c r="I38" s="311">
        <f>H38/8*12</f>
        <v>0</v>
      </c>
      <c r="J38" s="311">
        <f t="shared" si="2"/>
        <v>0</v>
      </c>
      <c r="K38" s="134">
        <f t="shared" si="2"/>
        <v>0</v>
      </c>
      <c r="L38" s="59">
        <f t="shared" si="3"/>
        <v>0</v>
      </c>
    </row>
    <row r="39" spans="1:12" s="5" customFormat="1" ht="24.75" customHeight="1" thickBot="1">
      <c r="A39" s="327" t="s">
        <v>391</v>
      </c>
      <c r="B39" s="328" t="s">
        <v>19</v>
      </c>
      <c r="C39" s="346" t="s">
        <v>18</v>
      </c>
      <c r="D39" s="311">
        <v>15</v>
      </c>
      <c r="E39" s="311">
        <v>0</v>
      </c>
      <c r="F39" s="311">
        <v>15</v>
      </c>
      <c r="G39" s="329">
        <f t="shared" ref="G39:L40" si="10">G40</f>
        <v>30</v>
      </c>
      <c r="H39" s="329">
        <f t="shared" si="10"/>
        <v>19.8</v>
      </c>
      <c r="I39" s="329">
        <f t="shared" si="10"/>
        <v>35</v>
      </c>
      <c r="J39" s="329">
        <f t="shared" si="10"/>
        <v>33.299999999999997</v>
      </c>
      <c r="K39" s="137">
        <f t="shared" si="10"/>
        <v>35.231400000000001</v>
      </c>
      <c r="L39" s="92">
        <f t="shared" si="10"/>
        <v>37.169126999999996</v>
      </c>
    </row>
    <row r="40" spans="1:12" s="5" customFormat="1" ht="30" customHeight="1">
      <c r="A40" s="330" t="s">
        <v>71</v>
      </c>
      <c r="B40" s="318" t="s">
        <v>50</v>
      </c>
      <c r="C40" s="351" t="s">
        <v>54</v>
      </c>
      <c r="D40" s="335" t="e">
        <f>D41+#REF!</f>
        <v>#REF!</v>
      </c>
      <c r="E40" s="335" t="e">
        <f>E41+#REF!</f>
        <v>#REF!</v>
      </c>
      <c r="F40" s="335" t="e">
        <f>F41+#REF!</f>
        <v>#REF!</v>
      </c>
      <c r="G40" s="311">
        <f t="shared" si="10"/>
        <v>30</v>
      </c>
      <c r="H40" s="311">
        <f t="shared" si="10"/>
        <v>19.8</v>
      </c>
      <c r="I40" s="311">
        <f t="shared" si="10"/>
        <v>35</v>
      </c>
      <c r="J40" s="311">
        <f t="shared" si="10"/>
        <v>33.299999999999997</v>
      </c>
      <c r="K40" s="138">
        <f t="shared" si="10"/>
        <v>35.231400000000001</v>
      </c>
      <c r="L40" s="89">
        <f t="shared" si="10"/>
        <v>37.169126999999996</v>
      </c>
    </row>
    <row r="41" spans="1:12" s="5" customFormat="1" ht="78.75" customHeight="1">
      <c r="A41" s="330" t="s">
        <v>72</v>
      </c>
      <c r="B41" s="318" t="s">
        <v>533</v>
      </c>
      <c r="C41" s="351" t="s">
        <v>532</v>
      </c>
      <c r="D41" s="329">
        <f>D42+D48+D45</f>
        <v>6635.2</v>
      </c>
      <c r="E41" s="329">
        <f>E42+E48+E45</f>
        <v>4901.8</v>
      </c>
      <c r="F41" s="329">
        <f>F42+F48+F45</f>
        <v>6635.2</v>
      </c>
      <c r="G41" s="311">
        <f t="shared" ref="G41:L41" si="11">G42+G43</f>
        <v>30</v>
      </c>
      <c r="H41" s="311">
        <f t="shared" si="11"/>
        <v>19.8</v>
      </c>
      <c r="I41" s="311">
        <f t="shared" si="11"/>
        <v>35</v>
      </c>
      <c r="J41" s="311">
        <f t="shared" si="11"/>
        <v>33.299999999999997</v>
      </c>
      <c r="K41" s="44">
        <f t="shared" si="11"/>
        <v>35.231400000000001</v>
      </c>
      <c r="L41" s="79">
        <f t="shared" si="11"/>
        <v>37.169126999999996</v>
      </c>
    </row>
    <row r="42" spans="1:12" s="4" customFormat="1" ht="54.95" customHeight="1">
      <c r="A42" s="330" t="s">
        <v>73</v>
      </c>
      <c r="B42" s="316" t="s">
        <v>130</v>
      </c>
      <c r="C42" s="351" t="s">
        <v>204</v>
      </c>
      <c r="D42" s="313">
        <f>D44</f>
        <v>5841.7</v>
      </c>
      <c r="E42" s="313">
        <f>E44</f>
        <v>4377.6000000000004</v>
      </c>
      <c r="F42" s="313">
        <f>F44</f>
        <v>5841.7</v>
      </c>
      <c r="G42" s="311">
        <v>20</v>
      </c>
      <c r="H42" s="311">
        <v>19.8</v>
      </c>
      <c r="I42" s="311">
        <v>30</v>
      </c>
      <c r="J42" s="311">
        <v>33.299999999999997</v>
      </c>
      <c r="K42" s="134">
        <f t="shared" si="2"/>
        <v>35.231400000000001</v>
      </c>
      <c r="L42" s="59">
        <f t="shared" si="3"/>
        <v>37.169126999999996</v>
      </c>
    </row>
    <row r="43" spans="1:12" s="6" customFormat="1" ht="54.95" customHeight="1" thickBot="1">
      <c r="A43" s="330" t="s">
        <v>392</v>
      </c>
      <c r="B43" s="316" t="s">
        <v>141</v>
      </c>
      <c r="C43" s="347" t="s">
        <v>205</v>
      </c>
      <c r="D43" s="313">
        <f>D44</f>
        <v>5841.7</v>
      </c>
      <c r="E43" s="313">
        <f>E44</f>
        <v>4377.6000000000004</v>
      </c>
      <c r="F43" s="313">
        <f>F44</f>
        <v>5841.7</v>
      </c>
      <c r="G43" s="311">
        <v>10</v>
      </c>
      <c r="H43" s="311">
        <v>0</v>
      </c>
      <c r="I43" s="311">
        <v>5</v>
      </c>
      <c r="J43" s="311">
        <v>0</v>
      </c>
      <c r="K43" s="134">
        <f t="shared" si="2"/>
        <v>0</v>
      </c>
      <c r="L43" s="59">
        <f t="shared" si="3"/>
        <v>0</v>
      </c>
    </row>
    <row r="44" spans="1:12" s="6" customFormat="1" ht="50.25" customHeight="1" thickBot="1">
      <c r="A44" s="323" t="s">
        <v>48</v>
      </c>
      <c r="B44" s="324" t="s">
        <v>20</v>
      </c>
      <c r="C44" s="325" t="s">
        <v>131</v>
      </c>
      <c r="D44" s="336">
        <v>5841.7</v>
      </c>
      <c r="E44" s="336">
        <v>4377.6000000000004</v>
      </c>
      <c r="F44" s="336">
        <v>5841.7</v>
      </c>
      <c r="G44" s="326">
        <f t="shared" ref="G44:L44" si="12">G45</f>
        <v>22002.800000000003</v>
      </c>
      <c r="H44" s="326">
        <f t="shared" si="12"/>
        <v>6463.3</v>
      </c>
      <c r="I44" s="326">
        <f t="shared" si="12"/>
        <v>19569.800000000003</v>
      </c>
      <c r="J44" s="326">
        <f t="shared" si="12"/>
        <v>56803.5</v>
      </c>
      <c r="K44" s="139">
        <f t="shared" si="12"/>
        <v>60474.2</v>
      </c>
      <c r="L44" s="93">
        <f t="shared" si="12"/>
        <v>60616</v>
      </c>
    </row>
    <row r="45" spans="1:12" s="6" customFormat="1" ht="42.75" customHeight="1" thickBot="1">
      <c r="A45" s="327">
        <v>5</v>
      </c>
      <c r="B45" s="328" t="s">
        <v>117</v>
      </c>
      <c r="C45" s="346" t="s">
        <v>499</v>
      </c>
      <c r="D45" s="329">
        <v>0</v>
      </c>
      <c r="E45" s="329">
        <v>0</v>
      </c>
      <c r="F45" s="329">
        <v>0</v>
      </c>
      <c r="G45" s="329">
        <f t="shared" ref="G45:L45" si="13">G46+G52+G49</f>
        <v>22002.800000000003</v>
      </c>
      <c r="H45" s="329">
        <f t="shared" si="13"/>
        <v>6463.3</v>
      </c>
      <c r="I45" s="329">
        <f t="shared" si="13"/>
        <v>19569.800000000003</v>
      </c>
      <c r="J45" s="329">
        <f>J46+J52+J49</f>
        <v>56803.5</v>
      </c>
      <c r="K45" s="140">
        <f t="shared" si="13"/>
        <v>60474.2</v>
      </c>
      <c r="L45" s="94">
        <f t="shared" si="13"/>
        <v>60616</v>
      </c>
    </row>
    <row r="46" spans="1:12" s="5" customFormat="1" ht="36.75" customHeight="1">
      <c r="A46" s="330" t="s">
        <v>74</v>
      </c>
      <c r="B46" s="316" t="s">
        <v>59</v>
      </c>
      <c r="C46" s="347" t="s">
        <v>118</v>
      </c>
      <c r="D46" s="311">
        <f>D47</f>
        <v>0</v>
      </c>
      <c r="E46" s="311">
        <f>E47</f>
        <v>0</v>
      </c>
      <c r="F46" s="311">
        <f>F47</f>
        <v>0</v>
      </c>
      <c r="G46" s="311">
        <f t="shared" ref="G46:L46" si="14">G48</f>
        <v>8472</v>
      </c>
      <c r="H46" s="311">
        <f t="shared" si="14"/>
        <v>5648</v>
      </c>
      <c r="I46" s="311">
        <f>H46/8*12</f>
        <v>8472</v>
      </c>
      <c r="J46" s="311">
        <f t="shared" si="14"/>
        <v>54463.4</v>
      </c>
      <c r="K46" s="141">
        <f t="shared" si="14"/>
        <v>58000</v>
      </c>
      <c r="L46" s="95">
        <f t="shared" si="14"/>
        <v>58000</v>
      </c>
    </row>
    <row r="47" spans="1:12" s="5" customFormat="1" ht="63" customHeight="1">
      <c r="A47" s="330" t="s">
        <v>83</v>
      </c>
      <c r="B47" s="316" t="s">
        <v>63</v>
      </c>
      <c r="C47" s="347" t="s">
        <v>119</v>
      </c>
      <c r="D47" s="311">
        <v>0</v>
      </c>
      <c r="E47" s="311">
        <v>0</v>
      </c>
      <c r="F47" s="311">
        <v>0</v>
      </c>
      <c r="G47" s="311">
        <f t="shared" ref="G47:L47" si="15">G48</f>
        <v>8472</v>
      </c>
      <c r="H47" s="311">
        <f t="shared" si="15"/>
        <v>5648</v>
      </c>
      <c r="I47" s="311">
        <f>H47/8*12</f>
        <v>8472</v>
      </c>
      <c r="J47" s="311">
        <f t="shared" si="15"/>
        <v>54463.4</v>
      </c>
      <c r="K47" s="142">
        <f t="shared" si="15"/>
        <v>58000</v>
      </c>
      <c r="L47" s="96">
        <f t="shared" si="15"/>
        <v>58000</v>
      </c>
    </row>
    <row r="48" spans="1:12" s="5" customFormat="1" ht="57" customHeight="1" thickBot="1">
      <c r="A48" s="330" t="s">
        <v>116</v>
      </c>
      <c r="B48" s="316" t="s">
        <v>62</v>
      </c>
      <c r="C48" s="347" t="s">
        <v>224</v>
      </c>
      <c r="D48" s="343">
        <f>D49+D53</f>
        <v>793.50000000000011</v>
      </c>
      <c r="E48" s="343">
        <f>E49+E53</f>
        <v>524.20000000000005</v>
      </c>
      <c r="F48" s="343">
        <f>F49+F53</f>
        <v>793.50000000000011</v>
      </c>
      <c r="G48" s="311">
        <v>8472</v>
      </c>
      <c r="H48" s="311">
        <v>5648</v>
      </c>
      <c r="I48" s="311">
        <f>H48/8*12</f>
        <v>8472</v>
      </c>
      <c r="J48" s="311">
        <v>54463.4</v>
      </c>
      <c r="K48" s="143">
        <v>58000</v>
      </c>
      <c r="L48" s="83">
        <v>58000</v>
      </c>
    </row>
    <row r="49" spans="1:12" s="5" customFormat="1" ht="53.25" hidden="1" customHeight="1" thickBot="1">
      <c r="A49" s="327">
        <v>6</v>
      </c>
      <c r="B49" s="328" t="s">
        <v>234</v>
      </c>
      <c r="C49" s="346" t="s">
        <v>500</v>
      </c>
      <c r="D49" s="312">
        <f>D50</f>
        <v>565.40000000000009</v>
      </c>
      <c r="E49" s="312">
        <f t="shared" ref="E49:L50" si="16">E50</f>
        <v>410.1</v>
      </c>
      <c r="F49" s="312">
        <f t="shared" si="16"/>
        <v>565.40000000000009</v>
      </c>
      <c r="G49" s="329">
        <f t="shared" si="16"/>
        <v>11982.7</v>
      </c>
      <c r="H49" s="329">
        <f t="shared" si="16"/>
        <v>0</v>
      </c>
      <c r="I49" s="329">
        <f t="shared" si="16"/>
        <v>9982.7000000000007</v>
      </c>
      <c r="J49" s="329">
        <f t="shared" si="16"/>
        <v>0</v>
      </c>
      <c r="K49" s="137">
        <f t="shared" si="16"/>
        <v>0</v>
      </c>
      <c r="L49" s="92">
        <f t="shared" si="16"/>
        <v>0</v>
      </c>
    </row>
    <row r="50" spans="1:12" s="6" customFormat="1" ht="13.5" hidden="1" thickBot="1">
      <c r="A50" s="337" t="s">
        <v>106</v>
      </c>
      <c r="B50" s="338" t="s">
        <v>235</v>
      </c>
      <c r="C50" s="352" t="s">
        <v>236</v>
      </c>
      <c r="D50" s="312">
        <f>D51+D52</f>
        <v>565.40000000000009</v>
      </c>
      <c r="E50" s="312">
        <f>E51+E52</f>
        <v>410.1</v>
      </c>
      <c r="F50" s="312">
        <f>F51+F52</f>
        <v>565.40000000000009</v>
      </c>
      <c r="G50" s="312">
        <f t="shared" si="16"/>
        <v>11982.7</v>
      </c>
      <c r="H50" s="312">
        <f t="shared" si="16"/>
        <v>0</v>
      </c>
      <c r="I50" s="312">
        <f t="shared" si="16"/>
        <v>9982.7000000000007</v>
      </c>
      <c r="J50" s="312">
        <f t="shared" si="16"/>
        <v>0</v>
      </c>
      <c r="K50" s="144">
        <f t="shared" si="16"/>
        <v>0</v>
      </c>
      <c r="L50" s="84">
        <f t="shared" si="16"/>
        <v>0</v>
      </c>
    </row>
    <row r="51" spans="1:12" ht="53.25" hidden="1" customHeight="1" thickBot="1">
      <c r="A51" s="330" t="s">
        <v>52</v>
      </c>
      <c r="B51" s="316" t="s">
        <v>264</v>
      </c>
      <c r="C51" s="347" t="s">
        <v>265</v>
      </c>
      <c r="D51" s="311">
        <v>552.70000000000005</v>
      </c>
      <c r="E51" s="311">
        <v>410.1</v>
      </c>
      <c r="F51" s="311">
        <v>552.70000000000005</v>
      </c>
      <c r="G51" s="312">
        <v>11982.7</v>
      </c>
      <c r="H51" s="312">
        <v>0</v>
      </c>
      <c r="I51" s="311">
        <v>9982.7000000000007</v>
      </c>
      <c r="J51" s="312">
        <v>0</v>
      </c>
      <c r="K51" s="145"/>
      <c r="L51" s="58"/>
    </row>
    <row r="52" spans="1:12" ht="42" customHeight="1" thickBot="1">
      <c r="A52" s="327">
        <v>6</v>
      </c>
      <c r="B52" s="328" t="s">
        <v>92</v>
      </c>
      <c r="C52" s="346" t="s">
        <v>501</v>
      </c>
      <c r="D52" s="311">
        <v>12.7</v>
      </c>
      <c r="E52" s="311">
        <v>0</v>
      </c>
      <c r="F52" s="311">
        <v>12.7</v>
      </c>
      <c r="G52" s="329">
        <f t="shared" ref="G52:L52" si="17">G53+G57</f>
        <v>1548.1</v>
      </c>
      <c r="H52" s="329">
        <f t="shared" si="17"/>
        <v>815.3</v>
      </c>
      <c r="I52" s="329">
        <f t="shared" si="17"/>
        <v>1115.0999999999999</v>
      </c>
      <c r="J52" s="329">
        <f t="shared" si="17"/>
        <v>2340.1</v>
      </c>
      <c r="K52" s="137">
        <f t="shared" si="17"/>
        <v>2474.1999999999998</v>
      </c>
      <c r="L52" s="92">
        <f t="shared" si="17"/>
        <v>2616</v>
      </c>
    </row>
    <row r="53" spans="1:12" ht="43.5" customHeight="1">
      <c r="A53" s="334" t="s">
        <v>106</v>
      </c>
      <c r="B53" s="319" t="s">
        <v>94</v>
      </c>
      <c r="C53" s="350" t="s">
        <v>93</v>
      </c>
      <c r="D53" s="313">
        <f>D55</f>
        <v>228.1</v>
      </c>
      <c r="E53" s="313">
        <f>E55</f>
        <v>114.1</v>
      </c>
      <c r="F53" s="313">
        <f>F55</f>
        <v>228.1</v>
      </c>
      <c r="G53" s="312">
        <f t="shared" ref="G53:L53" si="18">G54</f>
        <v>662.2</v>
      </c>
      <c r="H53" s="312">
        <f t="shared" si="18"/>
        <v>485.4</v>
      </c>
      <c r="I53" s="311">
        <f>H53/8*12</f>
        <v>728.09999999999991</v>
      </c>
      <c r="J53" s="312">
        <f t="shared" si="18"/>
        <v>704.69999999999993</v>
      </c>
      <c r="K53" s="144">
        <f t="shared" si="18"/>
        <v>740.1</v>
      </c>
      <c r="L53" s="84">
        <f t="shared" si="18"/>
        <v>780.8</v>
      </c>
    </row>
    <row r="54" spans="1:12" ht="65.099999999999994" customHeight="1">
      <c r="A54" s="334" t="s">
        <v>52</v>
      </c>
      <c r="B54" s="319" t="s">
        <v>95</v>
      </c>
      <c r="C54" s="350" t="s">
        <v>393</v>
      </c>
      <c r="D54" s="311">
        <v>228.1</v>
      </c>
      <c r="E54" s="311">
        <v>114.1</v>
      </c>
      <c r="F54" s="311">
        <v>228.1</v>
      </c>
      <c r="G54" s="312">
        <f t="shared" ref="G54:L54" si="19">G55+G56</f>
        <v>662.2</v>
      </c>
      <c r="H54" s="312">
        <f t="shared" si="19"/>
        <v>485.4</v>
      </c>
      <c r="I54" s="312">
        <f t="shared" si="19"/>
        <v>662.2</v>
      </c>
      <c r="J54" s="312">
        <f t="shared" si="19"/>
        <v>704.69999999999993</v>
      </c>
      <c r="K54" s="146">
        <f t="shared" si="19"/>
        <v>740.1</v>
      </c>
      <c r="L54" s="85">
        <f t="shared" si="19"/>
        <v>780.8</v>
      </c>
    </row>
    <row r="55" spans="1:12" ht="68.25" customHeight="1">
      <c r="A55" s="330" t="s">
        <v>120</v>
      </c>
      <c r="B55" s="316" t="s">
        <v>102</v>
      </c>
      <c r="C55" s="353" t="s">
        <v>394</v>
      </c>
      <c r="D55" s="311">
        <v>228.1</v>
      </c>
      <c r="E55" s="311">
        <v>114.1</v>
      </c>
      <c r="F55" s="311">
        <v>228.1</v>
      </c>
      <c r="G55" s="312">
        <v>657.2</v>
      </c>
      <c r="H55" s="311">
        <v>485.4</v>
      </c>
      <c r="I55" s="311">
        <v>657.2</v>
      </c>
      <c r="J55" s="311">
        <v>699.4</v>
      </c>
      <c r="K55" s="44">
        <v>740.1</v>
      </c>
      <c r="L55" s="79">
        <v>780.8</v>
      </c>
    </row>
    <row r="56" spans="1:12" ht="93" customHeight="1" thickBot="1">
      <c r="A56" s="330" t="s">
        <v>530</v>
      </c>
      <c r="B56" s="316" t="s">
        <v>100</v>
      </c>
      <c r="C56" s="353" t="s">
        <v>395</v>
      </c>
      <c r="D56" s="311">
        <v>228.1</v>
      </c>
      <c r="E56" s="311">
        <v>114.1</v>
      </c>
      <c r="F56" s="311">
        <v>228.1</v>
      </c>
      <c r="G56" s="311">
        <v>5</v>
      </c>
      <c r="H56" s="311"/>
      <c r="I56" s="311">
        <v>5</v>
      </c>
      <c r="J56" s="311">
        <v>5.3</v>
      </c>
      <c r="K56" s="147"/>
      <c r="L56" s="47"/>
    </row>
    <row r="57" spans="1:12" ht="52.5" customHeight="1" thickBot="1">
      <c r="A57" s="330" t="s">
        <v>368</v>
      </c>
      <c r="B57" s="316" t="s">
        <v>91</v>
      </c>
      <c r="C57" s="353" t="s">
        <v>396</v>
      </c>
      <c r="D57" s="345" t="e">
        <f>D9+D40</f>
        <v>#REF!</v>
      </c>
      <c r="E57" s="345" t="e">
        <f>E9+E40</f>
        <v>#REF!</v>
      </c>
      <c r="F57" s="345" t="e">
        <f>F9+F40</f>
        <v>#REF!</v>
      </c>
      <c r="G57" s="311">
        <f t="shared" ref="G57:L57" si="20">G59+G60</f>
        <v>885.9</v>
      </c>
      <c r="H57" s="311">
        <f t="shared" si="20"/>
        <v>329.9</v>
      </c>
      <c r="I57" s="311">
        <f t="shared" si="20"/>
        <v>387</v>
      </c>
      <c r="J57" s="311">
        <f t="shared" si="20"/>
        <v>1635.4</v>
      </c>
      <c r="K57" s="148">
        <f t="shared" si="20"/>
        <v>1734.1</v>
      </c>
      <c r="L57" s="97">
        <f t="shared" si="20"/>
        <v>1835.1999999999998</v>
      </c>
    </row>
    <row r="58" spans="1:12" ht="63.75">
      <c r="A58" s="330" t="s">
        <v>444</v>
      </c>
      <c r="B58" s="316" t="s">
        <v>208</v>
      </c>
      <c r="C58" s="353" t="s">
        <v>210</v>
      </c>
      <c r="D58" s="339">
        <v>30381.3</v>
      </c>
      <c r="E58" s="339">
        <f>[1]ведомст.структ!I79</f>
        <v>20086.600000000002</v>
      </c>
      <c r="F58" s="339">
        <f>[1]ведомст.структ!J79</f>
        <v>30141.100000000002</v>
      </c>
      <c r="G58" s="340">
        <f t="shared" ref="G58:L58" si="21">G59+G60</f>
        <v>885.9</v>
      </c>
      <c r="H58" s="340">
        <f t="shared" si="21"/>
        <v>329.9</v>
      </c>
      <c r="I58" s="340">
        <f t="shared" si="21"/>
        <v>387</v>
      </c>
      <c r="J58" s="312">
        <f t="shared" si="21"/>
        <v>1635.4</v>
      </c>
      <c r="K58" s="149">
        <f t="shared" si="21"/>
        <v>1734.1</v>
      </c>
      <c r="L58" s="98">
        <f t="shared" si="21"/>
        <v>1835.1999999999998</v>
      </c>
    </row>
    <row r="59" spans="1:12" ht="45" customHeight="1">
      <c r="A59" s="330" t="s">
        <v>371</v>
      </c>
      <c r="B59" s="316" t="s">
        <v>96</v>
      </c>
      <c r="C59" s="347" t="s">
        <v>397</v>
      </c>
      <c r="D59" s="313" t="e">
        <f>D57-D58</f>
        <v>#REF!</v>
      </c>
      <c r="E59" s="313" t="e">
        <f>E57-E58</f>
        <v>#REF!</v>
      </c>
      <c r="F59" s="313" t="e">
        <f>F57-F58</f>
        <v>#REF!</v>
      </c>
      <c r="G59" s="311">
        <v>602.4</v>
      </c>
      <c r="H59" s="311">
        <v>258</v>
      </c>
      <c r="I59" s="311">
        <f>H59/8*12</f>
        <v>387</v>
      </c>
      <c r="J59" s="311">
        <v>1092</v>
      </c>
      <c r="K59" s="150">
        <v>1155.3</v>
      </c>
      <c r="L59" s="12">
        <v>1218.8</v>
      </c>
    </row>
    <row r="60" spans="1:12" ht="46.5" customHeight="1" thickBot="1">
      <c r="A60" s="330" t="s">
        <v>531</v>
      </c>
      <c r="B60" s="316" t="s">
        <v>298</v>
      </c>
      <c r="C60" s="347" t="s">
        <v>398</v>
      </c>
      <c r="D60" s="331"/>
      <c r="E60" s="341"/>
      <c r="F60" s="341"/>
      <c r="G60" s="311">
        <v>283.5</v>
      </c>
      <c r="H60" s="311">
        <v>71.900000000000006</v>
      </c>
      <c r="I60" s="311"/>
      <c r="J60" s="311">
        <v>543.4</v>
      </c>
      <c r="K60" s="150">
        <v>578.79999999999995</v>
      </c>
      <c r="L60" s="12">
        <v>616.4</v>
      </c>
    </row>
    <row r="61" spans="1:12" ht="19.5" thickBot="1">
      <c r="A61" s="321"/>
      <c r="B61" s="342"/>
      <c r="C61" s="344" t="s">
        <v>9</v>
      </c>
      <c r="D61" s="339" t="e">
        <f>D57-D40</f>
        <v>#REF!</v>
      </c>
      <c r="E61" s="339" t="e">
        <f>E57-E40</f>
        <v>#REF!</v>
      </c>
      <c r="F61" s="339" t="e">
        <f>F57-F40</f>
        <v>#REF!</v>
      </c>
      <c r="G61" s="339">
        <f t="shared" ref="G61:L61" si="22">G9+G44</f>
        <v>51728.200000000004</v>
      </c>
      <c r="H61" s="339">
        <f t="shared" si="22"/>
        <v>23927.699999999997</v>
      </c>
      <c r="I61" s="339">
        <f t="shared" si="22"/>
        <v>48661.7</v>
      </c>
      <c r="J61" s="339">
        <f t="shared" si="22"/>
        <v>83659.506999999998</v>
      </c>
      <c r="K61" s="151">
        <f t="shared" si="22"/>
        <v>89314.229405999999</v>
      </c>
      <c r="L61" s="37">
        <f t="shared" si="22"/>
        <v>91042.231023330009</v>
      </c>
    </row>
    <row r="62" spans="1:12" ht="18.75" hidden="1">
      <c r="A62" s="39"/>
      <c r="B62" s="38"/>
      <c r="C62" s="35" t="s">
        <v>12</v>
      </c>
      <c r="G62" s="47" t="e">
        <f>#REF!</f>
        <v>#REF!</v>
      </c>
      <c r="H62" s="47" t="e">
        <f>#REF!</f>
        <v>#REF!</v>
      </c>
      <c r="I62" s="47" t="e">
        <f>#REF!</f>
        <v>#REF!</v>
      </c>
      <c r="J62" s="47" t="e">
        <f>#REF!</f>
        <v>#REF!</v>
      </c>
      <c r="K62" s="47" t="e">
        <f>#REF!</f>
        <v>#REF!</v>
      </c>
      <c r="L62" s="47" t="e">
        <f>#REF!</f>
        <v>#REF!</v>
      </c>
    </row>
    <row r="63" spans="1:12" ht="18.75" hidden="1">
      <c r="A63" s="39"/>
      <c r="B63" s="38"/>
      <c r="C63" s="32" t="s">
        <v>13</v>
      </c>
      <c r="G63" s="33" t="e">
        <f t="shared" ref="G63:L63" si="23">G61-G62</f>
        <v>#REF!</v>
      </c>
      <c r="H63" s="33" t="e">
        <f t="shared" si="23"/>
        <v>#REF!</v>
      </c>
      <c r="I63" s="33" t="e">
        <f t="shared" si="23"/>
        <v>#REF!</v>
      </c>
      <c r="J63" s="33" t="e">
        <f>J61-J62</f>
        <v>#REF!</v>
      </c>
      <c r="K63" s="33" t="e">
        <f t="shared" si="23"/>
        <v>#REF!</v>
      </c>
      <c r="L63" s="33" t="e">
        <f t="shared" si="23"/>
        <v>#REF!</v>
      </c>
    </row>
    <row r="64" spans="1:12" hidden="1">
      <c r="A64" s="48"/>
    </row>
    <row r="65" spans="1:12" ht="19.5" hidden="1" thickBot="1">
      <c r="A65" s="49"/>
      <c r="B65" s="50" t="s">
        <v>230</v>
      </c>
      <c r="C65" s="50"/>
      <c r="G65" s="31">
        <f t="shared" ref="G65:L65" si="24">G61-G44</f>
        <v>29725.4</v>
      </c>
      <c r="H65" s="31">
        <f t="shared" si="24"/>
        <v>17464.399999999998</v>
      </c>
      <c r="I65" s="31">
        <f t="shared" si="24"/>
        <v>29091.899999999994</v>
      </c>
      <c r="J65" s="31">
        <f t="shared" si="24"/>
        <v>26856.006999999998</v>
      </c>
      <c r="K65" s="31">
        <f t="shared" si="24"/>
        <v>28840.029406000001</v>
      </c>
      <c r="L65" s="31">
        <f t="shared" si="24"/>
        <v>30426.231023330009</v>
      </c>
    </row>
    <row r="66" spans="1:12" hidden="1"/>
    <row r="67" spans="1:12" hidden="1"/>
    <row r="68" spans="1:12" hidden="1">
      <c r="J68" s="2">
        <f>J61-J52</f>
        <v>81319.406999999992</v>
      </c>
    </row>
    <row r="69" spans="1:12" hidden="1">
      <c r="J69" s="2">
        <f>J68*0.31</f>
        <v>25209.016169999999</v>
      </c>
    </row>
    <row r="70" spans="1:12" hidden="1"/>
    <row r="71" spans="1:12" hidden="1"/>
  </sheetData>
  <mergeCells count="2">
    <mergeCell ref="C6:F6"/>
    <mergeCell ref="A7:D7"/>
  </mergeCells>
  <pageMargins left="0.59055118110236227" right="0.39370078740157483" top="0.39370078740157483" bottom="0.39370078740157483" header="0" footer="0"/>
  <pageSetup paperSize="9"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23"/>
  <sheetViews>
    <sheetView topLeftCell="C1" workbookViewId="0">
      <selection activeCell="C10" sqref="C10"/>
    </sheetView>
  </sheetViews>
  <sheetFormatPr defaultRowHeight="12.75"/>
  <cols>
    <col min="1" max="1" width="7.42578125" customWidth="1"/>
    <col min="2" max="2" width="34.5703125" customWidth="1"/>
    <col min="3" max="3" width="106.140625" customWidth="1"/>
  </cols>
  <sheetData>
    <row r="1" spans="1:3" ht="20.100000000000001" customHeight="1">
      <c r="A1" s="13"/>
      <c r="B1" s="14"/>
      <c r="C1" s="25" t="s">
        <v>496</v>
      </c>
    </row>
    <row r="2" spans="1:3" ht="20.100000000000001" customHeight="1">
      <c r="A2" s="13"/>
      <c r="B2" s="14"/>
      <c r="C2" s="26" t="s">
        <v>98</v>
      </c>
    </row>
    <row r="3" spans="1:3" ht="20.100000000000001" customHeight="1">
      <c r="A3" s="13"/>
      <c r="B3" s="14"/>
      <c r="C3" s="26" t="s">
        <v>535</v>
      </c>
    </row>
    <row r="4" spans="1:3" ht="20.100000000000001" customHeight="1">
      <c r="A4" s="13"/>
      <c r="B4" s="14"/>
      <c r="C4" s="26" t="s">
        <v>413</v>
      </c>
    </row>
    <row r="5" spans="1:3" ht="15.75" customHeight="1">
      <c r="A5" s="539" t="s">
        <v>212</v>
      </c>
      <c r="B5" s="539"/>
      <c r="C5" s="539"/>
    </row>
    <row r="6" spans="1:3" ht="15" customHeight="1">
      <c r="A6" s="529" t="s">
        <v>213</v>
      </c>
      <c r="B6" s="529" t="s">
        <v>214</v>
      </c>
      <c r="C6" s="529" t="s">
        <v>215</v>
      </c>
    </row>
    <row r="7" spans="1:3" ht="30" hidden="1" customHeight="1" thickBot="1">
      <c r="A7" s="530">
        <v>1</v>
      </c>
      <c r="B7" s="531" t="s">
        <v>206</v>
      </c>
      <c r="C7" s="532" t="s">
        <v>55</v>
      </c>
    </row>
    <row r="8" spans="1:3" ht="30" hidden="1" customHeight="1" thickBot="1">
      <c r="A8" s="533" t="s">
        <v>65</v>
      </c>
      <c r="B8" s="531" t="s">
        <v>207</v>
      </c>
      <c r="C8" s="534" t="s">
        <v>46</v>
      </c>
    </row>
    <row r="9" spans="1:3" ht="45" customHeight="1">
      <c r="A9" s="533" t="s">
        <v>132</v>
      </c>
      <c r="B9" s="531" t="s">
        <v>389</v>
      </c>
      <c r="C9" s="535" t="s">
        <v>390</v>
      </c>
    </row>
    <row r="10" spans="1:3" ht="45" customHeight="1">
      <c r="A10" s="533" t="s">
        <v>51</v>
      </c>
      <c r="B10" s="531" t="s">
        <v>61</v>
      </c>
      <c r="C10" s="535" t="s">
        <v>216</v>
      </c>
    </row>
    <row r="11" spans="1:3" ht="45" customHeight="1">
      <c r="A11" s="533" t="s">
        <v>80</v>
      </c>
      <c r="B11" s="531" t="s">
        <v>84</v>
      </c>
      <c r="C11" s="535" t="s">
        <v>217</v>
      </c>
    </row>
    <row r="12" spans="1:3" s="55" customFormat="1" ht="33" customHeight="1">
      <c r="A12" s="536" t="s">
        <v>69</v>
      </c>
      <c r="B12" s="531" t="s">
        <v>85</v>
      </c>
      <c r="C12" s="535" t="s">
        <v>221</v>
      </c>
    </row>
    <row r="13" spans="1:3" ht="45" customHeight="1">
      <c r="A13" s="533" t="s">
        <v>82</v>
      </c>
      <c r="B13" s="531" t="s">
        <v>62</v>
      </c>
      <c r="C13" s="535" t="s">
        <v>218</v>
      </c>
    </row>
    <row r="14" spans="1:3" ht="45" customHeight="1">
      <c r="A14" s="536" t="s">
        <v>42</v>
      </c>
      <c r="B14" s="531" t="s">
        <v>264</v>
      </c>
      <c r="C14" s="535" t="s">
        <v>265</v>
      </c>
    </row>
    <row r="15" spans="1:3" ht="45" customHeight="1">
      <c r="A15" s="536" t="s">
        <v>49</v>
      </c>
      <c r="B15" s="531" t="s">
        <v>95</v>
      </c>
      <c r="C15" s="535" t="s">
        <v>393</v>
      </c>
    </row>
    <row r="16" spans="1:3" ht="45" customHeight="1">
      <c r="A16" s="533" t="s">
        <v>106</v>
      </c>
      <c r="B16" s="530" t="s">
        <v>102</v>
      </c>
      <c r="C16" s="535" t="s">
        <v>394</v>
      </c>
    </row>
    <row r="17" spans="1:3" ht="45" customHeight="1">
      <c r="A17" s="536" t="s">
        <v>368</v>
      </c>
      <c r="B17" s="530" t="s">
        <v>100</v>
      </c>
      <c r="C17" s="535" t="s">
        <v>395</v>
      </c>
    </row>
    <row r="18" spans="1:3" ht="45" customHeight="1">
      <c r="A18" s="536" t="s">
        <v>41</v>
      </c>
      <c r="B18" s="530" t="s">
        <v>208</v>
      </c>
      <c r="C18" s="535" t="s">
        <v>210</v>
      </c>
    </row>
    <row r="19" spans="1:3" ht="45" customHeight="1">
      <c r="A19" s="533" t="s">
        <v>121</v>
      </c>
      <c r="B19" s="530" t="s">
        <v>96</v>
      </c>
      <c r="C19" s="535" t="s">
        <v>397</v>
      </c>
    </row>
    <row r="20" spans="1:3" ht="45" customHeight="1">
      <c r="A20" s="536" t="s">
        <v>502</v>
      </c>
      <c r="B20" s="530" t="s">
        <v>298</v>
      </c>
      <c r="C20" s="535" t="s">
        <v>423</v>
      </c>
    </row>
    <row r="21" spans="1:3" ht="45" customHeight="1">
      <c r="A21" s="536" t="s">
        <v>90</v>
      </c>
      <c r="B21" s="530" t="s">
        <v>64</v>
      </c>
      <c r="C21" s="535" t="s">
        <v>424</v>
      </c>
    </row>
    <row r="22" spans="1:3" ht="75.75" customHeight="1">
      <c r="A22" s="533" t="s">
        <v>261</v>
      </c>
      <c r="B22" s="530" t="s">
        <v>219</v>
      </c>
      <c r="C22" s="535" t="s">
        <v>425</v>
      </c>
    </row>
    <row r="23" spans="1:3">
      <c r="A23" s="55"/>
      <c r="B23" s="55"/>
    </row>
  </sheetData>
  <mergeCells count="1">
    <mergeCell ref="A5:C5"/>
  </mergeCells>
  <pageMargins left="0.70866141732283472" right="0.70866141732283472" top="0.74803149606299213" bottom="0.74803149606299213" header="0.31496062992125984" footer="0.31496062992125984"/>
  <pageSetup paperSize="9" scale="6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1"/>
    <pageSetUpPr fitToPage="1"/>
  </sheetPr>
  <dimension ref="A1:S137"/>
  <sheetViews>
    <sheetView zoomScaleSheetLayoutView="115" workbookViewId="0">
      <selection activeCell="N3" sqref="N3"/>
    </sheetView>
  </sheetViews>
  <sheetFormatPr defaultRowHeight="12.75"/>
  <cols>
    <col min="1" max="1" width="7" style="10" customWidth="1"/>
    <col min="2" max="2" width="46.140625" style="8" customWidth="1"/>
    <col min="3" max="3" width="9.42578125" style="8" customWidth="1"/>
    <col min="4" max="4" width="14.28515625" style="10" customWidth="1"/>
    <col min="5" max="5" width="11.85546875" style="8" customWidth="1"/>
    <col min="6" max="6" width="11.140625" style="8" customWidth="1"/>
    <col min="7" max="7" width="0.140625" style="10" hidden="1" customWidth="1"/>
    <col min="8" max="8" width="8.140625" style="11" hidden="1" customWidth="1"/>
    <col min="9" max="9" width="8" style="55" hidden="1" customWidth="1"/>
    <col min="10" max="10" width="5.140625" style="55" hidden="1" customWidth="1"/>
    <col min="11" max="11" width="11.7109375" style="55" hidden="1" customWidth="1"/>
    <col min="12" max="12" width="11" style="55" hidden="1" customWidth="1"/>
    <col min="13" max="13" width="12.5703125" style="55" hidden="1" customWidth="1"/>
    <col min="14" max="14" width="14" style="55" customWidth="1"/>
    <col min="15" max="17" width="0" style="55" hidden="1" customWidth="1"/>
    <col min="18" max="16384" width="9.140625" style="55"/>
  </cols>
  <sheetData>
    <row r="1" spans="1:17" ht="18" customHeight="1">
      <c r="A1" s="15"/>
      <c r="B1" s="15"/>
      <c r="C1" s="15"/>
      <c r="E1" s="15"/>
      <c r="F1" s="15"/>
      <c r="G1" s="15"/>
      <c r="H1" s="16"/>
      <c r="N1" s="51" t="s">
        <v>419</v>
      </c>
    </row>
    <row r="2" spans="1:17" s="8" customFormat="1" ht="16.5" customHeight="1">
      <c r="A2" s="17"/>
      <c r="L2" s="52"/>
      <c r="M2" s="52"/>
      <c r="N2" s="52" t="s">
        <v>98</v>
      </c>
    </row>
    <row r="3" spans="1:17" s="8" customFormat="1" ht="11.25" customHeight="1">
      <c r="A3" s="17"/>
      <c r="G3" s="56"/>
      <c r="L3" s="56"/>
      <c r="N3" s="52" t="s">
        <v>539</v>
      </c>
    </row>
    <row r="4" spans="1:17" s="8" customFormat="1" ht="18.75" customHeight="1">
      <c r="A4" s="17"/>
      <c r="N4" s="53" t="s">
        <v>413</v>
      </c>
    </row>
    <row r="5" spans="1:17" s="8" customFormat="1" ht="18" customHeight="1">
      <c r="A5" s="540" t="s">
        <v>418</v>
      </c>
      <c r="B5" s="540"/>
      <c r="C5" s="540" t="s">
        <v>231</v>
      </c>
      <c r="D5" s="540"/>
      <c r="E5" s="540"/>
      <c r="F5" s="540"/>
      <c r="G5" s="540"/>
      <c r="H5" s="540"/>
      <c r="I5" s="540"/>
      <c r="J5" s="540"/>
      <c r="K5" s="540"/>
    </row>
    <row r="6" spans="1:17" ht="15.95" customHeight="1">
      <c r="A6" s="540" t="s">
        <v>417</v>
      </c>
      <c r="B6" s="540"/>
      <c r="C6" s="540"/>
      <c r="D6" s="540"/>
      <c r="E6" s="540"/>
      <c r="F6" s="540"/>
      <c r="G6" s="540"/>
      <c r="H6" s="540"/>
    </row>
    <row r="7" spans="1:17" ht="13.5" thickBot="1">
      <c r="A7" s="18"/>
      <c r="B7" s="19"/>
      <c r="C7" s="19"/>
      <c r="D7" s="18"/>
      <c r="E7" s="18"/>
      <c r="F7" s="20"/>
      <c r="G7" s="20"/>
      <c r="H7" s="21"/>
    </row>
    <row r="8" spans="1:17" ht="50.1" customHeight="1" thickBot="1">
      <c r="A8" s="22" t="s">
        <v>99</v>
      </c>
      <c r="B8" s="23" t="s">
        <v>25</v>
      </c>
      <c r="C8" s="24" t="s">
        <v>104</v>
      </c>
      <c r="D8" s="24" t="s">
        <v>26</v>
      </c>
      <c r="E8" s="24" t="s">
        <v>15</v>
      </c>
      <c r="F8" s="24" t="s">
        <v>27</v>
      </c>
      <c r="G8" s="24" t="s">
        <v>28</v>
      </c>
      <c r="H8" s="28" t="s">
        <v>232</v>
      </c>
      <c r="I8" s="45" t="s">
        <v>233</v>
      </c>
      <c r="J8" s="45" t="s">
        <v>229</v>
      </c>
      <c r="K8" s="28" t="s">
        <v>300</v>
      </c>
      <c r="L8" s="45" t="s">
        <v>412</v>
      </c>
      <c r="M8" s="45" t="s">
        <v>301</v>
      </c>
      <c r="N8" s="57" t="s">
        <v>415</v>
      </c>
      <c r="O8" s="41" t="s">
        <v>288</v>
      </c>
      <c r="P8" s="34" t="s">
        <v>302</v>
      </c>
    </row>
    <row r="9" spans="1:17" ht="50.1" customHeight="1" thickBot="1">
      <c r="A9" s="470" t="s">
        <v>2</v>
      </c>
      <c r="B9" s="471" t="s">
        <v>142</v>
      </c>
      <c r="C9" s="152" t="s">
        <v>123</v>
      </c>
      <c r="D9" s="152"/>
      <c r="E9" s="152"/>
      <c r="F9" s="152"/>
      <c r="G9" s="152"/>
      <c r="H9" s="153">
        <f>H12+H14</f>
        <v>854.7</v>
      </c>
      <c r="I9" s="153">
        <f>I12+I14</f>
        <v>530.70000000000005</v>
      </c>
      <c r="J9" s="153">
        <f>J12+J14</f>
        <v>753.2</v>
      </c>
      <c r="K9" s="154">
        <f t="shared" ref="K9:P9" si="0">K10+K14</f>
        <v>12689.6</v>
      </c>
      <c r="L9" s="154">
        <f t="shared" si="0"/>
        <v>7643.8000000000011</v>
      </c>
      <c r="M9" s="154">
        <f t="shared" si="0"/>
        <v>12689.6</v>
      </c>
      <c r="N9" s="154">
        <f>N10</f>
        <v>1654.6</v>
      </c>
      <c r="O9" s="102">
        <f t="shared" si="0"/>
        <v>28142.1</v>
      </c>
      <c r="P9" s="46">
        <f t="shared" si="0"/>
        <v>15735.823499999999</v>
      </c>
      <c r="Q9" s="36"/>
    </row>
    <row r="10" spans="1:17" ht="36" customHeight="1">
      <c r="A10" s="472" t="s">
        <v>132</v>
      </c>
      <c r="B10" s="207" t="s">
        <v>77</v>
      </c>
      <c r="C10" s="208" t="s">
        <v>123</v>
      </c>
      <c r="D10" s="208" t="s">
        <v>14</v>
      </c>
      <c r="E10" s="208"/>
      <c r="F10" s="208"/>
      <c r="G10" s="155"/>
      <c r="H10" s="156">
        <f>H12+H14+H16</f>
        <v>956.2</v>
      </c>
      <c r="I10" s="156">
        <f>I12+I14</f>
        <v>530.70000000000005</v>
      </c>
      <c r="J10" s="156">
        <f>J12+J14</f>
        <v>753.2</v>
      </c>
      <c r="K10" s="209">
        <f t="shared" ref="K10:P10" si="1">K12+K26+K29</f>
        <v>12053.300000000001</v>
      </c>
      <c r="L10" s="209">
        <f t="shared" si="1"/>
        <v>7296.2000000000007</v>
      </c>
      <c r="M10" s="209">
        <f t="shared" si="1"/>
        <v>12053.300000000001</v>
      </c>
      <c r="N10" s="209">
        <f>N12+N14</f>
        <v>1654.6</v>
      </c>
      <c r="O10" s="109">
        <f>O12+O26+O29+O23</f>
        <v>27410.5</v>
      </c>
      <c r="P10" s="67">
        <f t="shared" si="1"/>
        <v>14939.023499999999</v>
      </c>
    </row>
    <row r="11" spans="1:17" ht="36" customHeight="1">
      <c r="A11" s="473" t="s">
        <v>65</v>
      </c>
      <c r="B11" s="282" t="s">
        <v>446</v>
      </c>
      <c r="C11" s="257" t="s">
        <v>123</v>
      </c>
      <c r="D11" s="257" t="s">
        <v>43</v>
      </c>
      <c r="E11" s="257"/>
      <c r="F11" s="257"/>
      <c r="G11" s="242"/>
      <c r="H11" s="261"/>
      <c r="I11" s="261"/>
      <c r="J11" s="261"/>
      <c r="K11" s="258"/>
      <c r="L11" s="258"/>
      <c r="M11" s="258"/>
      <c r="N11" s="258">
        <v>970.9</v>
      </c>
      <c r="O11" s="109"/>
      <c r="P11" s="67"/>
    </row>
    <row r="12" spans="1:17" ht="21.75" customHeight="1">
      <c r="A12" s="474" t="s">
        <v>45</v>
      </c>
      <c r="B12" s="475" t="s">
        <v>125</v>
      </c>
      <c r="C12" s="244" t="s">
        <v>123</v>
      </c>
      <c r="D12" s="244" t="s">
        <v>43</v>
      </c>
      <c r="E12" s="244" t="s">
        <v>168</v>
      </c>
      <c r="F12" s="244"/>
      <c r="G12" s="244"/>
      <c r="H12" s="270">
        <f>H13</f>
        <v>753.2</v>
      </c>
      <c r="I12" s="270">
        <f>I13</f>
        <v>530.70000000000005</v>
      </c>
      <c r="J12" s="270">
        <f>J13</f>
        <v>753.2</v>
      </c>
      <c r="K12" s="246">
        <f t="shared" ref="K12:P12" si="2">K13</f>
        <v>918.9</v>
      </c>
      <c r="L12" s="246">
        <f t="shared" si="2"/>
        <v>606.1</v>
      </c>
      <c r="M12" s="246">
        <f t="shared" si="2"/>
        <v>918.9</v>
      </c>
      <c r="N12" s="246">
        <v>970.9</v>
      </c>
      <c r="O12" s="104">
        <f t="shared" si="2"/>
        <v>1039.7</v>
      </c>
      <c r="P12" s="63">
        <f t="shared" si="2"/>
        <v>1110</v>
      </c>
    </row>
    <row r="13" spans="1:17" ht="36">
      <c r="A13" s="476" t="s">
        <v>44</v>
      </c>
      <c r="B13" s="446" t="s">
        <v>427</v>
      </c>
      <c r="C13" s="173" t="s">
        <v>123</v>
      </c>
      <c r="D13" s="173" t="s">
        <v>43</v>
      </c>
      <c r="E13" s="173" t="s">
        <v>168</v>
      </c>
      <c r="F13" s="173" t="s">
        <v>303</v>
      </c>
      <c r="G13" s="173"/>
      <c r="H13" s="235">
        <f>[2]роспись!H10</f>
        <v>753.2</v>
      </c>
      <c r="I13" s="235">
        <v>530.70000000000005</v>
      </c>
      <c r="J13" s="235">
        <v>753.2</v>
      </c>
      <c r="K13" s="172">
        <v>918.9</v>
      </c>
      <c r="L13" s="236">
        <v>606.1</v>
      </c>
      <c r="M13" s="237">
        <v>918.9</v>
      </c>
      <c r="N13" s="172">
        <v>970.9</v>
      </c>
      <c r="O13" s="105">
        <v>1039.7</v>
      </c>
      <c r="P13" s="29">
        <v>1110</v>
      </c>
      <c r="Q13" s="61"/>
    </row>
    <row r="14" spans="1:17" ht="41.45" customHeight="1">
      <c r="A14" s="477" t="s">
        <v>3</v>
      </c>
      <c r="B14" s="438" t="s">
        <v>225</v>
      </c>
      <c r="C14" s="242" t="s">
        <v>123</v>
      </c>
      <c r="D14" s="242" t="s">
        <v>29</v>
      </c>
      <c r="E14" s="242"/>
      <c r="F14" s="242"/>
      <c r="G14" s="242"/>
      <c r="H14" s="261">
        <f t="shared" ref="H14:P15" si="3">H15</f>
        <v>101.5</v>
      </c>
      <c r="I14" s="261">
        <f t="shared" si="3"/>
        <v>0</v>
      </c>
      <c r="J14" s="261">
        <f t="shared" si="3"/>
        <v>0</v>
      </c>
      <c r="K14" s="256">
        <f t="shared" ref="K14:P14" si="4">K15+K17</f>
        <v>636.29999999999995</v>
      </c>
      <c r="L14" s="256">
        <f t="shared" si="4"/>
        <v>347.6</v>
      </c>
      <c r="M14" s="256">
        <f t="shared" si="4"/>
        <v>636.30000000000007</v>
      </c>
      <c r="N14" s="256">
        <f>N15+N17</f>
        <v>683.7</v>
      </c>
      <c r="O14" s="106">
        <f t="shared" si="4"/>
        <v>731.6</v>
      </c>
      <c r="P14" s="65">
        <f t="shared" si="4"/>
        <v>796.8</v>
      </c>
      <c r="Q14" s="2" t="s">
        <v>299</v>
      </c>
    </row>
    <row r="15" spans="1:17" ht="30" customHeight="1">
      <c r="A15" s="474" t="s">
        <v>151</v>
      </c>
      <c r="B15" s="478" t="s">
        <v>274</v>
      </c>
      <c r="C15" s="259" t="s">
        <v>123</v>
      </c>
      <c r="D15" s="259" t="s">
        <v>29</v>
      </c>
      <c r="E15" s="259" t="s">
        <v>304</v>
      </c>
      <c r="F15" s="259"/>
      <c r="G15" s="244"/>
      <c r="H15" s="270">
        <f t="shared" si="3"/>
        <v>101.5</v>
      </c>
      <c r="I15" s="270">
        <f t="shared" si="3"/>
        <v>0</v>
      </c>
      <c r="J15" s="270">
        <f t="shared" si="3"/>
        <v>0</v>
      </c>
      <c r="K15" s="246">
        <f t="shared" si="3"/>
        <v>99.9</v>
      </c>
      <c r="L15" s="246">
        <f t="shared" si="3"/>
        <v>0</v>
      </c>
      <c r="M15" s="246">
        <f t="shared" si="3"/>
        <v>99.7</v>
      </c>
      <c r="N15" s="246">
        <f t="shared" si="3"/>
        <v>103.5</v>
      </c>
      <c r="O15" s="104">
        <f t="shared" si="3"/>
        <v>124.2</v>
      </c>
      <c r="P15" s="63">
        <f t="shared" si="3"/>
        <v>132.30000000000001</v>
      </c>
      <c r="Q15" s="36">
        <f>N9+N23</f>
        <v>15037.3</v>
      </c>
    </row>
    <row r="16" spans="1:17" ht="39.75" customHeight="1">
      <c r="A16" s="479" t="s">
        <v>155</v>
      </c>
      <c r="B16" s="441" t="s">
        <v>447</v>
      </c>
      <c r="C16" s="161" t="s">
        <v>123</v>
      </c>
      <c r="D16" s="161" t="s">
        <v>29</v>
      </c>
      <c r="E16" s="157" t="s">
        <v>304</v>
      </c>
      <c r="F16" s="161" t="s">
        <v>305</v>
      </c>
      <c r="G16" s="157"/>
      <c r="H16" s="158">
        <v>101.5</v>
      </c>
      <c r="I16" s="442"/>
      <c r="J16" s="442"/>
      <c r="K16" s="159">
        <v>99.9</v>
      </c>
      <c r="L16" s="162"/>
      <c r="M16" s="163">
        <v>99.7</v>
      </c>
      <c r="N16" s="159">
        <v>103.5</v>
      </c>
      <c r="O16" s="42">
        <v>124.2</v>
      </c>
      <c r="P16" s="27">
        <v>132.30000000000001</v>
      </c>
    </row>
    <row r="17" spans="1:19" ht="24">
      <c r="A17" s="474" t="s">
        <v>199</v>
      </c>
      <c r="B17" s="475" t="s">
        <v>307</v>
      </c>
      <c r="C17" s="244" t="s">
        <v>123</v>
      </c>
      <c r="D17" s="244" t="s">
        <v>29</v>
      </c>
      <c r="E17" s="244" t="s">
        <v>239</v>
      </c>
      <c r="F17" s="244"/>
      <c r="G17" s="244"/>
      <c r="H17" s="270"/>
      <c r="I17" s="270"/>
      <c r="J17" s="270"/>
      <c r="K17" s="246">
        <f t="shared" ref="K17:P17" si="5">K18+K19</f>
        <v>536.4</v>
      </c>
      <c r="L17" s="246">
        <f t="shared" si="5"/>
        <v>347.6</v>
      </c>
      <c r="M17" s="246">
        <f t="shared" si="5"/>
        <v>536.6</v>
      </c>
      <c r="N17" s="246">
        <f>N18+N20</f>
        <v>580.20000000000005</v>
      </c>
      <c r="O17" s="106">
        <f t="shared" si="5"/>
        <v>607.4</v>
      </c>
      <c r="P17" s="65">
        <f t="shared" si="5"/>
        <v>664.5</v>
      </c>
    </row>
    <row r="18" spans="1:19" ht="36.75" thickBot="1">
      <c r="A18" s="479" t="s">
        <v>441</v>
      </c>
      <c r="B18" s="451" t="s">
        <v>427</v>
      </c>
      <c r="C18" s="157" t="s">
        <v>123</v>
      </c>
      <c r="D18" s="165" t="s">
        <v>29</v>
      </c>
      <c r="E18" s="165" t="s">
        <v>239</v>
      </c>
      <c r="F18" s="165" t="s">
        <v>303</v>
      </c>
      <c r="G18" s="164"/>
      <c r="H18" s="158"/>
      <c r="I18" s="158"/>
      <c r="J18" s="158"/>
      <c r="K18" s="166">
        <v>519.5</v>
      </c>
      <c r="L18" s="167">
        <v>330.8</v>
      </c>
      <c r="M18" s="168">
        <v>519.70000000000005</v>
      </c>
      <c r="N18" s="166">
        <v>570.20000000000005</v>
      </c>
      <c r="O18" s="107">
        <v>607.4</v>
      </c>
      <c r="P18" s="60">
        <v>664.5</v>
      </c>
    </row>
    <row r="19" spans="1:19" ht="34.5" hidden="1" customHeight="1" thickBot="1">
      <c r="A19" s="480" t="s">
        <v>309</v>
      </c>
      <c r="B19" s="444" t="s">
        <v>310</v>
      </c>
      <c r="C19" s="157" t="s">
        <v>123</v>
      </c>
      <c r="D19" s="165" t="s">
        <v>29</v>
      </c>
      <c r="E19" s="165" t="s">
        <v>239</v>
      </c>
      <c r="F19" s="165" t="s">
        <v>311</v>
      </c>
      <c r="G19" s="152"/>
      <c r="H19" s="153" t="e">
        <f>H21+H44+H52+H62+H70+H75+H86+H90</f>
        <v>#REF!</v>
      </c>
      <c r="I19" s="153" t="e">
        <f>I21+I44+I52+I62+I70+I75+I86+I90</f>
        <v>#REF!</v>
      </c>
      <c r="J19" s="153" t="e">
        <f>J21+J44+J52+J62+J70+J75+J86+J90</f>
        <v>#REF!</v>
      </c>
      <c r="K19" s="166">
        <v>16.899999999999999</v>
      </c>
      <c r="L19" s="166">
        <v>16.8</v>
      </c>
      <c r="M19" s="166">
        <v>16.899999999999999</v>
      </c>
      <c r="N19" s="166"/>
      <c r="O19" s="108"/>
      <c r="P19" s="66"/>
    </row>
    <row r="20" spans="1:19" ht="37.5" customHeight="1" thickBot="1">
      <c r="A20" s="479" t="s">
        <v>518</v>
      </c>
      <c r="B20" s="443" t="s">
        <v>451</v>
      </c>
      <c r="C20" s="157" t="s">
        <v>123</v>
      </c>
      <c r="D20" s="165" t="s">
        <v>29</v>
      </c>
      <c r="E20" s="165" t="s">
        <v>239</v>
      </c>
      <c r="F20" s="165" t="s">
        <v>311</v>
      </c>
      <c r="G20" s="164"/>
      <c r="H20" s="158"/>
      <c r="I20" s="158"/>
      <c r="J20" s="158"/>
      <c r="K20" s="166">
        <v>519.5</v>
      </c>
      <c r="L20" s="167">
        <v>330.8</v>
      </c>
      <c r="M20" s="168">
        <v>519.70000000000005</v>
      </c>
      <c r="N20" s="166">
        <v>10</v>
      </c>
      <c r="O20" s="107">
        <v>607.4</v>
      </c>
      <c r="P20" s="60">
        <v>664.5</v>
      </c>
    </row>
    <row r="21" spans="1:19" ht="42" customHeight="1" thickBot="1">
      <c r="A21" s="470" t="s">
        <v>48</v>
      </c>
      <c r="B21" s="471" t="s">
        <v>143</v>
      </c>
      <c r="C21" s="152" t="s">
        <v>103</v>
      </c>
      <c r="D21" s="152"/>
      <c r="E21" s="152"/>
      <c r="F21" s="152"/>
      <c r="G21" s="208"/>
      <c r="H21" s="210">
        <f>H22+H29+H32</f>
        <v>9394.7000000000007</v>
      </c>
      <c r="I21" s="210">
        <f>I22+I29+I32</f>
        <v>5862.8</v>
      </c>
      <c r="J21" s="210">
        <f>J22+J29+J32</f>
        <v>9332</v>
      </c>
      <c r="K21" s="154">
        <f>K22+K52+K63+K91+K102+K109+K122+K126+K59</f>
        <v>52584</v>
      </c>
      <c r="L21" s="154">
        <f>L22+L52+L63+L91+L102+L109+L122+L126+L59</f>
        <v>22572.399999999998</v>
      </c>
      <c r="M21" s="154">
        <f>M22+M52+M63+M91+M102+M109+M122+M126+M59</f>
        <v>49991.199999999997</v>
      </c>
      <c r="N21" s="154">
        <f>N22+N52+N59+N63+N91+N102+N109+N122+N126</f>
        <v>83504.900000000009</v>
      </c>
      <c r="O21" s="102">
        <f>O22+O52+O63+O91+O102+O109+O122+O126+O59</f>
        <v>85998.742400000003</v>
      </c>
      <c r="P21" s="46">
        <f>P22+P52+P63+P91+P102+P109+P122+P126+P59</f>
        <v>90819.039732000005</v>
      </c>
    </row>
    <row r="22" spans="1:19" ht="36" customHeight="1">
      <c r="A22" s="472" t="s">
        <v>132</v>
      </c>
      <c r="B22" s="207" t="s">
        <v>77</v>
      </c>
      <c r="C22" s="208" t="s">
        <v>103</v>
      </c>
      <c r="D22" s="208" t="s">
        <v>14</v>
      </c>
      <c r="E22" s="208"/>
      <c r="F22" s="208"/>
      <c r="G22" s="155"/>
      <c r="H22" s="156">
        <f>H23+H25+H27</f>
        <v>8904.7000000000007</v>
      </c>
      <c r="I22" s="156">
        <f>I23+I25</f>
        <v>5717.9000000000005</v>
      </c>
      <c r="J22" s="156">
        <f>J23+J25</f>
        <v>8892</v>
      </c>
      <c r="K22" s="209">
        <f t="shared" ref="K22:P22" si="6">K23+K36+K39</f>
        <v>12317</v>
      </c>
      <c r="L22" s="209">
        <f t="shared" si="6"/>
        <v>7510.3000000000011</v>
      </c>
      <c r="M22" s="209">
        <f t="shared" si="6"/>
        <v>12266</v>
      </c>
      <c r="N22" s="209">
        <f>N23+N33+N36+N39</f>
        <v>15295.199999999999</v>
      </c>
      <c r="O22" s="109">
        <f>O23+O36+O39+O33</f>
        <v>13923.924999999999</v>
      </c>
      <c r="P22" s="67">
        <f t="shared" si="6"/>
        <v>14773.140874999999</v>
      </c>
      <c r="S22" s="36"/>
    </row>
    <row r="23" spans="1:19" ht="48">
      <c r="A23" s="241" t="s">
        <v>8</v>
      </c>
      <c r="B23" s="438" t="s">
        <v>312</v>
      </c>
      <c r="C23" s="242" t="s">
        <v>103</v>
      </c>
      <c r="D23" s="242" t="s">
        <v>47</v>
      </c>
      <c r="E23" s="242"/>
      <c r="F23" s="242"/>
      <c r="G23" s="238"/>
      <c r="H23" s="239">
        <f>H24</f>
        <v>812</v>
      </c>
      <c r="I23" s="239">
        <f>I24</f>
        <v>615.29999999999995</v>
      </c>
      <c r="J23" s="239">
        <f>J24</f>
        <v>812</v>
      </c>
      <c r="K23" s="256">
        <f t="shared" ref="K23:P23" si="7">K24+K26+K31</f>
        <v>11379</v>
      </c>
      <c r="L23" s="256">
        <f t="shared" si="7"/>
        <v>6848.2000000000007</v>
      </c>
      <c r="M23" s="256">
        <f t="shared" si="7"/>
        <v>11379</v>
      </c>
      <c r="N23" s="256">
        <f>N24+N26+N31</f>
        <v>13382.699999999999</v>
      </c>
      <c r="O23" s="106">
        <f t="shared" si="7"/>
        <v>13331.699999999999</v>
      </c>
      <c r="P23" s="65">
        <f t="shared" si="7"/>
        <v>14151.093499999999</v>
      </c>
    </row>
    <row r="24" spans="1:19" ht="24" customHeight="1">
      <c r="A24" s="243" t="s">
        <v>45</v>
      </c>
      <c r="B24" s="475" t="s">
        <v>133</v>
      </c>
      <c r="C24" s="244" t="s">
        <v>103</v>
      </c>
      <c r="D24" s="244" t="s">
        <v>47</v>
      </c>
      <c r="E24" s="244" t="s">
        <v>146</v>
      </c>
      <c r="F24" s="244"/>
      <c r="G24" s="244"/>
      <c r="H24" s="270">
        <v>812</v>
      </c>
      <c r="I24" s="270">
        <v>615.29999999999995</v>
      </c>
      <c r="J24" s="270">
        <v>812</v>
      </c>
      <c r="K24" s="246">
        <f t="shared" ref="K24:P24" si="8">K25</f>
        <v>941.8</v>
      </c>
      <c r="L24" s="246">
        <f t="shared" si="8"/>
        <v>625.6</v>
      </c>
      <c r="M24" s="246">
        <f t="shared" si="8"/>
        <v>941.8</v>
      </c>
      <c r="N24" s="246">
        <f t="shared" si="8"/>
        <v>1007.4</v>
      </c>
      <c r="O24" s="110">
        <f t="shared" si="8"/>
        <v>1078.5999999999999</v>
      </c>
      <c r="P24" s="68">
        <f t="shared" si="8"/>
        <v>1151.3</v>
      </c>
    </row>
    <row r="25" spans="1:19" ht="26.25" customHeight="1">
      <c r="A25" s="170" t="s">
        <v>44</v>
      </c>
      <c r="B25" s="444" t="s">
        <v>427</v>
      </c>
      <c r="C25" s="165" t="s">
        <v>103</v>
      </c>
      <c r="D25" s="165" t="s">
        <v>47</v>
      </c>
      <c r="E25" s="165" t="s">
        <v>146</v>
      </c>
      <c r="F25" s="165" t="s">
        <v>303</v>
      </c>
      <c r="G25" s="164"/>
      <c r="H25" s="160">
        <f>H26</f>
        <v>8080.0000000000009</v>
      </c>
      <c r="I25" s="160">
        <f>I26</f>
        <v>5102.6000000000004</v>
      </c>
      <c r="J25" s="160">
        <f>J26</f>
        <v>8080</v>
      </c>
      <c r="K25" s="171">
        <v>941.8</v>
      </c>
      <c r="L25" s="160">
        <v>625.6</v>
      </c>
      <c r="M25" s="160">
        <v>941.8</v>
      </c>
      <c r="N25" s="172">
        <v>1007.4</v>
      </c>
      <c r="O25" s="43">
        <v>1078.5999999999999</v>
      </c>
      <c r="P25" s="29">
        <v>1151.3</v>
      </c>
    </row>
    <row r="26" spans="1:19" ht="36">
      <c r="A26" s="214" t="s">
        <v>66</v>
      </c>
      <c r="B26" s="254" t="s">
        <v>145</v>
      </c>
      <c r="C26" s="252" t="s">
        <v>103</v>
      </c>
      <c r="D26" s="252" t="s">
        <v>47</v>
      </c>
      <c r="E26" s="252" t="s">
        <v>147</v>
      </c>
      <c r="F26" s="252"/>
      <c r="G26" s="252"/>
      <c r="H26" s="271">
        <f>[2]роспись!H22</f>
        <v>8080.0000000000009</v>
      </c>
      <c r="I26" s="271">
        <v>5102.6000000000004</v>
      </c>
      <c r="J26" s="271">
        <v>8080</v>
      </c>
      <c r="K26" s="253">
        <f t="shared" ref="K26:P26" si="9">K27+K28</f>
        <v>10432.200000000001</v>
      </c>
      <c r="L26" s="253">
        <f t="shared" si="9"/>
        <v>6222.6</v>
      </c>
      <c r="M26" s="253">
        <f t="shared" si="9"/>
        <v>10432.200000000001</v>
      </c>
      <c r="N26" s="253">
        <f t="shared" si="9"/>
        <v>12370</v>
      </c>
      <c r="O26" s="111">
        <f t="shared" si="9"/>
        <v>12253.099999999999</v>
      </c>
      <c r="P26" s="64">
        <f t="shared" si="9"/>
        <v>12999.7935</v>
      </c>
    </row>
    <row r="27" spans="1:19" ht="41.25" customHeight="1">
      <c r="A27" s="211" t="s">
        <v>152</v>
      </c>
      <c r="B27" s="444" t="s">
        <v>427</v>
      </c>
      <c r="C27" s="165" t="s">
        <v>103</v>
      </c>
      <c r="D27" s="165" t="s">
        <v>47</v>
      </c>
      <c r="E27" s="165" t="s">
        <v>147</v>
      </c>
      <c r="F27" s="173" t="s">
        <v>303</v>
      </c>
      <c r="G27" s="174" t="s">
        <v>81</v>
      </c>
      <c r="H27" s="175">
        <f>H28</f>
        <v>12.7</v>
      </c>
      <c r="I27" s="175">
        <f>I28</f>
        <v>0</v>
      </c>
      <c r="J27" s="175" t="str">
        <f>J28</f>
        <v>12,7</v>
      </c>
      <c r="K27" s="172">
        <v>8250.9</v>
      </c>
      <c r="L27" s="175">
        <v>5168.5</v>
      </c>
      <c r="M27" s="175">
        <v>8250.9</v>
      </c>
      <c r="N27" s="176">
        <v>10559.9</v>
      </c>
      <c r="O27" s="112">
        <v>9811.4</v>
      </c>
      <c r="P27" s="30">
        <v>10423.799999999999</v>
      </c>
    </row>
    <row r="28" spans="1:19" s="9" customFormat="1" ht="33.75" customHeight="1">
      <c r="A28" s="211" t="s">
        <v>433</v>
      </c>
      <c r="B28" s="444" t="s">
        <v>432</v>
      </c>
      <c r="C28" s="165" t="s">
        <v>103</v>
      </c>
      <c r="D28" s="165" t="s">
        <v>47</v>
      </c>
      <c r="E28" s="165" t="s">
        <v>147</v>
      </c>
      <c r="F28" s="173" t="s">
        <v>314</v>
      </c>
      <c r="G28" s="174" t="s">
        <v>81</v>
      </c>
      <c r="H28" s="175">
        <f>[2]роспись!H37</f>
        <v>12.7</v>
      </c>
      <c r="I28" s="175"/>
      <c r="J28" s="175" t="s">
        <v>192</v>
      </c>
      <c r="K28" s="172">
        <f t="shared" ref="K28:P28" si="10">K29+K30</f>
        <v>2181.3000000000002</v>
      </c>
      <c r="L28" s="172">
        <f t="shared" si="10"/>
        <v>1054.0999999999999</v>
      </c>
      <c r="M28" s="172">
        <f t="shared" si="10"/>
        <v>2181.3000000000002</v>
      </c>
      <c r="N28" s="172">
        <f t="shared" si="10"/>
        <v>1810.1</v>
      </c>
      <c r="O28" s="111">
        <f t="shared" si="10"/>
        <v>2441.6999999999998</v>
      </c>
      <c r="P28" s="64">
        <f t="shared" si="10"/>
        <v>2575.9935</v>
      </c>
    </row>
    <row r="29" spans="1:19" s="9" customFormat="1" ht="24">
      <c r="A29" s="211" t="s">
        <v>434</v>
      </c>
      <c r="B29" s="444" t="s">
        <v>315</v>
      </c>
      <c r="C29" s="165" t="s">
        <v>103</v>
      </c>
      <c r="D29" s="165" t="s">
        <v>47</v>
      </c>
      <c r="E29" s="165" t="s">
        <v>147</v>
      </c>
      <c r="F29" s="173" t="s">
        <v>226</v>
      </c>
      <c r="G29" s="177"/>
      <c r="H29" s="178">
        <f t="shared" ref="H29:J30" si="11">H30</f>
        <v>50</v>
      </c>
      <c r="I29" s="178">
        <f t="shared" si="11"/>
        <v>0</v>
      </c>
      <c r="J29" s="178">
        <f t="shared" si="11"/>
        <v>0</v>
      </c>
      <c r="K29" s="172">
        <v>702.2</v>
      </c>
      <c r="L29" s="179">
        <v>467.5</v>
      </c>
      <c r="M29" s="179">
        <v>702.2</v>
      </c>
      <c r="N29" s="172">
        <v>743.1</v>
      </c>
      <c r="O29" s="113">
        <v>786</v>
      </c>
      <c r="P29" s="86">
        <f>O29*1.055</f>
        <v>829.2299999999999</v>
      </c>
    </row>
    <row r="30" spans="1:19" s="9" customFormat="1" ht="24">
      <c r="A30" s="211" t="s">
        <v>435</v>
      </c>
      <c r="B30" s="444" t="s">
        <v>430</v>
      </c>
      <c r="C30" s="165" t="s">
        <v>103</v>
      </c>
      <c r="D30" s="165" t="s">
        <v>47</v>
      </c>
      <c r="E30" s="165" t="s">
        <v>147</v>
      </c>
      <c r="F30" s="173" t="s">
        <v>311</v>
      </c>
      <c r="G30" s="174"/>
      <c r="H30" s="175">
        <f t="shared" si="11"/>
        <v>50</v>
      </c>
      <c r="I30" s="175">
        <f t="shared" si="11"/>
        <v>0</v>
      </c>
      <c r="J30" s="175">
        <f t="shared" si="11"/>
        <v>0</v>
      </c>
      <c r="K30" s="172">
        <v>1479.1</v>
      </c>
      <c r="L30" s="175">
        <v>586.6</v>
      </c>
      <c r="M30" s="175">
        <v>1479.1</v>
      </c>
      <c r="N30" s="172">
        <f>1066.7+0.3</f>
        <v>1067</v>
      </c>
      <c r="O30" s="113">
        <v>1655.7</v>
      </c>
      <c r="P30" s="86">
        <f>O30*1.055</f>
        <v>1746.7635</v>
      </c>
    </row>
    <row r="31" spans="1:19" s="9" customFormat="1" ht="48">
      <c r="A31" s="214" t="s">
        <v>284</v>
      </c>
      <c r="B31" s="254" t="s">
        <v>153</v>
      </c>
      <c r="C31" s="273" t="s">
        <v>103</v>
      </c>
      <c r="D31" s="273" t="s">
        <v>47</v>
      </c>
      <c r="E31" s="273" t="s">
        <v>437</v>
      </c>
      <c r="F31" s="273"/>
      <c r="G31" s="273"/>
      <c r="H31" s="432">
        <v>50</v>
      </c>
      <c r="I31" s="270"/>
      <c r="J31" s="270"/>
      <c r="K31" s="272">
        <f t="shared" ref="K31:P31" si="12">K32</f>
        <v>5</v>
      </c>
      <c r="L31" s="272">
        <f t="shared" si="12"/>
        <v>0</v>
      </c>
      <c r="M31" s="272">
        <v>5</v>
      </c>
      <c r="N31" s="272">
        <f t="shared" si="12"/>
        <v>5.3</v>
      </c>
      <c r="O31" s="114">
        <f t="shared" si="12"/>
        <v>0</v>
      </c>
      <c r="P31" s="69">
        <f t="shared" si="12"/>
        <v>0</v>
      </c>
    </row>
    <row r="32" spans="1:19" ht="29.25" customHeight="1">
      <c r="A32" s="212" t="s">
        <v>154</v>
      </c>
      <c r="B32" s="444" t="s">
        <v>451</v>
      </c>
      <c r="C32" s="174" t="s">
        <v>103</v>
      </c>
      <c r="D32" s="174" t="s">
        <v>47</v>
      </c>
      <c r="E32" s="174" t="s">
        <v>437</v>
      </c>
      <c r="F32" s="174" t="s">
        <v>311</v>
      </c>
      <c r="G32" s="181"/>
      <c r="H32" s="182">
        <f>H36+H38+H40+H42</f>
        <v>440</v>
      </c>
      <c r="I32" s="182">
        <f>I36+I38+I40+I42</f>
        <v>144.9</v>
      </c>
      <c r="J32" s="182">
        <f>J36+J38+J40+J42</f>
        <v>440</v>
      </c>
      <c r="K32" s="159">
        <v>5</v>
      </c>
      <c r="L32" s="183">
        <v>0</v>
      </c>
      <c r="M32" s="183">
        <v>5</v>
      </c>
      <c r="N32" s="172">
        <v>5.3</v>
      </c>
      <c r="O32" s="115"/>
      <c r="P32" s="54"/>
    </row>
    <row r="33" spans="1:16" ht="24.75" customHeight="1">
      <c r="A33" s="265" t="s">
        <v>3</v>
      </c>
      <c r="B33" s="266" t="s">
        <v>428</v>
      </c>
      <c r="C33" s="269" t="s">
        <v>426</v>
      </c>
      <c r="D33" s="242" t="s">
        <v>407</v>
      </c>
      <c r="E33" s="242" t="s">
        <v>411</v>
      </c>
      <c r="F33" s="242"/>
      <c r="G33" s="242"/>
      <c r="H33" s="242"/>
      <c r="I33" s="242"/>
      <c r="J33" s="242"/>
      <c r="K33" s="242"/>
      <c r="L33" s="242"/>
      <c r="M33" s="242"/>
      <c r="N33" s="256">
        <f>N34</f>
        <v>1350</v>
      </c>
      <c r="O33" s="116"/>
      <c r="P33" s="40"/>
    </row>
    <row r="34" spans="1:16" ht="17.25" customHeight="1">
      <c r="A34" s="214" t="s">
        <v>151</v>
      </c>
      <c r="B34" s="254" t="s">
        <v>410</v>
      </c>
      <c r="C34" s="273" t="s">
        <v>426</v>
      </c>
      <c r="D34" s="273" t="s">
        <v>407</v>
      </c>
      <c r="E34" s="273" t="s">
        <v>409</v>
      </c>
      <c r="F34" s="273"/>
      <c r="G34" s="244"/>
      <c r="H34" s="274"/>
      <c r="I34" s="274"/>
      <c r="J34" s="274"/>
      <c r="K34" s="246"/>
      <c r="L34" s="275"/>
      <c r="M34" s="275"/>
      <c r="N34" s="246">
        <f>N35</f>
        <v>1350</v>
      </c>
      <c r="O34" s="117"/>
      <c r="P34" s="54"/>
    </row>
    <row r="35" spans="1:16" ht="35.25" customHeight="1">
      <c r="A35" s="212" t="s">
        <v>155</v>
      </c>
      <c r="B35" s="444" t="s">
        <v>451</v>
      </c>
      <c r="C35" s="174" t="s">
        <v>426</v>
      </c>
      <c r="D35" s="174" t="s">
        <v>407</v>
      </c>
      <c r="E35" s="174" t="s">
        <v>408</v>
      </c>
      <c r="F35" s="174" t="s">
        <v>311</v>
      </c>
      <c r="G35" s="181"/>
      <c r="H35" s="182"/>
      <c r="I35" s="182"/>
      <c r="J35" s="182"/>
      <c r="K35" s="159"/>
      <c r="L35" s="184"/>
      <c r="M35" s="184"/>
      <c r="N35" s="172">
        <v>1350</v>
      </c>
      <c r="O35" s="117"/>
      <c r="P35" s="54"/>
    </row>
    <row r="36" spans="1:16" ht="21.75" customHeight="1">
      <c r="A36" s="268" t="s">
        <v>273</v>
      </c>
      <c r="B36" s="266" t="s">
        <v>429</v>
      </c>
      <c r="C36" s="242" t="s">
        <v>103</v>
      </c>
      <c r="D36" s="242" t="s">
        <v>175</v>
      </c>
      <c r="E36" s="242"/>
      <c r="F36" s="242"/>
      <c r="G36" s="238"/>
      <c r="H36" s="239">
        <f>H37</f>
        <v>80</v>
      </c>
      <c r="I36" s="239">
        <f t="shared" ref="I36:P37" si="13">I37</f>
        <v>69.900000000000006</v>
      </c>
      <c r="J36" s="239">
        <f t="shared" si="13"/>
        <v>80</v>
      </c>
      <c r="K36" s="267">
        <f t="shared" si="13"/>
        <v>50</v>
      </c>
      <c r="L36" s="267">
        <f t="shared" si="13"/>
        <v>0</v>
      </c>
      <c r="M36" s="267">
        <f t="shared" si="13"/>
        <v>0</v>
      </c>
      <c r="N36" s="256">
        <f t="shared" si="13"/>
        <v>50</v>
      </c>
      <c r="O36" s="118">
        <f t="shared" si="13"/>
        <v>50</v>
      </c>
      <c r="P36" s="70">
        <f t="shared" si="13"/>
        <v>50</v>
      </c>
    </row>
    <row r="37" spans="1:16" ht="13.5">
      <c r="A37" s="276" t="s">
        <v>78</v>
      </c>
      <c r="B37" s="475" t="s">
        <v>134</v>
      </c>
      <c r="C37" s="244" t="s">
        <v>103</v>
      </c>
      <c r="D37" s="273" t="s">
        <v>175</v>
      </c>
      <c r="E37" s="273" t="s">
        <v>156</v>
      </c>
      <c r="F37" s="273"/>
      <c r="G37" s="244"/>
      <c r="H37" s="270">
        <v>80</v>
      </c>
      <c r="I37" s="270">
        <v>69.900000000000006</v>
      </c>
      <c r="J37" s="270">
        <v>80</v>
      </c>
      <c r="K37" s="272">
        <f t="shared" si="13"/>
        <v>50</v>
      </c>
      <c r="L37" s="272">
        <f t="shared" si="13"/>
        <v>0</v>
      </c>
      <c r="M37" s="272">
        <f t="shared" si="13"/>
        <v>0</v>
      </c>
      <c r="N37" s="272">
        <f t="shared" si="13"/>
        <v>50</v>
      </c>
      <c r="O37" s="119">
        <f t="shared" si="13"/>
        <v>50</v>
      </c>
      <c r="P37" s="71">
        <f t="shared" si="13"/>
        <v>50</v>
      </c>
    </row>
    <row r="38" spans="1:16" ht="13.5">
      <c r="A38" s="185" t="s">
        <v>79</v>
      </c>
      <c r="B38" s="439" t="s">
        <v>316</v>
      </c>
      <c r="C38" s="157" t="s">
        <v>103</v>
      </c>
      <c r="D38" s="180" t="s">
        <v>175</v>
      </c>
      <c r="E38" s="180" t="s">
        <v>156</v>
      </c>
      <c r="F38" s="180" t="s">
        <v>317</v>
      </c>
      <c r="G38" s="181"/>
      <c r="H38" s="182">
        <f>H39</f>
        <v>100</v>
      </c>
      <c r="I38" s="182">
        <f>I39</f>
        <v>0</v>
      </c>
      <c r="J38" s="182">
        <f>J39</f>
        <v>100</v>
      </c>
      <c r="K38" s="159">
        <v>50</v>
      </c>
      <c r="L38" s="182"/>
      <c r="M38" s="182">
        <v>0</v>
      </c>
      <c r="N38" s="172">
        <v>50</v>
      </c>
      <c r="O38" s="113">
        <v>50</v>
      </c>
      <c r="P38" s="86">
        <v>50</v>
      </c>
    </row>
    <row r="39" spans="1:16" ht="16.5" customHeight="1">
      <c r="A39" s="265" t="s">
        <v>290</v>
      </c>
      <c r="B39" s="266" t="s">
        <v>30</v>
      </c>
      <c r="C39" s="242" t="s">
        <v>103</v>
      </c>
      <c r="D39" s="242" t="s">
        <v>176</v>
      </c>
      <c r="E39" s="242"/>
      <c r="F39" s="242"/>
      <c r="G39" s="238"/>
      <c r="H39" s="239">
        <v>100</v>
      </c>
      <c r="I39" s="239"/>
      <c r="J39" s="239">
        <v>100</v>
      </c>
      <c r="K39" s="267">
        <f t="shared" ref="K39:P39" si="14">K40+K42+K44+K46+K48+K50</f>
        <v>888</v>
      </c>
      <c r="L39" s="267">
        <f t="shared" si="14"/>
        <v>662.1</v>
      </c>
      <c r="M39" s="267">
        <f t="shared" si="14"/>
        <v>887</v>
      </c>
      <c r="N39" s="256">
        <f t="shared" si="14"/>
        <v>512.5</v>
      </c>
      <c r="O39" s="120">
        <f t="shared" si="14"/>
        <v>542.22500000000014</v>
      </c>
      <c r="P39" s="100">
        <f t="shared" si="14"/>
        <v>572.0473750000001</v>
      </c>
    </row>
    <row r="40" spans="1:16" ht="15.6" hidden="1" customHeight="1">
      <c r="A40" s="215" t="s">
        <v>291</v>
      </c>
      <c r="B40" s="216" t="s">
        <v>135</v>
      </c>
      <c r="C40" s="157" t="s">
        <v>103</v>
      </c>
      <c r="D40" s="157" t="s">
        <v>176</v>
      </c>
      <c r="E40" s="157" t="s">
        <v>157</v>
      </c>
      <c r="F40" s="157"/>
      <c r="G40" s="181"/>
      <c r="H40" s="182">
        <f t="shared" ref="H40:P40" si="15">H41</f>
        <v>200</v>
      </c>
      <c r="I40" s="182">
        <f t="shared" si="15"/>
        <v>60</v>
      </c>
      <c r="J40" s="182">
        <f t="shared" si="15"/>
        <v>200</v>
      </c>
      <c r="K40" s="159">
        <f t="shared" si="15"/>
        <v>66</v>
      </c>
      <c r="L40" s="159">
        <f t="shared" si="15"/>
        <v>65</v>
      </c>
      <c r="M40" s="159">
        <f t="shared" si="15"/>
        <v>65</v>
      </c>
      <c r="N40" s="159">
        <f t="shared" si="15"/>
        <v>0</v>
      </c>
      <c r="O40" s="104">
        <f t="shared" si="15"/>
        <v>0</v>
      </c>
      <c r="P40" s="63">
        <f t="shared" si="15"/>
        <v>0</v>
      </c>
    </row>
    <row r="41" spans="1:16" ht="15.95" hidden="1" customHeight="1">
      <c r="A41" s="186" t="s">
        <v>292</v>
      </c>
      <c r="B41" s="435" t="s">
        <v>310</v>
      </c>
      <c r="C41" s="157" t="s">
        <v>103</v>
      </c>
      <c r="D41" s="157" t="s">
        <v>176</v>
      </c>
      <c r="E41" s="157" t="s">
        <v>157</v>
      </c>
      <c r="F41" s="157" t="s">
        <v>311</v>
      </c>
      <c r="G41" s="157"/>
      <c r="H41" s="158">
        <f>[2]роспись!H46</f>
        <v>200</v>
      </c>
      <c r="I41" s="158">
        <v>60</v>
      </c>
      <c r="J41" s="158">
        <v>200</v>
      </c>
      <c r="K41" s="159">
        <v>66</v>
      </c>
      <c r="L41" s="187">
        <v>65</v>
      </c>
      <c r="M41" s="188">
        <v>65</v>
      </c>
      <c r="N41" s="159"/>
      <c r="O41" s="121">
        <f>N41*1.062</f>
        <v>0</v>
      </c>
      <c r="P41" s="27">
        <f>O41*1.061</f>
        <v>0</v>
      </c>
    </row>
    <row r="42" spans="1:16" ht="38.25" customHeight="1">
      <c r="A42" s="214" t="s">
        <v>293</v>
      </c>
      <c r="B42" s="254" t="s">
        <v>263</v>
      </c>
      <c r="C42" s="244" t="s">
        <v>103</v>
      </c>
      <c r="D42" s="244" t="s">
        <v>176</v>
      </c>
      <c r="E42" s="244" t="s">
        <v>158</v>
      </c>
      <c r="F42" s="244"/>
      <c r="G42" s="244"/>
      <c r="H42" s="274">
        <f>H43</f>
        <v>60</v>
      </c>
      <c r="I42" s="274">
        <f t="shared" ref="I42:P42" si="16">I43</f>
        <v>15</v>
      </c>
      <c r="J42" s="274">
        <f t="shared" si="16"/>
        <v>60</v>
      </c>
      <c r="K42" s="246">
        <f t="shared" si="16"/>
        <v>100</v>
      </c>
      <c r="L42" s="246">
        <f t="shared" si="16"/>
        <v>45</v>
      </c>
      <c r="M42" s="246">
        <f t="shared" si="16"/>
        <v>100</v>
      </c>
      <c r="N42" s="246">
        <f t="shared" si="16"/>
        <v>100</v>
      </c>
      <c r="O42" s="106">
        <f t="shared" si="16"/>
        <v>105.80000000000001</v>
      </c>
      <c r="P42" s="65">
        <f t="shared" si="16"/>
        <v>111.619</v>
      </c>
    </row>
    <row r="43" spans="1:16" ht="24">
      <c r="A43" s="186" t="s">
        <v>292</v>
      </c>
      <c r="B43" s="435" t="s">
        <v>431</v>
      </c>
      <c r="C43" s="157" t="s">
        <v>103</v>
      </c>
      <c r="D43" s="157" t="s">
        <v>176</v>
      </c>
      <c r="E43" s="157" t="s">
        <v>158</v>
      </c>
      <c r="F43" s="157" t="s">
        <v>319</v>
      </c>
      <c r="G43" s="157"/>
      <c r="H43" s="157">
        <f>[2]роспись!H48</f>
        <v>60</v>
      </c>
      <c r="I43" s="158">
        <v>15</v>
      </c>
      <c r="J43" s="158">
        <v>60</v>
      </c>
      <c r="K43" s="159">
        <v>100</v>
      </c>
      <c r="L43" s="187">
        <v>45</v>
      </c>
      <c r="M43" s="188">
        <v>100</v>
      </c>
      <c r="N43" s="159">
        <v>100</v>
      </c>
      <c r="O43" s="121">
        <f t="shared" ref="O43:O49" si="17">N43*1.058</f>
        <v>105.80000000000001</v>
      </c>
      <c r="P43" s="27">
        <f t="shared" ref="P43:P49" si="18">O43*1.055</f>
        <v>111.619</v>
      </c>
    </row>
    <row r="44" spans="1:16" ht="13.5">
      <c r="A44" s="214" t="s">
        <v>294</v>
      </c>
      <c r="B44" s="254" t="s">
        <v>320</v>
      </c>
      <c r="C44" s="244" t="s">
        <v>103</v>
      </c>
      <c r="D44" s="244" t="s">
        <v>176</v>
      </c>
      <c r="E44" s="244" t="s">
        <v>159</v>
      </c>
      <c r="F44" s="244"/>
      <c r="G44" s="244"/>
      <c r="H44" s="270" t="e">
        <f>H45</f>
        <v>#REF!</v>
      </c>
      <c r="I44" s="270" t="e">
        <f t="shared" ref="I44:P44" si="19">I45</f>
        <v>#REF!</v>
      </c>
      <c r="J44" s="270" t="e">
        <f t="shared" si="19"/>
        <v>#REF!</v>
      </c>
      <c r="K44" s="246">
        <f t="shared" si="19"/>
        <v>400</v>
      </c>
      <c r="L44" s="246">
        <f t="shared" si="19"/>
        <v>323.89999999999998</v>
      </c>
      <c r="M44" s="246">
        <f t="shared" si="19"/>
        <v>400</v>
      </c>
      <c r="N44" s="246">
        <f t="shared" si="19"/>
        <v>232.5</v>
      </c>
      <c r="O44" s="106">
        <f t="shared" si="19"/>
        <v>245.98500000000001</v>
      </c>
      <c r="P44" s="65">
        <f t="shared" si="19"/>
        <v>259.51417500000002</v>
      </c>
    </row>
    <row r="45" spans="1:16" ht="36.950000000000003" customHeight="1">
      <c r="A45" s="186" t="s">
        <v>295</v>
      </c>
      <c r="B45" s="435" t="s">
        <v>430</v>
      </c>
      <c r="C45" s="157" t="s">
        <v>103</v>
      </c>
      <c r="D45" s="157" t="s">
        <v>176</v>
      </c>
      <c r="E45" s="157" t="s">
        <v>159</v>
      </c>
      <c r="F45" s="157" t="s">
        <v>311</v>
      </c>
      <c r="G45" s="157"/>
      <c r="H45" s="158" t="e">
        <f>#REF!+H46</f>
        <v>#REF!</v>
      </c>
      <c r="I45" s="158" t="e">
        <f>#REF!+I46</f>
        <v>#REF!</v>
      </c>
      <c r="J45" s="158" t="e">
        <f>#REF!+J46</f>
        <v>#REF!</v>
      </c>
      <c r="K45" s="159">
        <v>400</v>
      </c>
      <c r="L45" s="158">
        <v>323.89999999999998</v>
      </c>
      <c r="M45" s="158">
        <v>400</v>
      </c>
      <c r="N45" s="159">
        <v>232.5</v>
      </c>
      <c r="O45" s="121">
        <f t="shared" si="17"/>
        <v>245.98500000000001</v>
      </c>
      <c r="P45" s="27">
        <f t="shared" si="18"/>
        <v>259.51417500000002</v>
      </c>
    </row>
    <row r="46" spans="1:16" ht="49.5" customHeight="1">
      <c r="A46" s="214" t="s">
        <v>296</v>
      </c>
      <c r="B46" s="254" t="s">
        <v>321</v>
      </c>
      <c r="C46" s="244" t="s">
        <v>103</v>
      </c>
      <c r="D46" s="244" t="s">
        <v>176</v>
      </c>
      <c r="E46" s="244" t="s">
        <v>322</v>
      </c>
      <c r="F46" s="244"/>
      <c r="G46" s="252"/>
      <c r="H46" s="271">
        <f>H47</f>
        <v>70</v>
      </c>
      <c r="I46" s="271">
        <f t="shared" ref="I46:P46" si="20">I47</f>
        <v>0</v>
      </c>
      <c r="J46" s="271">
        <f t="shared" si="20"/>
        <v>20</v>
      </c>
      <c r="K46" s="246">
        <f t="shared" si="20"/>
        <v>60</v>
      </c>
      <c r="L46" s="246">
        <f t="shared" si="20"/>
        <v>30</v>
      </c>
      <c r="M46" s="246">
        <f t="shared" si="20"/>
        <v>60</v>
      </c>
      <c r="N46" s="246">
        <f t="shared" si="20"/>
        <v>60</v>
      </c>
      <c r="O46" s="106">
        <f t="shared" si="20"/>
        <v>63.480000000000004</v>
      </c>
      <c r="P46" s="65">
        <f t="shared" si="20"/>
        <v>66.971400000000003</v>
      </c>
    </row>
    <row r="47" spans="1:16" ht="13.5">
      <c r="A47" s="186" t="s">
        <v>297</v>
      </c>
      <c r="B47" s="435" t="s">
        <v>323</v>
      </c>
      <c r="C47" s="157" t="s">
        <v>103</v>
      </c>
      <c r="D47" s="157" t="s">
        <v>176</v>
      </c>
      <c r="E47" s="157" t="s">
        <v>322</v>
      </c>
      <c r="F47" s="157" t="s">
        <v>324</v>
      </c>
      <c r="G47" s="157"/>
      <c r="H47" s="158">
        <v>70</v>
      </c>
      <c r="I47" s="158"/>
      <c r="J47" s="158">
        <v>20</v>
      </c>
      <c r="K47" s="159">
        <v>60</v>
      </c>
      <c r="L47" s="167">
        <v>30</v>
      </c>
      <c r="M47" s="168">
        <v>60</v>
      </c>
      <c r="N47" s="159">
        <v>60</v>
      </c>
      <c r="O47" s="121">
        <f t="shared" si="17"/>
        <v>63.480000000000004</v>
      </c>
      <c r="P47" s="27">
        <f t="shared" si="18"/>
        <v>66.971400000000003</v>
      </c>
    </row>
    <row r="48" spans="1:16" ht="36">
      <c r="A48" s="214" t="s">
        <v>325</v>
      </c>
      <c r="B48" s="254" t="s">
        <v>326</v>
      </c>
      <c r="C48" s="244" t="s">
        <v>103</v>
      </c>
      <c r="D48" s="244" t="s">
        <v>176</v>
      </c>
      <c r="E48" s="244" t="s">
        <v>327</v>
      </c>
      <c r="F48" s="244"/>
      <c r="G48" s="244"/>
      <c r="H48" s="270" t="e">
        <f>H49+H53+#REF!+H56</f>
        <v>#REF!</v>
      </c>
      <c r="I48" s="270" t="e">
        <f>I49+I53+#REF!+I56</f>
        <v>#REF!</v>
      </c>
      <c r="J48" s="270" t="e">
        <f>J49+J53+#REF!+J56</f>
        <v>#REF!</v>
      </c>
      <c r="K48" s="246">
        <f t="shared" ref="K48:P48" si="21">K49</f>
        <v>92</v>
      </c>
      <c r="L48" s="246">
        <f t="shared" si="21"/>
        <v>48.2</v>
      </c>
      <c r="M48" s="246">
        <f t="shared" si="21"/>
        <v>92</v>
      </c>
      <c r="N48" s="246">
        <f t="shared" si="21"/>
        <v>20</v>
      </c>
      <c r="O48" s="106">
        <f t="shared" si="21"/>
        <v>21.16</v>
      </c>
      <c r="P48" s="65">
        <f t="shared" si="21"/>
        <v>22.323799999999999</v>
      </c>
    </row>
    <row r="49" spans="1:19" ht="24">
      <c r="A49" s="186" t="s">
        <v>328</v>
      </c>
      <c r="B49" s="435" t="s">
        <v>430</v>
      </c>
      <c r="C49" s="157" t="s">
        <v>103</v>
      </c>
      <c r="D49" s="157" t="s">
        <v>176</v>
      </c>
      <c r="E49" s="157" t="s">
        <v>327</v>
      </c>
      <c r="F49" s="157" t="s">
        <v>311</v>
      </c>
      <c r="G49" s="157"/>
      <c r="H49" s="158"/>
      <c r="I49" s="158"/>
      <c r="J49" s="158"/>
      <c r="K49" s="159">
        <v>92</v>
      </c>
      <c r="L49" s="158">
        <v>48.2</v>
      </c>
      <c r="M49" s="158">
        <v>92</v>
      </c>
      <c r="N49" s="159">
        <f>70-50</f>
        <v>20</v>
      </c>
      <c r="O49" s="121">
        <f t="shared" si="17"/>
        <v>21.16</v>
      </c>
      <c r="P49" s="27">
        <f t="shared" si="18"/>
        <v>22.323799999999999</v>
      </c>
    </row>
    <row r="50" spans="1:19" ht="60">
      <c r="A50" s="214" t="s">
        <v>329</v>
      </c>
      <c r="B50" s="254" t="s">
        <v>330</v>
      </c>
      <c r="C50" s="244" t="s">
        <v>103</v>
      </c>
      <c r="D50" s="244" t="s">
        <v>176</v>
      </c>
      <c r="E50" s="244" t="s">
        <v>331</v>
      </c>
      <c r="F50" s="244"/>
      <c r="G50" s="252"/>
      <c r="H50" s="271"/>
      <c r="I50" s="271"/>
      <c r="J50" s="271"/>
      <c r="K50" s="277">
        <f t="shared" ref="K50:P50" si="22">K51</f>
        <v>170</v>
      </c>
      <c r="L50" s="277">
        <f t="shared" si="22"/>
        <v>150</v>
      </c>
      <c r="M50" s="277">
        <f t="shared" si="22"/>
        <v>170</v>
      </c>
      <c r="N50" s="278">
        <f t="shared" si="22"/>
        <v>100</v>
      </c>
      <c r="O50" s="122">
        <f t="shared" si="22"/>
        <v>105.80000000000001</v>
      </c>
      <c r="P50" s="99">
        <f t="shared" si="22"/>
        <v>111.619</v>
      </c>
    </row>
    <row r="51" spans="1:19" ht="24.75" thickBot="1">
      <c r="A51" s="189" t="s">
        <v>328</v>
      </c>
      <c r="B51" s="481" t="s">
        <v>430</v>
      </c>
      <c r="C51" s="190" t="s">
        <v>103</v>
      </c>
      <c r="D51" s="190" t="s">
        <v>176</v>
      </c>
      <c r="E51" s="190" t="s">
        <v>331</v>
      </c>
      <c r="F51" s="190" t="s">
        <v>311</v>
      </c>
      <c r="G51" s="157"/>
      <c r="H51" s="158"/>
      <c r="I51" s="158"/>
      <c r="J51" s="158"/>
      <c r="K51" s="166">
        <v>170</v>
      </c>
      <c r="L51" s="158">
        <v>150</v>
      </c>
      <c r="M51" s="158">
        <v>170</v>
      </c>
      <c r="N51" s="159">
        <f>150-50</f>
        <v>100</v>
      </c>
      <c r="O51" s="121">
        <f>N51*1.058</f>
        <v>105.80000000000001</v>
      </c>
      <c r="P51" s="27">
        <f>O51*1.055</f>
        <v>111.619</v>
      </c>
    </row>
    <row r="52" spans="1:19" ht="24.75" thickBot="1">
      <c r="A52" s="219" t="s">
        <v>51</v>
      </c>
      <c r="B52" s="482" t="s">
        <v>37</v>
      </c>
      <c r="C52" s="220" t="s">
        <v>103</v>
      </c>
      <c r="D52" s="220" t="s">
        <v>31</v>
      </c>
      <c r="E52" s="220"/>
      <c r="F52" s="220"/>
      <c r="G52" s="217"/>
      <c r="H52" s="218" t="e">
        <f>H53+H55+H57+H60</f>
        <v>#REF!</v>
      </c>
      <c r="I52" s="218" t="e">
        <f>I53+I55+I57+I60</f>
        <v>#REF!</v>
      </c>
      <c r="J52" s="218" t="e">
        <f>J53+J55+J57+J60</f>
        <v>#REF!</v>
      </c>
      <c r="K52" s="221">
        <f t="shared" ref="K52:P52" si="23">K53</f>
        <v>128</v>
      </c>
      <c r="L52" s="221">
        <f t="shared" si="23"/>
        <v>93.9</v>
      </c>
      <c r="M52" s="221">
        <f t="shared" si="23"/>
        <v>128</v>
      </c>
      <c r="N52" s="221">
        <f t="shared" si="23"/>
        <v>50</v>
      </c>
      <c r="O52" s="123">
        <f t="shared" si="23"/>
        <v>52.900000000000006</v>
      </c>
      <c r="P52" s="72">
        <f t="shared" si="23"/>
        <v>55.8095</v>
      </c>
    </row>
    <row r="53" spans="1:19" ht="36">
      <c r="A53" s="247" t="s">
        <v>67</v>
      </c>
      <c r="B53" s="260" t="s">
        <v>173</v>
      </c>
      <c r="C53" s="257" t="s">
        <v>103</v>
      </c>
      <c r="D53" s="257" t="s">
        <v>21</v>
      </c>
      <c r="E53" s="257"/>
      <c r="F53" s="257"/>
      <c r="G53" s="242"/>
      <c r="H53" s="261" t="e">
        <f>#REF!</f>
        <v>#REF!</v>
      </c>
      <c r="I53" s="261" t="e">
        <f>#REF!</f>
        <v>#REF!</v>
      </c>
      <c r="J53" s="261" t="e">
        <f>#REF!</f>
        <v>#REF!</v>
      </c>
      <c r="K53" s="258">
        <f t="shared" ref="K53:P53" si="24">K54+K56</f>
        <v>128</v>
      </c>
      <c r="L53" s="258">
        <f t="shared" si="24"/>
        <v>93.9</v>
      </c>
      <c r="M53" s="258">
        <f t="shared" si="24"/>
        <v>128</v>
      </c>
      <c r="N53" s="258">
        <f t="shared" si="24"/>
        <v>50</v>
      </c>
      <c r="O53" s="124">
        <f t="shared" si="24"/>
        <v>52.900000000000006</v>
      </c>
      <c r="P53" s="73">
        <f t="shared" si="24"/>
        <v>55.8095</v>
      </c>
    </row>
    <row r="54" spans="1:19" ht="36" hidden="1">
      <c r="A54" s="186" t="s">
        <v>68</v>
      </c>
      <c r="B54" s="216" t="s">
        <v>136</v>
      </c>
      <c r="C54" s="157" t="s">
        <v>103</v>
      </c>
      <c r="D54" s="157" t="s">
        <v>21</v>
      </c>
      <c r="E54" s="157" t="s">
        <v>161</v>
      </c>
      <c r="F54" s="157"/>
      <c r="G54" s="157"/>
      <c r="H54" s="158"/>
      <c r="I54" s="158"/>
      <c r="J54" s="158"/>
      <c r="K54" s="159">
        <f t="shared" ref="K54:P54" si="25">K55</f>
        <v>110</v>
      </c>
      <c r="L54" s="159">
        <f t="shared" si="25"/>
        <v>93.9</v>
      </c>
      <c r="M54" s="159">
        <f t="shared" si="25"/>
        <v>110</v>
      </c>
      <c r="N54" s="159">
        <f t="shared" si="25"/>
        <v>0</v>
      </c>
      <c r="O54" s="104">
        <f t="shared" si="25"/>
        <v>0</v>
      </c>
      <c r="P54" s="63">
        <f t="shared" si="25"/>
        <v>0</v>
      </c>
      <c r="Q54" s="36"/>
    </row>
    <row r="55" spans="1:19" ht="24" hidden="1">
      <c r="A55" s="186" t="s">
        <v>137</v>
      </c>
      <c r="B55" s="435" t="s">
        <v>310</v>
      </c>
      <c r="C55" s="157" t="s">
        <v>103</v>
      </c>
      <c r="D55" s="157" t="s">
        <v>21</v>
      </c>
      <c r="E55" s="157" t="s">
        <v>161</v>
      </c>
      <c r="F55" s="157" t="s">
        <v>311</v>
      </c>
      <c r="G55" s="157"/>
      <c r="H55" s="158">
        <f>H56</f>
        <v>5320</v>
      </c>
      <c r="I55" s="158">
        <f>I56</f>
        <v>3277.5</v>
      </c>
      <c r="J55" s="158">
        <f>J56</f>
        <v>5320</v>
      </c>
      <c r="K55" s="159">
        <v>110</v>
      </c>
      <c r="L55" s="158">
        <v>93.9</v>
      </c>
      <c r="M55" s="158">
        <v>110</v>
      </c>
      <c r="N55" s="159"/>
      <c r="O55" s="42">
        <f>N55*1.058</f>
        <v>0</v>
      </c>
      <c r="P55" s="27">
        <f>O55*1.055</f>
        <v>0</v>
      </c>
    </row>
    <row r="56" spans="1:19" ht="60">
      <c r="A56" s="243" t="s">
        <v>68</v>
      </c>
      <c r="B56" s="254" t="s">
        <v>332</v>
      </c>
      <c r="C56" s="244" t="s">
        <v>103</v>
      </c>
      <c r="D56" s="244" t="s">
        <v>21</v>
      </c>
      <c r="E56" s="244" t="s">
        <v>160</v>
      </c>
      <c r="F56" s="244"/>
      <c r="G56" s="244"/>
      <c r="H56" s="270">
        <f>[2]роспись!H63</f>
        <v>5320</v>
      </c>
      <c r="I56" s="270">
        <v>3277.5</v>
      </c>
      <c r="J56" s="270">
        <v>5320</v>
      </c>
      <c r="K56" s="246">
        <f t="shared" ref="K56:P56" si="26">K57</f>
        <v>18</v>
      </c>
      <c r="L56" s="246">
        <f t="shared" si="26"/>
        <v>0</v>
      </c>
      <c r="M56" s="246">
        <f t="shared" si="26"/>
        <v>18</v>
      </c>
      <c r="N56" s="246">
        <f t="shared" si="26"/>
        <v>50</v>
      </c>
      <c r="O56" s="104">
        <f t="shared" si="26"/>
        <v>52.900000000000006</v>
      </c>
      <c r="P56" s="63">
        <f t="shared" si="26"/>
        <v>55.8095</v>
      </c>
    </row>
    <row r="57" spans="1:19" ht="24.75" thickBot="1">
      <c r="A57" s="189" t="s">
        <v>137</v>
      </c>
      <c r="B57" s="481" t="s">
        <v>430</v>
      </c>
      <c r="C57" s="190" t="s">
        <v>103</v>
      </c>
      <c r="D57" s="190" t="s">
        <v>21</v>
      </c>
      <c r="E57" s="190" t="s">
        <v>160</v>
      </c>
      <c r="F57" s="190" t="s">
        <v>311</v>
      </c>
      <c r="G57" s="190"/>
      <c r="H57" s="203">
        <f>H59</f>
        <v>668</v>
      </c>
      <c r="I57" s="203">
        <f>I59</f>
        <v>480</v>
      </c>
      <c r="J57" s="203">
        <f>J59</f>
        <v>668</v>
      </c>
      <c r="K57" s="166">
        <v>18</v>
      </c>
      <c r="L57" s="203">
        <v>0</v>
      </c>
      <c r="M57" s="203">
        <v>18</v>
      </c>
      <c r="N57" s="166">
        <v>50</v>
      </c>
      <c r="O57" s="42">
        <f>N57*1.058</f>
        <v>52.900000000000006</v>
      </c>
      <c r="P57" s="27">
        <f>O57*1.055</f>
        <v>55.8095</v>
      </c>
    </row>
    <row r="58" spans="1:19" ht="14.25" thickBot="1">
      <c r="A58" s="219" t="s">
        <v>80</v>
      </c>
      <c r="B58" s="483" t="s">
        <v>452</v>
      </c>
      <c r="C58" s="220" t="s">
        <v>103</v>
      </c>
      <c r="D58" s="220" t="s">
        <v>453</v>
      </c>
      <c r="E58" s="220"/>
      <c r="F58" s="220"/>
      <c r="G58" s="220"/>
      <c r="H58" s="293"/>
      <c r="I58" s="293"/>
      <c r="J58" s="293"/>
      <c r="K58" s="221"/>
      <c r="L58" s="294"/>
      <c r="M58" s="294"/>
      <c r="N58" s="221">
        <f>N59</f>
        <v>48280.799999999996</v>
      </c>
      <c r="O58" s="291"/>
      <c r="P58" s="292"/>
      <c r="S58" s="36"/>
    </row>
    <row r="59" spans="1:19" ht="13.5" thickBot="1">
      <c r="A59" s="262" t="s">
        <v>69</v>
      </c>
      <c r="B59" s="484" t="s">
        <v>248</v>
      </c>
      <c r="C59" s="263" t="s">
        <v>103</v>
      </c>
      <c r="D59" s="263" t="s">
        <v>247</v>
      </c>
      <c r="E59" s="263"/>
      <c r="F59" s="263"/>
      <c r="G59" s="295"/>
      <c r="H59" s="296">
        <f>[2]роспись!H68</f>
        <v>668</v>
      </c>
      <c r="I59" s="296">
        <v>480</v>
      </c>
      <c r="J59" s="296">
        <v>668</v>
      </c>
      <c r="K59" s="264">
        <f t="shared" ref="K59:P59" si="27">K60</f>
        <v>19052.300000000003</v>
      </c>
      <c r="L59" s="264">
        <f t="shared" si="27"/>
        <v>2772.6</v>
      </c>
      <c r="M59" s="264">
        <f t="shared" si="27"/>
        <v>17052.300000000003</v>
      </c>
      <c r="N59" s="264">
        <f t="shared" si="27"/>
        <v>48280.799999999996</v>
      </c>
      <c r="O59" s="123">
        <f t="shared" si="27"/>
        <v>51081.0864</v>
      </c>
      <c r="P59" s="72">
        <f t="shared" si="27"/>
        <v>53890.546151999995</v>
      </c>
    </row>
    <row r="60" spans="1:19" ht="24">
      <c r="A60" s="297" t="s">
        <v>70</v>
      </c>
      <c r="B60" s="485" t="s">
        <v>333</v>
      </c>
      <c r="C60" s="298">
        <v>993</v>
      </c>
      <c r="D60" s="299" t="s">
        <v>247</v>
      </c>
      <c r="E60" s="299" t="s">
        <v>249</v>
      </c>
      <c r="F60" s="299"/>
      <c r="G60" s="299"/>
      <c r="H60" s="300">
        <f>H61</f>
        <v>796</v>
      </c>
      <c r="I60" s="300">
        <f>I61</f>
        <v>459.2</v>
      </c>
      <c r="J60" s="300">
        <f>J61</f>
        <v>796</v>
      </c>
      <c r="K60" s="279">
        <f t="shared" ref="K60:P60" si="28">K61+K62</f>
        <v>19052.300000000003</v>
      </c>
      <c r="L60" s="279">
        <f t="shared" si="28"/>
        <v>2772.6</v>
      </c>
      <c r="M60" s="279">
        <f t="shared" si="28"/>
        <v>17052.300000000003</v>
      </c>
      <c r="N60" s="279">
        <f t="shared" si="28"/>
        <v>48280.799999999996</v>
      </c>
      <c r="O60" s="124">
        <f t="shared" si="28"/>
        <v>51081.0864</v>
      </c>
      <c r="P60" s="73">
        <f t="shared" si="28"/>
        <v>53890.546151999995</v>
      </c>
    </row>
    <row r="61" spans="1:19" ht="24.75" thickBot="1">
      <c r="A61" s="250" t="s">
        <v>105</v>
      </c>
      <c r="B61" s="486" t="s">
        <v>430</v>
      </c>
      <c r="C61" s="301">
        <v>993</v>
      </c>
      <c r="D61" s="173" t="s">
        <v>247</v>
      </c>
      <c r="E61" s="173" t="s">
        <v>517</v>
      </c>
      <c r="F61" s="173" t="s">
        <v>311</v>
      </c>
      <c r="G61" s="173"/>
      <c r="H61" s="235">
        <f>[2]роспись!H70</f>
        <v>796</v>
      </c>
      <c r="I61" s="235">
        <v>459.2</v>
      </c>
      <c r="J61" s="235">
        <v>796</v>
      </c>
      <c r="K61" s="172">
        <f>6469.6+600</f>
        <v>7069.6</v>
      </c>
      <c r="L61" s="284">
        <v>2772.6</v>
      </c>
      <c r="M61" s="285">
        <v>7069.6</v>
      </c>
      <c r="N61" s="172">
        <f>48494.7-213.9</f>
        <v>48280.799999999996</v>
      </c>
      <c r="O61" s="121">
        <f>N61*1.058</f>
        <v>51081.0864</v>
      </c>
      <c r="P61" s="27">
        <f>O61*1.055</f>
        <v>53890.546151999995</v>
      </c>
    </row>
    <row r="62" spans="1:19" ht="36.75" hidden="1" thickBot="1">
      <c r="A62" s="189" t="s">
        <v>237</v>
      </c>
      <c r="B62" s="487" t="s">
        <v>244</v>
      </c>
      <c r="C62" s="194">
        <v>993</v>
      </c>
      <c r="D62" s="190" t="s">
        <v>247</v>
      </c>
      <c r="E62" s="190" t="s">
        <v>249</v>
      </c>
      <c r="F62" s="190" t="s">
        <v>238</v>
      </c>
      <c r="G62" s="217"/>
      <c r="H62" s="218">
        <f>H63</f>
        <v>704</v>
      </c>
      <c r="I62" s="218">
        <f>I63</f>
        <v>339.3</v>
      </c>
      <c r="J62" s="218">
        <f>J63</f>
        <v>704</v>
      </c>
      <c r="K62" s="166">
        <v>11982.7</v>
      </c>
      <c r="L62" s="166">
        <v>0</v>
      </c>
      <c r="M62" s="166">
        <v>9982.7000000000007</v>
      </c>
      <c r="N62" s="166"/>
      <c r="O62" s="108"/>
      <c r="P62" s="66"/>
    </row>
    <row r="63" spans="1:19" ht="18.600000000000001" customHeight="1" thickBot="1">
      <c r="A63" s="219" t="s">
        <v>82</v>
      </c>
      <c r="B63" s="482" t="s">
        <v>32</v>
      </c>
      <c r="C63" s="220" t="s">
        <v>103</v>
      </c>
      <c r="D63" s="220" t="s">
        <v>33</v>
      </c>
      <c r="E63" s="220"/>
      <c r="F63" s="220"/>
      <c r="G63" s="164"/>
      <c r="H63" s="160">
        <f>H64+H66+H68</f>
        <v>704</v>
      </c>
      <c r="I63" s="160">
        <f>I64+I66+I68</f>
        <v>339.3</v>
      </c>
      <c r="J63" s="160">
        <f>J64+J66+J68</f>
        <v>704</v>
      </c>
      <c r="K63" s="221">
        <f t="shared" ref="K63:M63" si="29">K64+K72+K79+K84</f>
        <v>14562.199999999999</v>
      </c>
      <c r="L63" s="221">
        <f t="shared" si="29"/>
        <v>8686.9000000000015</v>
      </c>
      <c r="M63" s="221">
        <f t="shared" si="29"/>
        <v>14562.199999999999</v>
      </c>
      <c r="N63" s="221">
        <f>N64+N72+N79+N84</f>
        <v>11857.5</v>
      </c>
      <c r="O63" s="123">
        <f>N63*1.058</f>
        <v>12545.235000000001</v>
      </c>
      <c r="P63" s="72">
        <f>O63*1.055</f>
        <v>13235.222925</v>
      </c>
    </row>
    <row r="64" spans="1:19" ht="36.950000000000003" hidden="1" customHeight="1" thickBot="1">
      <c r="A64" s="195" t="s">
        <v>71</v>
      </c>
      <c r="B64" s="222" t="s">
        <v>334</v>
      </c>
      <c r="C64" s="196">
        <v>993</v>
      </c>
      <c r="D64" s="196" t="s">
        <v>86</v>
      </c>
      <c r="E64" s="196" t="s">
        <v>169</v>
      </c>
      <c r="F64" s="196"/>
      <c r="G64" s="157"/>
      <c r="H64" s="158">
        <f>H65</f>
        <v>204</v>
      </c>
      <c r="I64" s="158">
        <f>I65</f>
        <v>79.8</v>
      </c>
      <c r="J64" s="158">
        <f>J65</f>
        <v>204</v>
      </c>
      <c r="K64" s="197">
        <f t="shared" ref="K64:P64" si="30">K65+K67+K69</f>
        <v>1680.2</v>
      </c>
      <c r="L64" s="197">
        <f t="shared" si="30"/>
        <v>587.20000000000005</v>
      </c>
      <c r="M64" s="197">
        <f t="shared" si="30"/>
        <v>1680.2</v>
      </c>
      <c r="N64" s="197">
        <f t="shared" si="30"/>
        <v>0</v>
      </c>
      <c r="O64" s="125">
        <f t="shared" si="30"/>
        <v>0</v>
      </c>
      <c r="P64" s="74">
        <f t="shared" si="30"/>
        <v>0</v>
      </c>
    </row>
    <row r="65" spans="1:17" ht="36" hidden="1">
      <c r="A65" s="191" t="s">
        <v>72</v>
      </c>
      <c r="B65" s="488" t="s">
        <v>335</v>
      </c>
      <c r="C65" s="192">
        <v>993</v>
      </c>
      <c r="D65" s="192" t="s">
        <v>86</v>
      </c>
      <c r="E65" s="192" t="s">
        <v>177</v>
      </c>
      <c r="F65" s="192"/>
      <c r="G65" s="157"/>
      <c r="H65" s="158">
        <f>[2]роспись!H75</f>
        <v>204</v>
      </c>
      <c r="I65" s="158">
        <v>79.8</v>
      </c>
      <c r="J65" s="158">
        <v>204</v>
      </c>
      <c r="K65" s="193">
        <f>K66</f>
        <v>411.1</v>
      </c>
      <c r="L65" s="193">
        <f>L66</f>
        <v>0</v>
      </c>
      <c r="M65" s="193">
        <f>M66</f>
        <v>411.1</v>
      </c>
      <c r="N65" s="159"/>
      <c r="O65" s="121"/>
      <c r="P65" s="27"/>
    </row>
    <row r="66" spans="1:17" ht="44.1" hidden="1" customHeight="1">
      <c r="A66" s="186" t="s">
        <v>73</v>
      </c>
      <c r="B66" s="435" t="s">
        <v>310</v>
      </c>
      <c r="C66" s="157">
        <v>993</v>
      </c>
      <c r="D66" s="157" t="s">
        <v>86</v>
      </c>
      <c r="E66" s="157" t="s">
        <v>177</v>
      </c>
      <c r="F66" s="157" t="s">
        <v>311</v>
      </c>
      <c r="G66" s="157"/>
      <c r="H66" s="158">
        <f>H67</f>
        <v>370</v>
      </c>
      <c r="I66" s="158">
        <f t="shared" ref="I66:P67" si="31">I67</f>
        <v>199.5</v>
      </c>
      <c r="J66" s="158">
        <f t="shared" si="31"/>
        <v>370</v>
      </c>
      <c r="K66" s="159">
        <v>411.1</v>
      </c>
      <c r="L66" s="198"/>
      <c r="M66" s="199">
        <v>411.1</v>
      </c>
      <c r="N66" s="159">
        <f t="shared" si="31"/>
        <v>0</v>
      </c>
      <c r="O66" s="121">
        <f t="shared" si="31"/>
        <v>0</v>
      </c>
      <c r="P66" s="27">
        <f t="shared" si="31"/>
        <v>0</v>
      </c>
    </row>
    <row r="67" spans="1:17" ht="17.45" hidden="1" customHeight="1">
      <c r="A67" s="186" t="s">
        <v>336</v>
      </c>
      <c r="B67" s="450" t="s">
        <v>337</v>
      </c>
      <c r="C67" s="157">
        <v>992</v>
      </c>
      <c r="D67" s="157" t="s">
        <v>338</v>
      </c>
      <c r="E67" s="157" t="s">
        <v>339</v>
      </c>
      <c r="F67" s="157"/>
      <c r="G67" s="157"/>
      <c r="H67" s="158">
        <f>[2]роспись!H76</f>
        <v>370</v>
      </c>
      <c r="I67" s="158">
        <v>199.5</v>
      </c>
      <c r="J67" s="158">
        <v>370</v>
      </c>
      <c r="K67" s="159">
        <f>K68</f>
        <v>656.9</v>
      </c>
      <c r="L67" s="159">
        <f t="shared" si="31"/>
        <v>587.20000000000005</v>
      </c>
      <c r="M67" s="159">
        <v>656.9</v>
      </c>
      <c r="N67" s="159">
        <f t="shared" si="31"/>
        <v>0</v>
      </c>
      <c r="O67" s="104">
        <f t="shared" si="31"/>
        <v>0</v>
      </c>
      <c r="P67" s="63">
        <f t="shared" si="31"/>
        <v>0</v>
      </c>
    </row>
    <row r="68" spans="1:17" ht="24" hidden="1">
      <c r="A68" s="186" t="s">
        <v>340</v>
      </c>
      <c r="B68" s="450" t="s">
        <v>310</v>
      </c>
      <c r="C68" s="157">
        <v>992</v>
      </c>
      <c r="D68" s="157" t="s">
        <v>338</v>
      </c>
      <c r="E68" s="157" t="s">
        <v>339</v>
      </c>
      <c r="F68" s="157" t="s">
        <v>311</v>
      </c>
      <c r="G68" s="157"/>
      <c r="H68" s="158">
        <f>H69</f>
        <v>130</v>
      </c>
      <c r="I68" s="158">
        <f t="shared" ref="I68:P69" si="32">I69</f>
        <v>60</v>
      </c>
      <c r="J68" s="158">
        <f t="shared" si="32"/>
        <v>130</v>
      </c>
      <c r="K68" s="159">
        <v>656.9</v>
      </c>
      <c r="L68" s="158">
        <v>587.20000000000005</v>
      </c>
      <c r="M68" s="158">
        <f t="shared" si="32"/>
        <v>612.20000000000005</v>
      </c>
      <c r="N68" s="159">
        <f t="shared" si="32"/>
        <v>0</v>
      </c>
      <c r="O68" s="42">
        <f t="shared" si="32"/>
        <v>0</v>
      </c>
      <c r="P68" s="27">
        <f t="shared" si="32"/>
        <v>0</v>
      </c>
    </row>
    <row r="69" spans="1:17" ht="16.5" hidden="1" customHeight="1">
      <c r="A69" s="186" t="s">
        <v>341</v>
      </c>
      <c r="B69" s="450" t="s">
        <v>342</v>
      </c>
      <c r="C69" s="157">
        <v>992</v>
      </c>
      <c r="D69" s="157" t="s">
        <v>338</v>
      </c>
      <c r="E69" s="157" t="s">
        <v>343</v>
      </c>
      <c r="F69" s="157"/>
      <c r="G69" s="157"/>
      <c r="H69" s="158">
        <f>[2]роспись!H77</f>
        <v>130</v>
      </c>
      <c r="I69" s="158">
        <v>60</v>
      </c>
      <c r="J69" s="158">
        <v>130</v>
      </c>
      <c r="K69" s="159">
        <f>K70</f>
        <v>612.20000000000005</v>
      </c>
      <c r="L69" s="159">
        <f t="shared" si="32"/>
        <v>0</v>
      </c>
      <c r="M69" s="159">
        <f t="shared" si="32"/>
        <v>612.20000000000005</v>
      </c>
      <c r="N69" s="159">
        <f t="shared" si="32"/>
        <v>0</v>
      </c>
      <c r="O69" s="104">
        <f t="shared" si="32"/>
        <v>0</v>
      </c>
      <c r="P69" s="63">
        <f t="shared" si="32"/>
        <v>0</v>
      </c>
    </row>
    <row r="70" spans="1:17" ht="24" hidden="1">
      <c r="A70" s="189" t="s">
        <v>344</v>
      </c>
      <c r="B70" s="487" t="s">
        <v>310</v>
      </c>
      <c r="C70" s="190">
        <v>992</v>
      </c>
      <c r="D70" s="190" t="s">
        <v>338</v>
      </c>
      <c r="E70" s="190" t="s">
        <v>343</v>
      </c>
      <c r="F70" s="190" t="s">
        <v>311</v>
      </c>
      <c r="G70" s="217"/>
      <c r="H70" s="218">
        <f>H72</f>
        <v>1077.7</v>
      </c>
      <c r="I70" s="218">
        <f>I72</f>
        <v>566.29999999999995</v>
      </c>
      <c r="J70" s="218">
        <f>J72</f>
        <v>1077.7</v>
      </c>
      <c r="K70" s="166">
        <v>612.20000000000005</v>
      </c>
      <c r="L70" s="166"/>
      <c r="M70" s="166">
        <v>612.20000000000005</v>
      </c>
      <c r="N70" s="166"/>
      <c r="O70" s="108"/>
      <c r="P70" s="66"/>
    </row>
    <row r="71" spans="1:17" ht="14.25" thickBot="1">
      <c r="A71" s="407" t="s">
        <v>71</v>
      </c>
      <c r="B71" s="489" t="s">
        <v>504</v>
      </c>
      <c r="C71" s="408" t="s">
        <v>103</v>
      </c>
      <c r="D71" s="408" t="s">
        <v>86</v>
      </c>
      <c r="E71" s="408"/>
      <c r="F71" s="408"/>
      <c r="G71" s="242"/>
      <c r="H71" s="261"/>
      <c r="I71" s="261"/>
      <c r="J71" s="261"/>
      <c r="K71" s="409"/>
      <c r="L71" s="409"/>
      <c r="M71" s="409"/>
      <c r="N71" s="409"/>
      <c r="O71" s="358"/>
      <c r="P71" s="359"/>
    </row>
    <row r="72" spans="1:17" ht="42" customHeight="1" thickBot="1">
      <c r="A72" s="410" t="s">
        <v>72</v>
      </c>
      <c r="B72" s="411" t="s">
        <v>345</v>
      </c>
      <c r="C72" s="412">
        <v>993</v>
      </c>
      <c r="D72" s="412" t="s">
        <v>86</v>
      </c>
      <c r="E72" s="412" t="s">
        <v>170</v>
      </c>
      <c r="F72" s="412"/>
      <c r="G72" s="252"/>
      <c r="H72" s="271">
        <f t="shared" ref="H72:P73" si="33">H73</f>
        <v>1077.7</v>
      </c>
      <c r="I72" s="271">
        <f t="shared" si="33"/>
        <v>566.29999999999995</v>
      </c>
      <c r="J72" s="271">
        <f t="shared" si="33"/>
        <v>1077.7</v>
      </c>
      <c r="K72" s="413">
        <f t="shared" ref="K72:P72" si="34">K73++K75+K77</f>
        <v>6501.6</v>
      </c>
      <c r="L72" s="413">
        <f t="shared" si="34"/>
        <v>4178.7000000000007</v>
      </c>
      <c r="M72" s="413">
        <f t="shared" si="34"/>
        <v>6501.6</v>
      </c>
      <c r="N72" s="413">
        <f t="shared" si="34"/>
        <v>7599.2</v>
      </c>
      <c r="O72" s="125">
        <f t="shared" si="34"/>
        <v>0</v>
      </c>
      <c r="P72" s="74">
        <f t="shared" si="34"/>
        <v>0</v>
      </c>
    </row>
    <row r="73" spans="1:17" ht="35.450000000000003" customHeight="1">
      <c r="A73" s="416" t="s">
        <v>73</v>
      </c>
      <c r="B73" s="417" t="s">
        <v>346</v>
      </c>
      <c r="C73" s="200" t="s">
        <v>103</v>
      </c>
      <c r="D73" s="200" t="s">
        <v>86</v>
      </c>
      <c r="E73" s="200" t="s">
        <v>178</v>
      </c>
      <c r="F73" s="200"/>
      <c r="G73" s="173"/>
      <c r="H73" s="173">
        <f t="shared" si="33"/>
        <v>1077.7</v>
      </c>
      <c r="I73" s="235">
        <f t="shared" si="33"/>
        <v>566.29999999999995</v>
      </c>
      <c r="J73" s="235">
        <f t="shared" si="33"/>
        <v>1077.7</v>
      </c>
      <c r="K73" s="223">
        <f t="shared" si="33"/>
        <v>1800</v>
      </c>
      <c r="L73" s="223">
        <f t="shared" si="33"/>
        <v>1632.4</v>
      </c>
      <c r="M73" s="223">
        <f t="shared" si="33"/>
        <v>1800</v>
      </c>
      <c r="N73" s="223">
        <v>450</v>
      </c>
      <c r="O73" s="126">
        <f t="shared" si="33"/>
        <v>0</v>
      </c>
      <c r="P73" s="75">
        <f t="shared" si="33"/>
        <v>0</v>
      </c>
    </row>
    <row r="74" spans="1:17" ht="30.75" customHeight="1">
      <c r="A74" s="224" t="s">
        <v>505</v>
      </c>
      <c r="B74" s="451" t="s">
        <v>430</v>
      </c>
      <c r="C74" s="161" t="s">
        <v>103</v>
      </c>
      <c r="D74" s="161" t="s">
        <v>86</v>
      </c>
      <c r="E74" s="161" t="s">
        <v>178</v>
      </c>
      <c r="F74" s="161" t="s">
        <v>311</v>
      </c>
      <c r="G74" s="157"/>
      <c r="H74" s="157">
        <f>[2]роспись!H79</f>
        <v>1077.7</v>
      </c>
      <c r="I74" s="158">
        <v>566.29999999999995</v>
      </c>
      <c r="J74" s="158">
        <v>1077.7</v>
      </c>
      <c r="K74" s="225">
        <v>1800</v>
      </c>
      <c r="L74" s="198">
        <v>1632.4</v>
      </c>
      <c r="M74" s="199">
        <v>1800</v>
      </c>
      <c r="N74" s="159">
        <v>450</v>
      </c>
      <c r="O74" s="121"/>
      <c r="P74" s="27"/>
      <c r="Q74" s="36"/>
    </row>
    <row r="75" spans="1:17" ht="28.5" customHeight="1">
      <c r="A75" s="224" t="s">
        <v>392</v>
      </c>
      <c r="B75" s="451" t="s">
        <v>87</v>
      </c>
      <c r="C75" s="201" t="s">
        <v>103</v>
      </c>
      <c r="D75" s="161" t="s">
        <v>86</v>
      </c>
      <c r="E75" s="161" t="s">
        <v>179</v>
      </c>
      <c r="F75" s="161"/>
      <c r="G75" s="173"/>
      <c r="H75" s="235">
        <f>H79</f>
        <v>780.80000000000007</v>
      </c>
      <c r="I75" s="235">
        <f>I79</f>
        <v>457.5</v>
      </c>
      <c r="J75" s="235">
        <f>J79</f>
        <v>704.80000000000007</v>
      </c>
      <c r="K75" s="225">
        <f t="shared" ref="K75:P75" si="35">K76</f>
        <v>1122</v>
      </c>
      <c r="L75" s="225">
        <f t="shared" si="35"/>
        <v>475</v>
      </c>
      <c r="M75" s="225">
        <f t="shared" si="35"/>
        <v>1122</v>
      </c>
      <c r="N75" s="225">
        <v>2500</v>
      </c>
      <c r="O75" s="127">
        <f t="shared" si="35"/>
        <v>0</v>
      </c>
      <c r="P75" s="76">
        <f t="shared" si="35"/>
        <v>0</v>
      </c>
    </row>
    <row r="76" spans="1:17" ht="24">
      <c r="A76" s="224" t="s">
        <v>506</v>
      </c>
      <c r="B76" s="451" t="s">
        <v>430</v>
      </c>
      <c r="C76" s="201" t="s">
        <v>103</v>
      </c>
      <c r="D76" s="161" t="s">
        <v>86</v>
      </c>
      <c r="E76" s="161" t="s">
        <v>179</v>
      </c>
      <c r="F76" s="161" t="s">
        <v>311</v>
      </c>
      <c r="G76" s="173"/>
      <c r="H76" s="235">
        <f>H78</f>
        <v>0</v>
      </c>
      <c r="I76" s="235">
        <f>I78</f>
        <v>0</v>
      </c>
      <c r="J76" s="235">
        <f>J78</f>
        <v>0</v>
      </c>
      <c r="K76" s="225">
        <v>1122</v>
      </c>
      <c r="L76" s="225">
        <v>475</v>
      </c>
      <c r="M76" s="225">
        <v>1122</v>
      </c>
      <c r="N76" s="225">
        <v>2500</v>
      </c>
      <c r="O76" s="127"/>
      <c r="P76" s="76"/>
    </row>
    <row r="77" spans="1:17" ht="18" customHeight="1">
      <c r="A77" s="224" t="s">
        <v>507</v>
      </c>
      <c r="B77" s="452" t="s">
        <v>351</v>
      </c>
      <c r="C77" s="415">
        <v>993</v>
      </c>
      <c r="D77" s="161" t="s">
        <v>86</v>
      </c>
      <c r="E77" s="161" t="s">
        <v>227</v>
      </c>
      <c r="F77" s="161"/>
      <c r="G77" s="173"/>
      <c r="H77" s="235"/>
      <c r="I77" s="235"/>
      <c r="J77" s="235"/>
      <c r="K77" s="225">
        <f t="shared" ref="K77:P77" si="36">K78</f>
        <v>3579.6</v>
      </c>
      <c r="L77" s="225">
        <f t="shared" si="36"/>
        <v>2071.3000000000002</v>
      </c>
      <c r="M77" s="225">
        <f t="shared" si="36"/>
        <v>3579.6</v>
      </c>
      <c r="N77" s="225">
        <f t="shared" si="36"/>
        <v>4649.2</v>
      </c>
      <c r="O77" s="127">
        <f t="shared" si="36"/>
        <v>0</v>
      </c>
      <c r="P77" s="76">
        <f t="shared" si="36"/>
        <v>0</v>
      </c>
    </row>
    <row r="78" spans="1:17" ht="24.75" thickBot="1">
      <c r="A78" s="226" t="s">
        <v>508</v>
      </c>
      <c r="B78" s="490" t="s">
        <v>430</v>
      </c>
      <c r="C78" s="202">
        <v>993</v>
      </c>
      <c r="D78" s="206" t="s">
        <v>86</v>
      </c>
      <c r="E78" s="206" t="s">
        <v>227</v>
      </c>
      <c r="F78" s="206" t="s">
        <v>311</v>
      </c>
      <c r="G78" s="286"/>
      <c r="H78" s="414"/>
      <c r="I78" s="491"/>
      <c r="J78" s="491"/>
      <c r="K78" s="227">
        <v>3579.6</v>
      </c>
      <c r="L78" s="236">
        <v>2071.3000000000002</v>
      </c>
      <c r="M78" s="237">
        <v>3579.6</v>
      </c>
      <c r="N78" s="172">
        <v>4649.2</v>
      </c>
      <c r="O78" s="121"/>
      <c r="P78" s="27"/>
    </row>
    <row r="79" spans="1:17" ht="26.25" customHeight="1" thickBot="1">
      <c r="A79" s="410" t="s">
        <v>336</v>
      </c>
      <c r="B79" s="411" t="s">
        <v>353</v>
      </c>
      <c r="C79" s="412">
        <v>993</v>
      </c>
      <c r="D79" s="412" t="s">
        <v>86</v>
      </c>
      <c r="E79" s="412" t="s">
        <v>171</v>
      </c>
      <c r="F79" s="412"/>
      <c r="G79" s="244"/>
      <c r="H79" s="270">
        <f>H80+H84</f>
        <v>780.80000000000007</v>
      </c>
      <c r="I79" s="270">
        <f>I80+I84</f>
        <v>457.5</v>
      </c>
      <c r="J79" s="270">
        <f>J80+J84</f>
        <v>704.80000000000007</v>
      </c>
      <c r="K79" s="413">
        <f t="shared" ref="K79:P79" si="37">K80+K82</f>
        <v>571.6</v>
      </c>
      <c r="L79" s="413">
        <f t="shared" si="37"/>
        <v>100</v>
      </c>
      <c r="M79" s="413">
        <f t="shared" si="37"/>
        <v>571.6</v>
      </c>
      <c r="N79" s="413">
        <f t="shared" si="37"/>
        <v>797.7</v>
      </c>
      <c r="O79" s="125">
        <f t="shared" si="37"/>
        <v>0</v>
      </c>
      <c r="P79" s="74">
        <f t="shared" si="37"/>
        <v>0</v>
      </c>
    </row>
    <row r="80" spans="1:17" ht="27.95" customHeight="1">
      <c r="A80" s="418" t="s">
        <v>340</v>
      </c>
      <c r="B80" s="492" t="s">
        <v>354</v>
      </c>
      <c r="C80" s="204" t="s">
        <v>103</v>
      </c>
      <c r="D80" s="200" t="s">
        <v>86</v>
      </c>
      <c r="E80" s="200" t="s">
        <v>180</v>
      </c>
      <c r="F80" s="200"/>
      <c r="G80" s="173"/>
      <c r="H80" s="235">
        <f t="shared" ref="H80:P80" si="38">H81</f>
        <v>552.70000000000005</v>
      </c>
      <c r="I80" s="235">
        <f t="shared" si="38"/>
        <v>356.1</v>
      </c>
      <c r="J80" s="235">
        <f t="shared" si="38"/>
        <v>552.70000000000005</v>
      </c>
      <c r="K80" s="223">
        <f t="shared" si="38"/>
        <v>150</v>
      </c>
      <c r="L80" s="223">
        <f t="shared" si="38"/>
        <v>100</v>
      </c>
      <c r="M80" s="223">
        <f t="shared" si="38"/>
        <v>150</v>
      </c>
      <c r="N80" s="223">
        <f t="shared" si="38"/>
        <v>297.7</v>
      </c>
      <c r="O80" s="126">
        <f t="shared" si="38"/>
        <v>0</v>
      </c>
      <c r="P80" s="75">
        <f t="shared" si="38"/>
        <v>0</v>
      </c>
    </row>
    <row r="81" spans="1:17" ht="25.5" customHeight="1">
      <c r="A81" s="228" t="s">
        <v>509</v>
      </c>
      <c r="B81" s="493" t="s">
        <v>430</v>
      </c>
      <c r="C81" s="204" t="s">
        <v>103</v>
      </c>
      <c r="D81" s="200" t="s">
        <v>86</v>
      </c>
      <c r="E81" s="200" t="s">
        <v>180</v>
      </c>
      <c r="F81" s="200" t="s">
        <v>311</v>
      </c>
      <c r="G81" s="173"/>
      <c r="H81" s="235">
        <f>[2]роспись!H84</f>
        <v>552.70000000000005</v>
      </c>
      <c r="I81" s="235">
        <v>356.1</v>
      </c>
      <c r="J81" s="235">
        <v>552.70000000000005</v>
      </c>
      <c r="K81" s="223">
        <v>150</v>
      </c>
      <c r="L81" s="229">
        <v>100</v>
      </c>
      <c r="M81" s="230">
        <v>150</v>
      </c>
      <c r="N81" s="172">
        <v>297.7</v>
      </c>
      <c r="O81" s="121"/>
      <c r="P81" s="27"/>
    </row>
    <row r="82" spans="1:17" ht="25.5" customHeight="1">
      <c r="A82" s="226" t="s">
        <v>510</v>
      </c>
      <c r="B82" s="494" t="s">
        <v>357</v>
      </c>
      <c r="C82" s="205" t="s">
        <v>103</v>
      </c>
      <c r="D82" s="206" t="s">
        <v>86</v>
      </c>
      <c r="E82" s="206" t="s">
        <v>358</v>
      </c>
      <c r="F82" s="206"/>
      <c r="G82" s="173"/>
      <c r="H82" s="235"/>
      <c r="I82" s="235"/>
      <c r="J82" s="235"/>
      <c r="K82" s="227">
        <f t="shared" ref="K82:P82" si="39">K83</f>
        <v>421.6</v>
      </c>
      <c r="L82" s="227">
        <f t="shared" si="39"/>
        <v>0</v>
      </c>
      <c r="M82" s="227">
        <f t="shared" si="39"/>
        <v>421.6</v>
      </c>
      <c r="N82" s="227">
        <f t="shared" si="39"/>
        <v>500</v>
      </c>
      <c r="O82" s="128">
        <f t="shared" si="39"/>
        <v>0</v>
      </c>
      <c r="P82" s="77">
        <f t="shared" si="39"/>
        <v>0</v>
      </c>
    </row>
    <row r="83" spans="1:17" ht="30" customHeight="1" thickBot="1">
      <c r="A83" s="226" t="s">
        <v>511</v>
      </c>
      <c r="B83" s="494" t="s">
        <v>430</v>
      </c>
      <c r="C83" s="205" t="s">
        <v>103</v>
      </c>
      <c r="D83" s="206" t="s">
        <v>86</v>
      </c>
      <c r="E83" s="206" t="s">
        <v>358</v>
      </c>
      <c r="F83" s="206" t="s">
        <v>311</v>
      </c>
      <c r="G83" s="173"/>
      <c r="H83" s="235"/>
      <c r="I83" s="235"/>
      <c r="J83" s="235"/>
      <c r="K83" s="227">
        <v>421.6</v>
      </c>
      <c r="L83" s="231"/>
      <c r="M83" s="231">
        <v>421.6</v>
      </c>
      <c r="N83" s="172">
        <f>300+200</f>
        <v>500</v>
      </c>
      <c r="O83" s="121"/>
      <c r="P83" s="27"/>
    </row>
    <row r="84" spans="1:17" ht="24.95" customHeight="1" thickBot="1">
      <c r="A84" s="410" t="s">
        <v>341</v>
      </c>
      <c r="B84" s="411" t="s">
        <v>360</v>
      </c>
      <c r="C84" s="412">
        <v>993</v>
      </c>
      <c r="D84" s="412" t="s">
        <v>86</v>
      </c>
      <c r="E84" s="412" t="s">
        <v>172</v>
      </c>
      <c r="F84" s="412"/>
      <c r="G84" s="244"/>
      <c r="H84" s="270">
        <f>H85</f>
        <v>228.1</v>
      </c>
      <c r="I84" s="270">
        <f>I85</f>
        <v>101.4</v>
      </c>
      <c r="J84" s="270">
        <f>J85</f>
        <v>152.1</v>
      </c>
      <c r="K84" s="413">
        <f t="shared" ref="K84:P84" si="40">K85+K87+K89</f>
        <v>5808.7999999999993</v>
      </c>
      <c r="L84" s="413">
        <f t="shared" si="40"/>
        <v>3821.0000000000005</v>
      </c>
      <c r="M84" s="413">
        <f t="shared" si="40"/>
        <v>5808.7999999999993</v>
      </c>
      <c r="N84" s="413">
        <f t="shared" si="40"/>
        <v>3460.6000000000004</v>
      </c>
      <c r="O84" s="125">
        <f t="shared" si="40"/>
        <v>0</v>
      </c>
      <c r="P84" s="74">
        <f t="shared" si="40"/>
        <v>0</v>
      </c>
    </row>
    <row r="85" spans="1:17" ht="29.1" customHeight="1">
      <c r="A85" s="418" t="s">
        <v>344</v>
      </c>
      <c r="B85" s="492" t="s">
        <v>269</v>
      </c>
      <c r="C85" s="204" t="s">
        <v>103</v>
      </c>
      <c r="D85" s="200" t="s">
        <v>86</v>
      </c>
      <c r="E85" s="200" t="s">
        <v>181</v>
      </c>
      <c r="F85" s="200"/>
      <c r="G85" s="173"/>
      <c r="H85" s="235">
        <f>[2]роспись!H96</f>
        <v>228.1</v>
      </c>
      <c r="I85" s="235">
        <v>101.4</v>
      </c>
      <c r="J85" s="235">
        <v>152.1</v>
      </c>
      <c r="K85" s="419">
        <f t="shared" ref="K85:P85" si="41">K86</f>
        <v>3232.7</v>
      </c>
      <c r="L85" s="419">
        <f t="shared" si="41"/>
        <v>1940.7</v>
      </c>
      <c r="M85" s="419">
        <f t="shared" si="41"/>
        <v>3232.7</v>
      </c>
      <c r="N85" s="419">
        <f>N86</f>
        <v>2304.4</v>
      </c>
      <c r="O85" s="124">
        <f t="shared" si="41"/>
        <v>0</v>
      </c>
      <c r="P85" s="73">
        <f t="shared" si="41"/>
        <v>0</v>
      </c>
    </row>
    <row r="86" spans="1:17" ht="24">
      <c r="A86" s="224" t="s">
        <v>512</v>
      </c>
      <c r="B86" s="443" t="s">
        <v>430</v>
      </c>
      <c r="C86" s="201" t="s">
        <v>103</v>
      </c>
      <c r="D86" s="161" t="s">
        <v>86</v>
      </c>
      <c r="E86" s="161" t="s">
        <v>181</v>
      </c>
      <c r="F86" s="161" t="s">
        <v>311</v>
      </c>
      <c r="G86" s="173"/>
      <c r="H86" s="235">
        <f>H87</f>
        <v>400</v>
      </c>
      <c r="I86" s="235">
        <f>I87</f>
        <v>220</v>
      </c>
      <c r="J86" s="235">
        <f>J87</f>
        <v>400</v>
      </c>
      <c r="K86" s="172">
        <f>3844.9-612.2</f>
        <v>3232.7</v>
      </c>
      <c r="L86" s="172">
        <v>1940.7</v>
      </c>
      <c r="M86" s="172">
        <v>3232.7</v>
      </c>
      <c r="N86" s="172">
        <f>2444.7-146.1+5.8</f>
        <v>2304.4</v>
      </c>
      <c r="O86" s="104"/>
      <c r="P86" s="63"/>
    </row>
    <row r="87" spans="1:17" ht="13.5">
      <c r="A87" s="224" t="s">
        <v>513</v>
      </c>
      <c r="B87" s="443" t="s">
        <v>362</v>
      </c>
      <c r="C87" s="201" t="s">
        <v>103</v>
      </c>
      <c r="D87" s="161" t="s">
        <v>86</v>
      </c>
      <c r="E87" s="161" t="s">
        <v>182</v>
      </c>
      <c r="F87" s="161"/>
      <c r="G87" s="173"/>
      <c r="H87" s="235">
        <f>H88</f>
        <v>400</v>
      </c>
      <c r="I87" s="235">
        <f t="shared" ref="I87:P87" si="42">I88</f>
        <v>220</v>
      </c>
      <c r="J87" s="235">
        <f t="shared" si="42"/>
        <v>400</v>
      </c>
      <c r="K87" s="172">
        <v>2076.1</v>
      </c>
      <c r="L87" s="235">
        <f t="shared" si="42"/>
        <v>1865.4</v>
      </c>
      <c r="M87" s="235">
        <f t="shared" si="42"/>
        <v>2076.1</v>
      </c>
      <c r="N87" s="172">
        <f t="shared" si="42"/>
        <v>656.2</v>
      </c>
      <c r="O87" s="43">
        <f t="shared" si="42"/>
        <v>0</v>
      </c>
      <c r="P87" s="29">
        <f t="shared" si="42"/>
        <v>0</v>
      </c>
    </row>
    <row r="88" spans="1:17" ht="26.45" customHeight="1">
      <c r="A88" s="224" t="s">
        <v>514</v>
      </c>
      <c r="B88" s="443" t="s">
        <v>430</v>
      </c>
      <c r="C88" s="201" t="s">
        <v>103</v>
      </c>
      <c r="D88" s="161" t="s">
        <v>86</v>
      </c>
      <c r="E88" s="161" t="s">
        <v>182</v>
      </c>
      <c r="F88" s="161" t="s">
        <v>311</v>
      </c>
      <c r="G88" s="173"/>
      <c r="H88" s="235">
        <f>H89</f>
        <v>400</v>
      </c>
      <c r="I88" s="235">
        <f>I89</f>
        <v>220</v>
      </c>
      <c r="J88" s="235">
        <f>J89</f>
        <v>400</v>
      </c>
      <c r="K88" s="172">
        <v>2076.1</v>
      </c>
      <c r="L88" s="172">
        <v>1865.4</v>
      </c>
      <c r="M88" s="172">
        <v>2076.1</v>
      </c>
      <c r="N88" s="172">
        <f>302+360-5.8</f>
        <v>656.2</v>
      </c>
      <c r="O88" s="104"/>
      <c r="P88" s="63"/>
    </row>
    <row r="89" spans="1:17" ht="13.5">
      <c r="A89" s="224" t="s">
        <v>515</v>
      </c>
      <c r="B89" s="443" t="s">
        <v>88</v>
      </c>
      <c r="C89" s="201" t="s">
        <v>103</v>
      </c>
      <c r="D89" s="161" t="s">
        <v>86</v>
      </c>
      <c r="E89" s="161" t="s">
        <v>268</v>
      </c>
      <c r="F89" s="161"/>
      <c r="G89" s="173"/>
      <c r="H89" s="235">
        <v>400</v>
      </c>
      <c r="I89" s="235">
        <v>220</v>
      </c>
      <c r="J89" s="235">
        <v>400</v>
      </c>
      <c r="K89" s="172">
        <f t="shared" ref="K89:P89" si="43">K90</f>
        <v>500</v>
      </c>
      <c r="L89" s="172">
        <f t="shared" si="43"/>
        <v>14.9</v>
      </c>
      <c r="M89" s="172">
        <f t="shared" si="43"/>
        <v>500</v>
      </c>
      <c r="N89" s="172">
        <f t="shared" si="43"/>
        <v>500</v>
      </c>
      <c r="O89" s="104">
        <f t="shared" si="43"/>
        <v>0</v>
      </c>
      <c r="P89" s="63">
        <f t="shared" si="43"/>
        <v>0</v>
      </c>
    </row>
    <row r="90" spans="1:17" ht="24.75" thickBot="1">
      <c r="A90" s="226" t="s">
        <v>516</v>
      </c>
      <c r="B90" s="493" t="s">
        <v>430</v>
      </c>
      <c r="C90" s="205" t="s">
        <v>103</v>
      </c>
      <c r="D90" s="206" t="s">
        <v>86</v>
      </c>
      <c r="E90" s="206" t="s">
        <v>268</v>
      </c>
      <c r="F90" s="206" t="s">
        <v>311</v>
      </c>
      <c r="G90" s="173"/>
      <c r="H90" s="235">
        <f>H95</f>
        <v>500</v>
      </c>
      <c r="I90" s="235">
        <f>I95</f>
        <v>309.39999999999998</v>
      </c>
      <c r="J90" s="235">
        <f>J95</f>
        <v>500</v>
      </c>
      <c r="K90" s="287">
        <v>500</v>
      </c>
      <c r="L90" s="287">
        <v>14.9</v>
      </c>
      <c r="M90" s="287">
        <v>500</v>
      </c>
      <c r="N90" s="287">
        <v>500</v>
      </c>
      <c r="O90" s="108"/>
      <c r="P90" s="66"/>
    </row>
    <row r="91" spans="1:17" ht="13.5" thickBot="1">
      <c r="A91" s="219" t="s">
        <v>42</v>
      </c>
      <c r="B91" s="482" t="s">
        <v>34</v>
      </c>
      <c r="C91" s="220" t="s">
        <v>103</v>
      </c>
      <c r="D91" s="220" t="s">
        <v>22</v>
      </c>
      <c r="E91" s="220"/>
      <c r="F91" s="220"/>
      <c r="G91" s="217"/>
      <c r="H91" s="218">
        <f>H95</f>
        <v>500</v>
      </c>
      <c r="I91" s="218">
        <f t="shared" ref="I91:P91" si="44">I95</f>
        <v>309.39999999999998</v>
      </c>
      <c r="J91" s="218">
        <f t="shared" si="44"/>
        <v>500</v>
      </c>
      <c r="K91" s="221">
        <f t="shared" si="44"/>
        <v>701</v>
      </c>
      <c r="L91" s="221">
        <f t="shared" si="44"/>
        <v>410.6</v>
      </c>
      <c r="M91" s="221">
        <f t="shared" si="44"/>
        <v>701</v>
      </c>
      <c r="N91" s="221">
        <f>N95+N92</f>
        <v>507.6</v>
      </c>
      <c r="O91" s="123">
        <f t="shared" si="44"/>
        <v>486.68000000000006</v>
      </c>
      <c r="P91" s="72">
        <f t="shared" si="44"/>
        <v>513.44740000000002</v>
      </c>
    </row>
    <row r="92" spans="1:17" ht="27.75" customHeight="1">
      <c r="A92" s="247" t="s">
        <v>138</v>
      </c>
      <c r="B92" s="260" t="s">
        <v>520</v>
      </c>
      <c r="C92" s="257" t="s">
        <v>103</v>
      </c>
      <c r="D92" s="257" t="s">
        <v>519</v>
      </c>
      <c r="E92" s="257"/>
      <c r="F92" s="257"/>
      <c r="G92" s="242"/>
      <c r="H92" s="261">
        <f>H95</f>
        <v>500</v>
      </c>
      <c r="I92" s="261">
        <f>I95</f>
        <v>309.39999999999998</v>
      </c>
      <c r="J92" s="261">
        <f>J95</f>
        <v>500</v>
      </c>
      <c r="K92" s="258">
        <f>K95+K97+K99</f>
        <v>1282</v>
      </c>
      <c r="L92" s="258">
        <f>L95+L97+L99</f>
        <v>721.2</v>
      </c>
      <c r="M92" s="258">
        <f>M95+M97+M99</f>
        <v>1282</v>
      </c>
      <c r="N92" s="258">
        <f>N93</f>
        <v>47.6</v>
      </c>
      <c r="O92" s="129">
        <f>O95+O97+O99</f>
        <v>846.40000000000009</v>
      </c>
      <c r="P92" s="78">
        <f>P95+P97+P99</f>
        <v>892.952</v>
      </c>
    </row>
    <row r="93" spans="1:17" ht="65.25" customHeight="1">
      <c r="A93" s="243" t="s">
        <v>83</v>
      </c>
      <c r="B93" s="254" t="s">
        <v>527</v>
      </c>
      <c r="C93" s="244" t="s">
        <v>103</v>
      </c>
      <c r="D93" s="244" t="s">
        <v>519</v>
      </c>
      <c r="E93" s="244" t="s">
        <v>526</v>
      </c>
      <c r="F93" s="244"/>
      <c r="G93" s="244"/>
      <c r="H93" s="270" t="e">
        <f>[2]роспись!H101</f>
        <v>#REF!</v>
      </c>
      <c r="I93" s="270">
        <v>309.39999999999998</v>
      </c>
      <c r="J93" s="270">
        <v>500</v>
      </c>
      <c r="K93" s="246">
        <f>K95</f>
        <v>701</v>
      </c>
      <c r="L93" s="246">
        <f>L95</f>
        <v>410.6</v>
      </c>
      <c r="M93" s="246">
        <f>M95</f>
        <v>701</v>
      </c>
      <c r="N93" s="246">
        <f>N94</f>
        <v>47.6</v>
      </c>
      <c r="O93" s="104">
        <f>O95</f>
        <v>486.68000000000006</v>
      </c>
      <c r="P93" s="63">
        <f>P95</f>
        <v>513.44740000000002</v>
      </c>
      <c r="Q93" s="36">
        <f>N46+N48+N89+N100+N120+N124</f>
        <v>1583.4</v>
      </c>
    </row>
    <row r="94" spans="1:17" ht="29.25" customHeight="1">
      <c r="A94" s="250" t="s">
        <v>116</v>
      </c>
      <c r="B94" s="447" t="s">
        <v>430</v>
      </c>
      <c r="C94" s="173" t="s">
        <v>103</v>
      </c>
      <c r="D94" s="173" t="s">
        <v>519</v>
      </c>
      <c r="E94" s="173" t="s">
        <v>526</v>
      </c>
      <c r="F94" s="173" t="s">
        <v>311</v>
      </c>
      <c r="G94" s="174"/>
      <c r="H94" s="175">
        <f>H6+H16</f>
        <v>101.5</v>
      </c>
      <c r="I94" s="175">
        <f>I6+I16</f>
        <v>0</v>
      </c>
      <c r="J94" s="175">
        <f>J6+J16</f>
        <v>0</v>
      </c>
      <c r="K94" s="172">
        <v>299</v>
      </c>
      <c r="L94" s="172">
        <v>243.6</v>
      </c>
      <c r="M94" s="172">
        <v>299</v>
      </c>
      <c r="N94" s="287">
        <v>47.6</v>
      </c>
      <c r="O94" s="108">
        <f t="shared" ref="O94" si="45">N94*1.058</f>
        <v>50.360800000000005</v>
      </c>
      <c r="P94" s="66">
        <f>O94*1.055</f>
        <v>53.130644000000004</v>
      </c>
    </row>
    <row r="95" spans="1:17" ht="18" customHeight="1">
      <c r="A95" s="247" t="s">
        <v>521</v>
      </c>
      <c r="B95" s="260" t="s">
        <v>101</v>
      </c>
      <c r="C95" s="257" t="s">
        <v>103</v>
      </c>
      <c r="D95" s="257" t="s">
        <v>23</v>
      </c>
      <c r="E95" s="257"/>
      <c r="F95" s="257"/>
      <c r="G95" s="242"/>
      <c r="H95" s="261">
        <f>H96</f>
        <v>500</v>
      </c>
      <c r="I95" s="261">
        <f>I96</f>
        <v>309.39999999999998</v>
      </c>
      <c r="J95" s="261">
        <f>J96</f>
        <v>500</v>
      </c>
      <c r="K95" s="258">
        <f t="shared" ref="K95:P95" si="46">K96+K98+K100</f>
        <v>701</v>
      </c>
      <c r="L95" s="258">
        <f t="shared" si="46"/>
        <v>410.6</v>
      </c>
      <c r="M95" s="258">
        <f t="shared" si="46"/>
        <v>701</v>
      </c>
      <c r="N95" s="528">
        <f>N96+N98+N100</f>
        <v>460</v>
      </c>
      <c r="O95" s="129">
        <f t="shared" si="46"/>
        <v>486.68000000000006</v>
      </c>
      <c r="P95" s="78">
        <f t="shared" si="46"/>
        <v>513.44740000000002</v>
      </c>
    </row>
    <row r="96" spans="1:17" ht="38.25" customHeight="1">
      <c r="A96" s="243" t="s">
        <v>522</v>
      </c>
      <c r="B96" s="254" t="s">
        <v>164</v>
      </c>
      <c r="C96" s="244" t="s">
        <v>103</v>
      </c>
      <c r="D96" s="244" t="s">
        <v>23</v>
      </c>
      <c r="E96" s="244" t="s">
        <v>162</v>
      </c>
      <c r="F96" s="244"/>
      <c r="G96" s="244"/>
      <c r="H96" s="270">
        <f>[2]роспись!H103</f>
        <v>500</v>
      </c>
      <c r="I96" s="270">
        <v>309.39999999999998</v>
      </c>
      <c r="J96" s="270">
        <v>500</v>
      </c>
      <c r="K96" s="246">
        <f t="shared" ref="K96:P96" si="47">K97</f>
        <v>299</v>
      </c>
      <c r="L96" s="246">
        <f t="shared" si="47"/>
        <v>243.6</v>
      </c>
      <c r="M96" s="246">
        <f t="shared" si="47"/>
        <v>299</v>
      </c>
      <c r="N96" s="246">
        <f t="shared" si="47"/>
        <v>340</v>
      </c>
      <c r="O96" s="104">
        <f t="shared" si="47"/>
        <v>359.72</v>
      </c>
      <c r="P96" s="63">
        <f t="shared" si="47"/>
        <v>379.50459999999998</v>
      </c>
      <c r="Q96" s="36">
        <f>N48+N50+N91+N102+N122+N126</f>
        <v>5579.6</v>
      </c>
    </row>
    <row r="97" spans="1:16" ht="25.5" customHeight="1">
      <c r="A97" s="250" t="s">
        <v>523</v>
      </c>
      <c r="B97" s="447" t="s">
        <v>430</v>
      </c>
      <c r="C97" s="173" t="s">
        <v>103</v>
      </c>
      <c r="D97" s="173" t="s">
        <v>23</v>
      </c>
      <c r="E97" s="173" t="s">
        <v>162</v>
      </c>
      <c r="F97" s="173" t="s">
        <v>311</v>
      </c>
      <c r="G97" s="174"/>
      <c r="H97" s="175" t="e">
        <f>H9+H19</f>
        <v>#REF!</v>
      </c>
      <c r="I97" s="175" t="e">
        <f>I9+I19</f>
        <v>#REF!</v>
      </c>
      <c r="J97" s="175" t="e">
        <f>J9+J19</f>
        <v>#REF!</v>
      </c>
      <c r="K97" s="172">
        <v>299</v>
      </c>
      <c r="L97" s="172">
        <v>243.6</v>
      </c>
      <c r="M97" s="172">
        <v>299</v>
      </c>
      <c r="N97" s="287">
        <v>340</v>
      </c>
      <c r="O97" s="108">
        <f t="shared" ref="O97:O99" si="48">N97*1.058</f>
        <v>359.72</v>
      </c>
      <c r="P97" s="66">
        <f>O97*1.055</f>
        <v>379.50459999999998</v>
      </c>
    </row>
    <row r="98" spans="1:16" ht="36" hidden="1">
      <c r="A98" s="250" t="s">
        <v>256</v>
      </c>
      <c r="B98" s="283" t="s">
        <v>165</v>
      </c>
      <c r="C98" s="173" t="s">
        <v>103</v>
      </c>
      <c r="D98" s="173" t="s">
        <v>23</v>
      </c>
      <c r="E98" s="173" t="s">
        <v>163</v>
      </c>
      <c r="F98" s="173"/>
      <c r="G98" s="495"/>
      <c r="H98" s="496"/>
      <c r="I98" s="497"/>
      <c r="J98" s="497"/>
      <c r="K98" s="172">
        <f t="shared" ref="K98:P98" si="49">K99</f>
        <v>282</v>
      </c>
      <c r="L98" s="172">
        <f t="shared" si="49"/>
        <v>67</v>
      </c>
      <c r="M98" s="172">
        <f t="shared" si="49"/>
        <v>282</v>
      </c>
      <c r="N98" s="172">
        <f t="shared" si="49"/>
        <v>0</v>
      </c>
      <c r="O98" s="104">
        <f t="shared" si="49"/>
        <v>0</v>
      </c>
      <c r="P98" s="63">
        <f t="shared" si="49"/>
        <v>0</v>
      </c>
    </row>
    <row r="99" spans="1:16" ht="24" hidden="1">
      <c r="A99" s="250" t="s">
        <v>257</v>
      </c>
      <c r="B99" s="447" t="s">
        <v>310</v>
      </c>
      <c r="C99" s="173" t="s">
        <v>103</v>
      </c>
      <c r="D99" s="173" t="s">
        <v>23</v>
      </c>
      <c r="E99" s="173" t="s">
        <v>163</v>
      </c>
      <c r="F99" s="173" t="s">
        <v>311</v>
      </c>
      <c r="G99" s="495"/>
      <c r="H99" s="496"/>
      <c r="I99" s="497"/>
      <c r="J99" s="497"/>
      <c r="K99" s="172">
        <v>282</v>
      </c>
      <c r="L99" s="172">
        <v>67</v>
      </c>
      <c r="M99" s="172">
        <v>282</v>
      </c>
      <c r="N99" s="287"/>
      <c r="O99" s="108">
        <f t="shared" si="48"/>
        <v>0</v>
      </c>
      <c r="P99" s="66">
        <f>O99*1.055</f>
        <v>0</v>
      </c>
    </row>
    <row r="100" spans="1:16" ht="48">
      <c r="A100" s="243" t="s">
        <v>524</v>
      </c>
      <c r="B100" s="498" t="s">
        <v>365</v>
      </c>
      <c r="C100" s="244" t="s">
        <v>103</v>
      </c>
      <c r="D100" s="244" t="s">
        <v>23</v>
      </c>
      <c r="E100" s="244" t="s">
        <v>366</v>
      </c>
      <c r="F100" s="244"/>
      <c r="G100" s="499"/>
      <c r="H100" s="500"/>
      <c r="I100" s="501"/>
      <c r="J100" s="501"/>
      <c r="K100" s="246">
        <f t="shared" ref="K100:P100" si="50">K101</f>
        <v>120</v>
      </c>
      <c r="L100" s="246">
        <f t="shared" si="50"/>
        <v>100</v>
      </c>
      <c r="M100" s="246">
        <f t="shared" si="50"/>
        <v>120</v>
      </c>
      <c r="N100" s="246">
        <f t="shared" si="50"/>
        <v>120</v>
      </c>
      <c r="O100" s="104">
        <f t="shared" si="50"/>
        <v>126.96000000000001</v>
      </c>
      <c r="P100" s="63">
        <f t="shared" si="50"/>
        <v>133.94280000000001</v>
      </c>
    </row>
    <row r="101" spans="1:16" ht="30.75" customHeight="1" thickBot="1">
      <c r="A101" s="420" t="s">
        <v>525</v>
      </c>
      <c r="B101" s="502" t="s">
        <v>430</v>
      </c>
      <c r="C101" s="421">
        <v>993</v>
      </c>
      <c r="D101" s="286" t="s">
        <v>23</v>
      </c>
      <c r="E101" s="286" t="s">
        <v>366</v>
      </c>
      <c r="F101" s="286" t="s">
        <v>311</v>
      </c>
      <c r="G101" s="495"/>
      <c r="H101" s="496"/>
      <c r="I101" s="497"/>
      <c r="J101" s="497"/>
      <c r="K101" s="287">
        <v>120</v>
      </c>
      <c r="L101" s="287">
        <v>100</v>
      </c>
      <c r="M101" s="287">
        <v>120</v>
      </c>
      <c r="N101" s="287">
        <v>120</v>
      </c>
      <c r="O101" s="108">
        <f>N101*1.058</f>
        <v>126.96000000000001</v>
      </c>
      <c r="P101" s="66">
        <f>O101*1.055</f>
        <v>133.94280000000001</v>
      </c>
    </row>
    <row r="102" spans="1:16" ht="13.5" thickBot="1">
      <c r="A102" s="219" t="s">
        <v>49</v>
      </c>
      <c r="B102" s="482" t="s">
        <v>220</v>
      </c>
      <c r="C102" s="220" t="s">
        <v>103</v>
      </c>
      <c r="D102" s="220" t="s">
        <v>24</v>
      </c>
      <c r="E102" s="220"/>
      <c r="F102" s="220"/>
      <c r="G102" s="495"/>
      <c r="H102" s="496"/>
      <c r="I102" s="497"/>
      <c r="J102" s="497"/>
      <c r="K102" s="221">
        <f t="shared" ref="K102:P104" si="51">K103</f>
        <v>2689</v>
      </c>
      <c r="L102" s="221">
        <f t="shared" si="51"/>
        <v>1456</v>
      </c>
      <c r="M102" s="221">
        <f t="shared" si="51"/>
        <v>2689</v>
      </c>
      <c r="N102" s="221">
        <f t="shared" si="51"/>
        <v>3837.5</v>
      </c>
      <c r="O102" s="123">
        <f t="shared" si="51"/>
        <v>4060.0750000000003</v>
      </c>
      <c r="P102" s="72">
        <f t="shared" si="51"/>
        <v>4283.3791249999995</v>
      </c>
    </row>
    <row r="103" spans="1:16" ht="13.5">
      <c r="A103" s="247" t="s">
        <v>10</v>
      </c>
      <c r="B103" s="260" t="s">
        <v>38</v>
      </c>
      <c r="C103" s="257" t="s">
        <v>103</v>
      </c>
      <c r="D103" s="257" t="s">
        <v>39</v>
      </c>
      <c r="E103" s="257"/>
      <c r="F103" s="257"/>
      <c r="G103" s="503"/>
      <c r="H103" s="504"/>
      <c r="I103" s="505"/>
      <c r="J103" s="505"/>
      <c r="K103" s="258">
        <f t="shared" ref="K103:P103" si="52">K104+K106</f>
        <v>2689</v>
      </c>
      <c r="L103" s="258">
        <f t="shared" si="52"/>
        <v>1456</v>
      </c>
      <c r="M103" s="258">
        <f t="shared" si="52"/>
        <v>2689</v>
      </c>
      <c r="N103" s="258">
        <f t="shared" si="52"/>
        <v>3837.5</v>
      </c>
      <c r="O103" s="129">
        <f t="shared" si="52"/>
        <v>4060.0750000000003</v>
      </c>
      <c r="P103" s="78">
        <f t="shared" si="52"/>
        <v>4283.3791249999995</v>
      </c>
    </row>
    <row r="104" spans="1:16" ht="36">
      <c r="A104" s="243" t="s">
        <v>52</v>
      </c>
      <c r="B104" s="254" t="s">
        <v>166</v>
      </c>
      <c r="C104" s="244" t="s">
        <v>103</v>
      </c>
      <c r="D104" s="244" t="s">
        <v>39</v>
      </c>
      <c r="E104" s="244" t="s">
        <v>367</v>
      </c>
      <c r="F104" s="244"/>
      <c r="G104" s="499"/>
      <c r="H104" s="500"/>
      <c r="I104" s="501"/>
      <c r="J104" s="501"/>
      <c r="K104" s="246">
        <f t="shared" si="51"/>
        <v>1918</v>
      </c>
      <c r="L104" s="246">
        <f t="shared" si="51"/>
        <v>1097.9000000000001</v>
      </c>
      <c r="M104" s="246">
        <f t="shared" si="51"/>
        <v>1918</v>
      </c>
      <c r="N104" s="246">
        <f t="shared" si="51"/>
        <v>2667.5</v>
      </c>
      <c r="O104" s="104">
        <f t="shared" si="51"/>
        <v>2822.2150000000001</v>
      </c>
      <c r="P104" s="63">
        <f t="shared" si="51"/>
        <v>2977.4368249999998</v>
      </c>
    </row>
    <row r="105" spans="1:16" ht="24">
      <c r="A105" s="250" t="s">
        <v>120</v>
      </c>
      <c r="B105" s="447" t="s">
        <v>430</v>
      </c>
      <c r="C105" s="173" t="s">
        <v>103</v>
      </c>
      <c r="D105" s="173" t="s">
        <v>39</v>
      </c>
      <c r="E105" s="173" t="s">
        <v>367</v>
      </c>
      <c r="F105" s="173" t="s">
        <v>311</v>
      </c>
      <c r="G105" s="495"/>
      <c r="H105" s="496"/>
      <c r="I105" s="497"/>
      <c r="J105" s="497"/>
      <c r="K105" s="172">
        <f>1909+9</f>
        <v>1918</v>
      </c>
      <c r="L105" s="172">
        <v>1097.9000000000001</v>
      </c>
      <c r="M105" s="172">
        <v>1918</v>
      </c>
      <c r="N105" s="287">
        <v>2667.5</v>
      </c>
      <c r="O105" s="108">
        <f>N105*1.058</f>
        <v>2822.2150000000001</v>
      </c>
      <c r="P105" s="66">
        <f>O105*1.055</f>
        <v>2977.4368249999998</v>
      </c>
    </row>
    <row r="106" spans="1:16" ht="24">
      <c r="A106" s="241" t="s">
        <v>368</v>
      </c>
      <c r="B106" s="427" t="s">
        <v>443</v>
      </c>
      <c r="C106" s="242" t="s">
        <v>103</v>
      </c>
      <c r="D106" s="242" t="s">
        <v>370</v>
      </c>
      <c r="E106" s="242"/>
      <c r="F106" s="242"/>
      <c r="G106" s="503"/>
      <c r="H106" s="504"/>
      <c r="I106" s="505"/>
      <c r="J106" s="505"/>
      <c r="K106" s="256">
        <f t="shared" ref="K106:P106" si="53">K108</f>
        <v>771</v>
      </c>
      <c r="L106" s="256">
        <f t="shared" si="53"/>
        <v>358.1</v>
      </c>
      <c r="M106" s="256">
        <f t="shared" si="53"/>
        <v>771</v>
      </c>
      <c r="N106" s="256">
        <f t="shared" si="53"/>
        <v>1170</v>
      </c>
      <c r="O106" s="104">
        <f t="shared" si="53"/>
        <v>1237.8600000000001</v>
      </c>
      <c r="P106" s="63">
        <f t="shared" si="53"/>
        <v>1305.9423000000002</v>
      </c>
    </row>
    <row r="107" spans="1:16" ht="13.5">
      <c r="A107" s="280" t="s">
        <v>444</v>
      </c>
      <c r="B107" s="506" t="s">
        <v>369</v>
      </c>
      <c r="C107" s="281" t="s">
        <v>103</v>
      </c>
      <c r="D107" s="281" t="s">
        <v>370</v>
      </c>
      <c r="E107" s="281" t="s">
        <v>367</v>
      </c>
      <c r="F107" s="281"/>
      <c r="G107" s="499"/>
      <c r="H107" s="500"/>
      <c r="I107" s="501"/>
      <c r="J107" s="501"/>
      <c r="K107" s="245"/>
      <c r="L107" s="245"/>
      <c r="M107" s="245"/>
      <c r="N107" s="245">
        <f>N108</f>
        <v>1170</v>
      </c>
      <c r="O107" s="108"/>
      <c r="P107" s="66"/>
    </row>
    <row r="108" spans="1:16" ht="24.75" thickBot="1">
      <c r="A108" s="420" t="s">
        <v>371</v>
      </c>
      <c r="B108" s="507" t="s">
        <v>430</v>
      </c>
      <c r="C108" s="286" t="s">
        <v>103</v>
      </c>
      <c r="D108" s="286" t="s">
        <v>370</v>
      </c>
      <c r="E108" s="286" t="s">
        <v>367</v>
      </c>
      <c r="F108" s="286" t="s">
        <v>311</v>
      </c>
      <c r="G108" s="495"/>
      <c r="H108" s="496"/>
      <c r="I108" s="497"/>
      <c r="J108" s="497"/>
      <c r="K108" s="287">
        <f>736+35</f>
        <v>771</v>
      </c>
      <c r="L108" s="287">
        <v>358.1</v>
      </c>
      <c r="M108" s="287">
        <v>771</v>
      </c>
      <c r="N108" s="287">
        <v>1170</v>
      </c>
      <c r="O108" s="108">
        <f>N108*1.058</f>
        <v>1237.8600000000001</v>
      </c>
      <c r="P108" s="66">
        <f>O108*1.055</f>
        <v>1305.9423000000002</v>
      </c>
    </row>
    <row r="109" spans="1:16" ht="13.5" thickBot="1">
      <c r="A109" s="219" t="s">
        <v>41</v>
      </c>
      <c r="B109" s="482" t="s">
        <v>35</v>
      </c>
      <c r="C109" s="220" t="s">
        <v>103</v>
      </c>
      <c r="D109" s="220">
        <v>1000</v>
      </c>
      <c r="E109" s="220"/>
      <c r="F109" s="220"/>
      <c r="G109" s="495"/>
      <c r="H109" s="496"/>
      <c r="I109" s="497"/>
      <c r="J109" s="497"/>
      <c r="K109" s="221">
        <f t="shared" ref="K109:P109" si="54">K113+K110</f>
        <v>1715.5</v>
      </c>
      <c r="L109" s="221">
        <f t="shared" si="54"/>
        <v>769.1</v>
      </c>
      <c r="M109" s="221">
        <f t="shared" si="54"/>
        <v>1173.7</v>
      </c>
      <c r="N109" s="221">
        <f t="shared" si="54"/>
        <v>2561.8000000000002</v>
      </c>
      <c r="O109" s="123">
        <f t="shared" si="54"/>
        <v>2669.7</v>
      </c>
      <c r="P109" s="72">
        <f t="shared" si="54"/>
        <v>2823.5</v>
      </c>
    </row>
    <row r="110" spans="1:16" ht="13.5">
      <c r="A110" s="247" t="s">
        <v>121</v>
      </c>
      <c r="B110" s="282" t="s">
        <v>242</v>
      </c>
      <c r="C110" s="257" t="s">
        <v>103</v>
      </c>
      <c r="D110" s="257" t="s">
        <v>240</v>
      </c>
      <c r="E110" s="257"/>
      <c r="F110" s="257"/>
      <c r="G110" s="508"/>
      <c r="H110" s="509"/>
      <c r="I110" s="510"/>
      <c r="J110" s="510"/>
      <c r="K110" s="258">
        <f t="shared" ref="K110:P111" si="55">K111</f>
        <v>172.4</v>
      </c>
      <c r="L110" s="258">
        <f t="shared" si="55"/>
        <v>114.9</v>
      </c>
      <c r="M110" s="258">
        <f t="shared" si="55"/>
        <v>172.4</v>
      </c>
      <c r="N110" s="258">
        <f t="shared" si="55"/>
        <v>227</v>
      </c>
      <c r="O110" s="103">
        <f t="shared" si="55"/>
        <v>195.5</v>
      </c>
      <c r="P110" s="62">
        <f t="shared" si="55"/>
        <v>207.5</v>
      </c>
    </row>
    <row r="111" spans="1:16" ht="36">
      <c r="A111" s="243" t="s">
        <v>75</v>
      </c>
      <c r="B111" s="511" t="s">
        <v>243</v>
      </c>
      <c r="C111" s="259" t="s">
        <v>103</v>
      </c>
      <c r="D111" s="259" t="s">
        <v>240</v>
      </c>
      <c r="E111" s="244" t="s">
        <v>241</v>
      </c>
      <c r="F111" s="259"/>
      <c r="G111" s="499"/>
      <c r="H111" s="500"/>
      <c r="I111" s="501"/>
      <c r="J111" s="501"/>
      <c r="K111" s="246">
        <f t="shared" si="55"/>
        <v>172.4</v>
      </c>
      <c r="L111" s="246">
        <f t="shared" si="55"/>
        <v>114.9</v>
      </c>
      <c r="M111" s="246">
        <f t="shared" si="55"/>
        <v>172.4</v>
      </c>
      <c r="N111" s="246">
        <f t="shared" si="55"/>
        <v>227</v>
      </c>
      <c r="O111" s="104">
        <f t="shared" si="55"/>
        <v>195.5</v>
      </c>
      <c r="P111" s="63">
        <f t="shared" si="55"/>
        <v>207.5</v>
      </c>
    </row>
    <row r="112" spans="1:16" ht="27.75" customHeight="1">
      <c r="A112" s="189" t="s">
        <v>372</v>
      </c>
      <c r="B112" s="494" t="s">
        <v>448</v>
      </c>
      <c r="C112" s="206" t="s">
        <v>103</v>
      </c>
      <c r="D112" s="206" t="s">
        <v>240</v>
      </c>
      <c r="E112" s="190" t="s">
        <v>241</v>
      </c>
      <c r="F112" s="206" t="s">
        <v>436</v>
      </c>
      <c r="G112" s="495"/>
      <c r="H112" s="496"/>
      <c r="I112" s="497"/>
      <c r="J112" s="497"/>
      <c r="K112" s="159">
        <v>172.4</v>
      </c>
      <c r="L112" s="159">
        <v>114.9</v>
      </c>
      <c r="M112" s="159">
        <v>172.4</v>
      </c>
      <c r="N112" s="159">
        <v>227</v>
      </c>
      <c r="O112" s="104">
        <v>195.5</v>
      </c>
      <c r="P112" s="63">
        <v>207.5</v>
      </c>
    </row>
    <row r="113" spans="1:18" ht="13.5">
      <c r="A113" s="241" t="s">
        <v>266</v>
      </c>
      <c r="B113" s="266" t="s">
        <v>140</v>
      </c>
      <c r="C113" s="242" t="s">
        <v>103</v>
      </c>
      <c r="D113" s="242" t="s">
        <v>40</v>
      </c>
      <c r="E113" s="242"/>
      <c r="F113" s="242"/>
      <c r="G113" s="508"/>
      <c r="H113" s="509"/>
      <c r="I113" s="510"/>
      <c r="J113" s="510"/>
      <c r="K113" s="256">
        <f t="shared" ref="K113:P113" si="56">K114+K120+K118</f>
        <v>1543.1</v>
      </c>
      <c r="L113" s="256">
        <f t="shared" si="56"/>
        <v>654.20000000000005</v>
      </c>
      <c r="M113" s="256">
        <f t="shared" si="56"/>
        <v>1001.3000000000001</v>
      </c>
      <c r="N113" s="256">
        <f t="shared" si="56"/>
        <v>2334.8000000000002</v>
      </c>
      <c r="O113" s="106">
        <f t="shared" si="56"/>
        <v>2474.1999999999998</v>
      </c>
      <c r="P113" s="65">
        <f t="shared" si="56"/>
        <v>2616</v>
      </c>
    </row>
    <row r="114" spans="1:18" ht="24">
      <c r="A114" s="214" t="s">
        <v>209</v>
      </c>
      <c r="B114" s="254" t="s">
        <v>149</v>
      </c>
      <c r="C114" s="244" t="s">
        <v>103</v>
      </c>
      <c r="D114" s="244" t="s">
        <v>40</v>
      </c>
      <c r="E114" s="244" t="s">
        <v>438</v>
      </c>
      <c r="F114" s="244"/>
      <c r="G114" s="512"/>
      <c r="H114" s="513"/>
      <c r="I114" s="514"/>
      <c r="J114" s="514"/>
      <c r="K114" s="246">
        <f t="shared" ref="K114:P114" si="57">K115</f>
        <v>657.2</v>
      </c>
      <c r="L114" s="246">
        <f t="shared" si="57"/>
        <v>424.8</v>
      </c>
      <c r="M114" s="246">
        <f t="shared" si="57"/>
        <v>657.2</v>
      </c>
      <c r="N114" s="246">
        <f t="shared" si="57"/>
        <v>699.4</v>
      </c>
      <c r="O114" s="106">
        <f t="shared" si="57"/>
        <v>740.1</v>
      </c>
      <c r="P114" s="65">
        <f t="shared" si="57"/>
        <v>780.8</v>
      </c>
    </row>
    <row r="115" spans="1:18" ht="24" hidden="1">
      <c r="A115" s="212" t="s">
        <v>211</v>
      </c>
      <c r="B115" s="213" t="s">
        <v>150</v>
      </c>
      <c r="C115" s="165" t="s">
        <v>103</v>
      </c>
      <c r="D115" s="165" t="s">
        <v>40</v>
      </c>
      <c r="E115" s="165" t="s">
        <v>438</v>
      </c>
      <c r="F115" s="165"/>
      <c r="G115" s="495"/>
      <c r="H115" s="496"/>
      <c r="I115" s="497"/>
      <c r="J115" s="497"/>
      <c r="K115" s="159">
        <v>657.2</v>
      </c>
      <c r="L115" s="159">
        <v>424.8</v>
      </c>
      <c r="M115" s="159">
        <v>657.2</v>
      </c>
      <c r="N115" s="159">
        <v>699.4</v>
      </c>
      <c r="O115" s="104">
        <v>740.1</v>
      </c>
      <c r="P115" s="63">
        <v>780.8</v>
      </c>
    </row>
    <row r="116" spans="1:18" ht="36">
      <c r="A116" s="212" t="s">
        <v>211</v>
      </c>
      <c r="B116" s="213" t="s">
        <v>427</v>
      </c>
      <c r="C116" s="165" t="s">
        <v>103</v>
      </c>
      <c r="D116" s="165" t="s">
        <v>40</v>
      </c>
      <c r="E116" s="165" t="s">
        <v>438</v>
      </c>
      <c r="F116" s="165" t="s">
        <v>303</v>
      </c>
      <c r="G116" s="495"/>
      <c r="H116" s="496"/>
      <c r="I116" s="497"/>
      <c r="J116" s="497"/>
      <c r="K116" s="159"/>
      <c r="L116" s="159"/>
      <c r="M116" s="159"/>
      <c r="N116" s="159">
        <v>651.29999999999995</v>
      </c>
      <c r="O116" s="104"/>
      <c r="P116" s="63"/>
      <c r="R116" s="36"/>
    </row>
    <row r="117" spans="1:18" ht="25.5" customHeight="1">
      <c r="A117" s="212" t="s">
        <v>503</v>
      </c>
      <c r="B117" s="213" t="s">
        <v>430</v>
      </c>
      <c r="C117" s="165" t="s">
        <v>103</v>
      </c>
      <c r="D117" s="165" t="s">
        <v>40</v>
      </c>
      <c r="E117" s="165" t="s">
        <v>438</v>
      </c>
      <c r="F117" s="165" t="s">
        <v>311</v>
      </c>
      <c r="G117" s="495"/>
      <c r="H117" s="496"/>
      <c r="I117" s="497"/>
      <c r="J117" s="497"/>
      <c r="K117" s="159"/>
      <c r="L117" s="159"/>
      <c r="M117" s="159"/>
      <c r="N117" s="159">
        <v>48.1</v>
      </c>
      <c r="O117" s="104"/>
      <c r="P117" s="63"/>
    </row>
    <row r="118" spans="1:18">
      <c r="A118" s="214" t="s">
        <v>267</v>
      </c>
      <c r="B118" s="254" t="s">
        <v>126</v>
      </c>
      <c r="C118" s="244" t="s">
        <v>103</v>
      </c>
      <c r="D118" s="244" t="s">
        <v>40</v>
      </c>
      <c r="E118" s="244" t="s">
        <v>439</v>
      </c>
      <c r="F118" s="244"/>
      <c r="G118" s="512"/>
      <c r="H118" s="513"/>
      <c r="I118" s="514"/>
      <c r="J118" s="514"/>
      <c r="K118" s="255">
        <f t="shared" ref="K118:P118" si="58">K119</f>
        <v>602.4</v>
      </c>
      <c r="L118" s="255">
        <f t="shared" si="58"/>
        <v>229.4</v>
      </c>
      <c r="M118" s="255">
        <f t="shared" si="58"/>
        <v>344.1</v>
      </c>
      <c r="N118" s="255">
        <f t="shared" si="58"/>
        <v>1092</v>
      </c>
      <c r="O118" s="44">
        <f t="shared" si="58"/>
        <v>1155.3</v>
      </c>
      <c r="P118" s="79">
        <f t="shared" si="58"/>
        <v>1218.8</v>
      </c>
    </row>
    <row r="119" spans="1:18" ht="36">
      <c r="A119" s="186" t="s">
        <v>445</v>
      </c>
      <c r="B119" s="213" t="s">
        <v>448</v>
      </c>
      <c r="C119" s="157" t="s">
        <v>103</v>
      </c>
      <c r="D119" s="157" t="s">
        <v>40</v>
      </c>
      <c r="E119" s="157" t="s">
        <v>439</v>
      </c>
      <c r="F119" s="157" t="s">
        <v>436</v>
      </c>
      <c r="G119" s="495"/>
      <c r="H119" s="496"/>
      <c r="I119" s="497"/>
      <c r="J119" s="497"/>
      <c r="K119" s="159">
        <v>602.4</v>
      </c>
      <c r="L119" s="159">
        <v>229.4</v>
      </c>
      <c r="M119" s="159">
        <v>344.1</v>
      </c>
      <c r="N119" s="159">
        <v>1092</v>
      </c>
      <c r="O119" s="104">
        <v>1155.3</v>
      </c>
      <c r="P119" s="63">
        <v>1218.8</v>
      </c>
    </row>
    <row r="120" spans="1:18" ht="13.5">
      <c r="A120" s="214" t="s">
        <v>272</v>
      </c>
      <c r="B120" s="254" t="s">
        <v>375</v>
      </c>
      <c r="C120" s="244" t="s">
        <v>103</v>
      </c>
      <c r="D120" s="244" t="s">
        <v>40</v>
      </c>
      <c r="E120" s="244" t="s">
        <v>440</v>
      </c>
      <c r="F120" s="244"/>
      <c r="G120" s="512"/>
      <c r="H120" s="513"/>
      <c r="I120" s="514"/>
      <c r="J120" s="514"/>
      <c r="K120" s="246">
        <f t="shared" ref="K120:P120" si="59">K121</f>
        <v>283.5</v>
      </c>
      <c r="L120" s="246">
        <f t="shared" si="59"/>
        <v>0</v>
      </c>
      <c r="M120" s="246">
        <f t="shared" si="59"/>
        <v>0</v>
      </c>
      <c r="N120" s="246">
        <f t="shared" si="59"/>
        <v>543.4</v>
      </c>
      <c r="O120" s="106">
        <f t="shared" si="59"/>
        <v>578.79999999999995</v>
      </c>
      <c r="P120" s="65">
        <f t="shared" si="59"/>
        <v>616.4</v>
      </c>
    </row>
    <row r="121" spans="1:18" ht="27.75" customHeight="1" thickBot="1">
      <c r="A121" s="189" t="s">
        <v>289</v>
      </c>
      <c r="B121" s="234" t="s">
        <v>448</v>
      </c>
      <c r="C121" s="190" t="s">
        <v>103</v>
      </c>
      <c r="D121" s="190" t="s">
        <v>40</v>
      </c>
      <c r="E121" s="190" t="s">
        <v>440</v>
      </c>
      <c r="F121" s="190" t="s">
        <v>436</v>
      </c>
      <c r="G121" s="495"/>
      <c r="H121" s="496"/>
      <c r="I121" s="497"/>
      <c r="J121" s="497"/>
      <c r="K121" s="166">
        <v>283.5</v>
      </c>
      <c r="L121" s="166">
        <v>0</v>
      </c>
      <c r="M121" s="166"/>
      <c r="N121" s="166">
        <v>543.4</v>
      </c>
      <c r="O121" s="108">
        <v>578.79999999999995</v>
      </c>
      <c r="P121" s="66">
        <v>616.4</v>
      </c>
    </row>
    <row r="122" spans="1:18" ht="13.5" thickBot="1">
      <c r="A122" s="219" t="s">
        <v>90</v>
      </c>
      <c r="B122" s="482" t="s">
        <v>139</v>
      </c>
      <c r="C122" s="220" t="s">
        <v>103</v>
      </c>
      <c r="D122" s="220" t="s">
        <v>184</v>
      </c>
      <c r="E122" s="220"/>
      <c r="F122" s="220"/>
      <c r="G122" s="495"/>
      <c r="H122" s="496"/>
      <c r="I122" s="497"/>
      <c r="J122" s="497"/>
      <c r="K122" s="221">
        <f t="shared" ref="K122:P124" si="60">K123</f>
        <v>653</v>
      </c>
      <c r="L122" s="221">
        <f t="shared" si="60"/>
        <v>424.3</v>
      </c>
      <c r="M122" s="221">
        <f t="shared" si="60"/>
        <v>653</v>
      </c>
      <c r="N122" s="221">
        <f t="shared" si="60"/>
        <v>340</v>
      </c>
      <c r="O122" s="123">
        <f t="shared" si="60"/>
        <v>359.72</v>
      </c>
      <c r="P122" s="72">
        <f t="shared" si="60"/>
        <v>379.50459999999998</v>
      </c>
    </row>
    <row r="123" spans="1:18" ht="13.5">
      <c r="A123" s="247" t="s">
        <v>260</v>
      </c>
      <c r="B123" s="260" t="s">
        <v>185</v>
      </c>
      <c r="C123" s="248" t="s">
        <v>103</v>
      </c>
      <c r="D123" s="248" t="s">
        <v>183</v>
      </c>
      <c r="E123" s="248"/>
      <c r="F123" s="248"/>
      <c r="G123" s="508"/>
      <c r="H123" s="509"/>
      <c r="I123" s="510"/>
      <c r="J123" s="510"/>
      <c r="K123" s="249">
        <f t="shared" si="60"/>
        <v>653</v>
      </c>
      <c r="L123" s="249">
        <f t="shared" si="60"/>
        <v>424.3</v>
      </c>
      <c r="M123" s="249">
        <f t="shared" si="60"/>
        <v>653</v>
      </c>
      <c r="N123" s="249">
        <f t="shared" si="60"/>
        <v>340</v>
      </c>
      <c r="O123" s="129">
        <f t="shared" si="60"/>
        <v>359.72</v>
      </c>
      <c r="P123" s="78">
        <f t="shared" si="60"/>
        <v>379.50459999999998</v>
      </c>
    </row>
    <row r="124" spans="1:18" ht="24">
      <c r="A124" s="251" t="s">
        <v>190</v>
      </c>
      <c r="B124" s="515" t="s">
        <v>89</v>
      </c>
      <c r="C124" s="252" t="s">
        <v>103</v>
      </c>
      <c r="D124" s="252" t="s">
        <v>183</v>
      </c>
      <c r="E124" s="252" t="s">
        <v>376</v>
      </c>
      <c r="F124" s="252"/>
      <c r="G124" s="512"/>
      <c r="H124" s="513"/>
      <c r="I124" s="514"/>
      <c r="J124" s="514"/>
      <c r="K124" s="253">
        <f t="shared" si="60"/>
        <v>653</v>
      </c>
      <c r="L124" s="253">
        <f t="shared" si="60"/>
        <v>424.3</v>
      </c>
      <c r="M124" s="253">
        <f t="shared" si="60"/>
        <v>653</v>
      </c>
      <c r="N124" s="253">
        <f t="shared" si="60"/>
        <v>340</v>
      </c>
      <c r="O124" s="104">
        <f t="shared" si="60"/>
        <v>359.72</v>
      </c>
      <c r="P124" s="63">
        <f t="shared" si="60"/>
        <v>379.50459999999998</v>
      </c>
    </row>
    <row r="125" spans="1:18" ht="24.75" thickBot="1">
      <c r="A125" s="189" t="s">
        <v>191</v>
      </c>
      <c r="B125" s="481" t="s">
        <v>430</v>
      </c>
      <c r="C125" s="190" t="s">
        <v>103</v>
      </c>
      <c r="D125" s="190" t="s">
        <v>183</v>
      </c>
      <c r="E125" s="190" t="s">
        <v>376</v>
      </c>
      <c r="F125" s="190" t="s">
        <v>311</v>
      </c>
      <c r="G125" s="495"/>
      <c r="H125" s="496"/>
      <c r="I125" s="497"/>
      <c r="J125" s="497"/>
      <c r="K125" s="166">
        <f>697-44</f>
        <v>653</v>
      </c>
      <c r="L125" s="166">
        <v>424.3</v>
      </c>
      <c r="M125" s="166">
        <v>653</v>
      </c>
      <c r="N125" s="166">
        <v>340</v>
      </c>
      <c r="O125" s="108">
        <f t="shared" ref="O125:O130" si="61">N125*1.058</f>
        <v>359.72</v>
      </c>
      <c r="P125" s="66">
        <f t="shared" ref="P125:P130" si="62">O125*1.055</f>
        <v>379.50459999999998</v>
      </c>
    </row>
    <row r="126" spans="1:18" ht="13.5" thickBot="1">
      <c r="A126" s="219" t="s">
        <v>261</v>
      </c>
      <c r="B126" s="482" t="s">
        <v>186</v>
      </c>
      <c r="C126" s="220" t="s">
        <v>103</v>
      </c>
      <c r="D126" s="220" t="s">
        <v>187</v>
      </c>
      <c r="E126" s="220"/>
      <c r="F126" s="220"/>
      <c r="G126" s="495"/>
      <c r="H126" s="496"/>
      <c r="I126" s="497"/>
      <c r="J126" s="497"/>
      <c r="K126" s="221">
        <f t="shared" ref="K126:P126" si="63">K127</f>
        <v>766</v>
      </c>
      <c r="L126" s="221">
        <f t="shared" si="63"/>
        <v>448.7</v>
      </c>
      <c r="M126" s="221">
        <f t="shared" si="63"/>
        <v>766</v>
      </c>
      <c r="N126" s="221">
        <f t="shared" si="63"/>
        <v>774.5</v>
      </c>
      <c r="O126" s="123">
        <f t="shared" si="63"/>
        <v>819.42100000000005</v>
      </c>
      <c r="P126" s="72">
        <f t="shared" si="63"/>
        <v>864.48915499999998</v>
      </c>
    </row>
    <row r="127" spans="1:18" ht="13.5">
      <c r="A127" s="247" t="s">
        <v>76</v>
      </c>
      <c r="B127" s="260" t="s">
        <v>189</v>
      </c>
      <c r="C127" s="257" t="s">
        <v>103</v>
      </c>
      <c r="D127" s="257" t="s">
        <v>188</v>
      </c>
      <c r="E127" s="257"/>
      <c r="F127" s="257"/>
      <c r="G127" s="503"/>
      <c r="H127" s="504"/>
      <c r="I127" s="505"/>
      <c r="J127" s="505"/>
      <c r="K127" s="258">
        <f t="shared" ref="K127:P127" si="64">K128+K130</f>
        <v>766</v>
      </c>
      <c r="L127" s="258">
        <f t="shared" si="64"/>
        <v>448.7</v>
      </c>
      <c r="M127" s="258">
        <f t="shared" si="64"/>
        <v>766</v>
      </c>
      <c r="N127" s="258">
        <f t="shared" si="64"/>
        <v>774.5</v>
      </c>
      <c r="O127" s="129">
        <f t="shared" si="64"/>
        <v>819.42100000000005</v>
      </c>
      <c r="P127" s="78">
        <f t="shared" si="64"/>
        <v>864.48915499999998</v>
      </c>
    </row>
    <row r="128" spans="1:18" ht="36">
      <c r="A128" s="243" t="s">
        <v>97</v>
      </c>
      <c r="B128" s="498" t="s">
        <v>377</v>
      </c>
      <c r="C128" s="244" t="s">
        <v>103</v>
      </c>
      <c r="D128" s="244" t="s">
        <v>188</v>
      </c>
      <c r="E128" s="244" t="s">
        <v>378</v>
      </c>
      <c r="F128" s="244"/>
      <c r="G128" s="499"/>
      <c r="H128" s="500"/>
      <c r="I128" s="501"/>
      <c r="J128" s="501"/>
      <c r="K128" s="246">
        <f>K129</f>
        <v>653.9</v>
      </c>
      <c r="L128" s="246">
        <f>L129</f>
        <v>388.9</v>
      </c>
      <c r="M128" s="246">
        <f>M129</f>
        <v>653.9</v>
      </c>
      <c r="N128" s="246">
        <f>N129</f>
        <v>664.5</v>
      </c>
      <c r="O128" s="108">
        <f t="shared" si="61"/>
        <v>703.04100000000005</v>
      </c>
      <c r="P128" s="66">
        <f t="shared" si="62"/>
        <v>741.70825500000001</v>
      </c>
    </row>
    <row r="129" spans="1:16" ht="24">
      <c r="A129" s="186" t="s">
        <v>262</v>
      </c>
      <c r="B129" s="435" t="s">
        <v>430</v>
      </c>
      <c r="C129" s="157" t="s">
        <v>103</v>
      </c>
      <c r="D129" s="157" t="s">
        <v>188</v>
      </c>
      <c r="E129" s="157" t="s">
        <v>378</v>
      </c>
      <c r="F129" s="157" t="s">
        <v>311</v>
      </c>
      <c r="G129" s="495"/>
      <c r="H129" s="496"/>
      <c r="I129" s="497"/>
      <c r="J129" s="497"/>
      <c r="K129" s="159">
        <v>653.9</v>
      </c>
      <c r="L129" s="159">
        <v>388.9</v>
      </c>
      <c r="M129" s="159">
        <v>653.9</v>
      </c>
      <c r="N129" s="159">
        <v>664.5</v>
      </c>
      <c r="O129" s="108">
        <f t="shared" si="61"/>
        <v>703.04100000000005</v>
      </c>
      <c r="P129" s="66">
        <f t="shared" si="62"/>
        <v>741.70825500000001</v>
      </c>
    </row>
    <row r="130" spans="1:16" ht="24">
      <c r="A130" s="243" t="s">
        <v>379</v>
      </c>
      <c r="B130" s="506" t="s">
        <v>380</v>
      </c>
      <c r="C130" s="244" t="s">
        <v>103</v>
      </c>
      <c r="D130" s="244" t="s">
        <v>188</v>
      </c>
      <c r="E130" s="244" t="s">
        <v>167</v>
      </c>
      <c r="F130" s="244"/>
      <c r="G130" s="499"/>
      <c r="H130" s="500"/>
      <c r="I130" s="501"/>
      <c r="J130" s="501"/>
      <c r="K130" s="245">
        <f>K131</f>
        <v>112.1</v>
      </c>
      <c r="L130" s="245">
        <f>L131</f>
        <v>59.8</v>
      </c>
      <c r="M130" s="245">
        <f>M131</f>
        <v>112.1</v>
      </c>
      <c r="N130" s="245">
        <f>N131</f>
        <v>110</v>
      </c>
      <c r="O130" s="108">
        <f t="shared" si="61"/>
        <v>116.38000000000001</v>
      </c>
      <c r="P130" s="66">
        <f t="shared" si="62"/>
        <v>122.7809</v>
      </c>
    </row>
    <row r="131" spans="1:16" ht="24.75" thickBot="1">
      <c r="A131" s="189" t="s">
        <v>442</v>
      </c>
      <c r="B131" s="481" t="s">
        <v>430</v>
      </c>
      <c r="C131" s="190" t="s">
        <v>103</v>
      </c>
      <c r="D131" s="190" t="s">
        <v>188</v>
      </c>
      <c r="E131" s="190" t="s">
        <v>167</v>
      </c>
      <c r="F131" s="190" t="s">
        <v>311</v>
      </c>
      <c r="G131" s="495"/>
      <c r="H131" s="496"/>
      <c r="I131" s="497"/>
      <c r="J131" s="497"/>
      <c r="K131" s="166">
        <v>112.1</v>
      </c>
      <c r="L131" s="166">
        <v>59.8</v>
      </c>
      <c r="M131" s="166">
        <v>112.1</v>
      </c>
      <c r="N131" s="166">
        <v>110</v>
      </c>
      <c r="O131" s="108">
        <f>N131*1.058</f>
        <v>116.38000000000001</v>
      </c>
      <c r="P131" s="66">
        <f>O131*1.055</f>
        <v>122.7809</v>
      </c>
    </row>
    <row r="132" spans="1:16" ht="17.25" thickBot="1">
      <c r="A132" s="516"/>
      <c r="B132" s="517" t="s">
        <v>36</v>
      </c>
      <c r="C132" s="517"/>
      <c r="D132" s="80"/>
      <c r="E132" s="80"/>
      <c r="F132" s="80"/>
      <c r="G132" s="518"/>
      <c r="H132" s="519"/>
      <c r="I132" s="520"/>
      <c r="J132" s="520"/>
      <c r="K132" s="81">
        <f t="shared" ref="K132:P132" si="65">K9+K21</f>
        <v>65273.599999999999</v>
      </c>
      <c r="L132" s="81">
        <f t="shared" si="65"/>
        <v>30216.199999999997</v>
      </c>
      <c r="M132" s="81">
        <f t="shared" si="65"/>
        <v>62680.799999999996</v>
      </c>
      <c r="N132" s="433">
        <f t="shared" si="65"/>
        <v>85159.500000000015</v>
      </c>
      <c r="O132" s="130">
        <f t="shared" si="65"/>
        <v>114140.84239999999</v>
      </c>
      <c r="P132" s="81">
        <f t="shared" si="65"/>
        <v>106554.863232</v>
      </c>
    </row>
    <row r="135" spans="1:16">
      <c r="N135" s="36"/>
    </row>
    <row r="137" spans="1:16">
      <c r="N137" s="101"/>
    </row>
  </sheetData>
  <autoFilter ref="A8:H84"/>
  <mergeCells count="3">
    <mergeCell ref="A5:H5"/>
    <mergeCell ref="I5:K5"/>
    <mergeCell ref="A6:H6"/>
  </mergeCells>
  <printOptions horizontalCentered="1"/>
  <pageMargins left="0.39370078740157483" right="0.59055118110236227" top="0.39370078740157483" bottom="0.39370078740157483" header="0" footer="0"/>
  <pageSetup paperSize="9" scale="71" fitToHeight="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1"/>
  </sheetPr>
  <dimension ref="A1:P134"/>
  <sheetViews>
    <sheetView topLeftCell="B1" zoomScaleSheetLayoutView="115" workbookViewId="0">
      <selection activeCell="R5" sqref="R5"/>
    </sheetView>
  </sheetViews>
  <sheetFormatPr defaultRowHeight="12.75"/>
  <cols>
    <col min="1" max="1" width="5.85546875" style="10" hidden="1" customWidth="1"/>
    <col min="2" max="2" width="41" style="8" customWidth="1"/>
    <col min="3" max="3" width="14.28515625" style="10" customWidth="1"/>
    <col min="4" max="4" width="12.85546875" style="8" customWidth="1"/>
    <col min="5" max="5" width="11.140625" style="8" customWidth="1"/>
    <col min="6" max="6" width="0.140625" style="10" hidden="1" customWidth="1"/>
    <col min="7" max="7" width="8.140625" style="11" hidden="1" customWidth="1"/>
    <col min="8" max="8" width="8" style="55" hidden="1" customWidth="1"/>
    <col min="9" max="9" width="5.140625" style="55" hidden="1" customWidth="1"/>
    <col min="10" max="10" width="11.7109375" style="55" hidden="1" customWidth="1"/>
    <col min="11" max="11" width="11" style="55" hidden="1" customWidth="1"/>
    <col min="12" max="12" width="12.5703125" style="55" hidden="1" customWidth="1"/>
    <col min="13" max="13" width="14" style="55" customWidth="1"/>
    <col min="14" max="16" width="0" style="55" hidden="1" customWidth="1"/>
    <col min="17" max="16384" width="9.140625" style="55"/>
  </cols>
  <sheetData>
    <row r="1" spans="1:16" ht="18" customHeight="1">
      <c r="A1" s="368"/>
      <c r="B1" s="368"/>
      <c r="C1" s="308"/>
      <c r="D1" s="368"/>
      <c r="E1" s="368"/>
      <c r="F1" s="368"/>
      <c r="G1" s="369"/>
      <c r="H1" s="309"/>
      <c r="I1" s="309"/>
      <c r="J1" s="309"/>
      <c r="K1" s="309"/>
      <c r="L1" s="309"/>
      <c r="M1" s="370" t="s">
        <v>174</v>
      </c>
    </row>
    <row r="2" spans="1:16" s="8" customFormat="1" ht="16.5" customHeight="1">
      <c r="A2" s="371"/>
      <c r="B2" s="309"/>
      <c r="C2" s="309"/>
      <c r="D2" s="309"/>
      <c r="E2" s="309"/>
      <c r="F2" s="309"/>
      <c r="G2" s="309"/>
      <c r="H2" s="309"/>
      <c r="I2" s="309"/>
      <c r="J2" s="309"/>
      <c r="K2" s="372"/>
      <c r="L2" s="372"/>
      <c r="M2" s="372" t="s">
        <v>98</v>
      </c>
    </row>
    <row r="3" spans="1:16" s="8" customFormat="1" ht="11.25" customHeight="1">
      <c r="A3" s="371"/>
      <c r="B3" s="309"/>
      <c r="C3" s="309"/>
      <c r="D3" s="309"/>
      <c r="E3" s="309"/>
      <c r="F3" s="373"/>
      <c r="G3" s="309"/>
      <c r="H3" s="309"/>
      <c r="I3" s="309"/>
      <c r="J3" s="309"/>
      <c r="K3" s="373"/>
      <c r="L3" s="309"/>
      <c r="M3" s="372" t="s">
        <v>536</v>
      </c>
    </row>
    <row r="4" spans="1:16" s="8" customFormat="1" ht="18.75" customHeight="1">
      <c r="A4" s="371"/>
      <c r="B4" s="309"/>
      <c r="C4" s="309"/>
      <c r="D4" s="309"/>
      <c r="E4" s="309"/>
      <c r="F4" s="309"/>
      <c r="G4" s="309"/>
      <c r="H4" s="309"/>
      <c r="I4" s="309"/>
      <c r="J4" s="309"/>
      <c r="K4" s="309"/>
      <c r="L4" s="309"/>
      <c r="M4" s="374" t="s">
        <v>413</v>
      </c>
    </row>
    <row r="5" spans="1:16" s="8" customFormat="1" ht="18" customHeight="1">
      <c r="A5" s="541" t="s">
        <v>420</v>
      </c>
      <c r="B5" s="541"/>
      <c r="C5" s="541"/>
      <c r="D5" s="541"/>
      <c r="E5" s="541"/>
      <c r="F5" s="541"/>
      <c r="G5" s="541"/>
      <c r="H5" s="541"/>
      <c r="I5" s="541"/>
      <c r="J5" s="541"/>
      <c r="K5" s="309"/>
      <c r="L5" s="309"/>
      <c r="M5" s="309"/>
    </row>
    <row r="6" spans="1:16" ht="15.95" customHeight="1">
      <c r="A6" s="308"/>
      <c r="B6" s="434" t="s">
        <v>417</v>
      </c>
      <c r="C6" s="434"/>
      <c r="D6" s="434"/>
      <c r="E6" s="434"/>
      <c r="F6" s="434"/>
      <c r="G6" s="434"/>
      <c r="H6" s="434"/>
      <c r="I6" s="434"/>
      <c r="J6" s="434"/>
      <c r="K6" s="434"/>
      <c r="L6" s="434"/>
      <c r="M6" s="434"/>
    </row>
    <row r="7" spans="1:16" ht="13.5" thickBot="1">
      <c r="A7" s="375"/>
      <c r="B7" s="376"/>
      <c r="C7" s="375"/>
      <c r="D7" s="375"/>
      <c r="E7" s="377"/>
      <c r="F7" s="377"/>
      <c r="G7" s="378"/>
      <c r="H7" s="309"/>
      <c r="I7" s="309"/>
      <c r="J7" s="309"/>
      <c r="K7" s="309"/>
      <c r="L7" s="309"/>
      <c r="M7" s="309"/>
    </row>
    <row r="8" spans="1:16" ht="50.1" customHeight="1" thickBot="1">
      <c r="A8" s="379" t="s">
        <v>99</v>
      </c>
      <c r="B8" s="380" t="s">
        <v>25</v>
      </c>
      <c r="C8" s="381" t="s">
        <v>26</v>
      </c>
      <c r="D8" s="381" t="s">
        <v>15</v>
      </c>
      <c r="E8" s="381" t="s">
        <v>27</v>
      </c>
      <c r="F8" s="381" t="s">
        <v>28</v>
      </c>
      <c r="G8" s="382" t="s">
        <v>232</v>
      </c>
      <c r="H8" s="383" t="s">
        <v>233</v>
      </c>
      <c r="I8" s="383" t="s">
        <v>229</v>
      </c>
      <c r="J8" s="382" t="s">
        <v>300</v>
      </c>
      <c r="K8" s="383" t="s">
        <v>412</v>
      </c>
      <c r="L8" s="383" t="s">
        <v>301</v>
      </c>
      <c r="M8" s="383" t="s">
        <v>415</v>
      </c>
      <c r="N8" s="41" t="s">
        <v>288</v>
      </c>
      <c r="O8" s="34" t="s">
        <v>302</v>
      </c>
    </row>
    <row r="9" spans="1:16" ht="25.5" customHeight="1" thickBot="1">
      <c r="A9" s="384" t="s">
        <v>2</v>
      </c>
      <c r="B9" s="436" t="s">
        <v>77</v>
      </c>
      <c r="C9" s="354" t="s">
        <v>14</v>
      </c>
      <c r="D9" s="354"/>
      <c r="E9" s="354"/>
      <c r="F9" s="354"/>
      <c r="G9" s="361">
        <f>G11+G13</f>
        <v>854.7</v>
      </c>
      <c r="H9" s="361">
        <f>H11+H13</f>
        <v>530.70000000000005</v>
      </c>
      <c r="I9" s="361">
        <f>I11+I13</f>
        <v>753.2</v>
      </c>
      <c r="J9" s="361">
        <f t="shared" ref="J9:O9" si="0">J10+J13</f>
        <v>1555.1999999999998</v>
      </c>
      <c r="K9" s="361">
        <f t="shared" si="0"/>
        <v>953.7</v>
      </c>
      <c r="L9" s="361">
        <f t="shared" si="0"/>
        <v>1555.2</v>
      </c>
      <c r="M9" s="362">
        <f>M10+M13+M22+M24+M31+M34+M37+M29</f>
        <v>16949.8</v>
      </c>
      <c r="N9" s="102">
        <f t="shared" si="0"/>
        <v>1771.3000000000002</v>
      </c>
      <c r="O9" s="46">
        <f t="shared" si="0"/>
        <v>1906.8</v>
      </c>
      <c r="P9" s="36"/>
    </row>
    <row r="10" spans="1:16" ht="39.75" customHeight="1">
      <c r="A10" s="385" t="s">
        <v>132</v>
      </c>
      <c r="B10" s="437" t="s">
        <v>124</v>
      </c>
      <c r="C10" s="217" t="s">
        <v>43</v>
      </c>
      <c r="D10" s="217"/>
      <c r="E10" s="217"/>
      <c r="F10" s="217"/>
      <c r="G10" s="218">
        <f>G11</f>
        <v>753.2</v>
      </c>
      <c r="H10" s="218">
        <f t="shared" ref="H10:O11" si="1">H11</f>
        <v>530.70000000000005</v>
      </c>
      <c r="I10" s="218">
        <f t="shared" si="1"/>
        <v>753.2</v>
      </c>
      <c r="J10" s="218">
        <f t="shared" si="1"/>
        <v>918.9</v>
      </c>
      <c r="K10" s="218">
        <f t="shared" si="1"/>
        <v>606.1</v>
      </c>
      <c r="L10" s="218">
        <f t="shared" si="1"/>
        <v>918.9</v>
      </c>
      <c r="M10" s="218">
        <f t="shared" si="1"/>
        <v>970.9</v>
      </c>
      <c r="N10" s="103">
        <f t="shared" si="1"/>
        <v>1039.7</v>
      </c>
      <c r="O10" s="62">
        <f t="shared" si="1"/>
        <v>1110</v>
      </c>
    </row>
    <row r="11" spans="1:16" ht="19.5" customHeight="1">
      <c r="A11" s="386" t="s">
        <v>65</v>
      </c>
      <c r="B11" s="438" t="s">
        <v>125</v>
      </c>
      <c r="C11" s="242" t="s">
        <v>43</v>
      </c>
      <c r="D11" s="242" t="s">
        <v>168</v>
      </c>
      <c r="E11" s="242"/>
      <c r="F11" s="242"/>
      <c r="G11" s="261">
        <f>G12</f>
        <v>753.2</v>
      </c>
      <c r="H11" s="261">
        <f>H12</f>
        <v>530.70000000000005</v>
      </c>
      <c r="I11" s="261">
        <f>I12</f>
        <v>753.2</v>
      </c>
      <c r="J11" s="261">
        <f t="shared" si="1"/>
        <v>918.9</v>
      </c>
      <c r="K11" s="261">
        <f t="shared" si="1"/>
        <v>606.1</v>
      </c>
      <c r="L11" s="261">
        <f t="shared" si="1"/>
        <v>918.9</v>
      </c>
      <c r="M11" s="261">
        <v>970.9</v>
      </c>
      <c r="N11" s="104">
        <f t="shared" si="1"/>
        <v>1039.7</v>
      </c>
      <c r="O11" s="63">
        <f t="shared" si="1"/>
        <v>1110</v>
      </c>
    </row>
    <row r="12" spans="1:16" ht="39.75" customHeight="1">
      <c r="A12" s="386" t="s">
        <v>45</v>
      </c>
      <c r="B12" s="439" t="s">
        <v>449</v>
      </c>
      <c r="C12" s="157" t="s">
        <v>43</v>
      </c>
      <c r="D12" s="157" t="s">
        <v>168</v>
      </c>
      <c r="E12" s="157" t="s">
        <v>303</v>
      </c>
      <c r="F12" s="157"/>
      <c r="G12" s="158">
        <f>[2]роспись!H10</f>
        <v>753.2</v>
      </c>
      <c r="H12" s="160">
        <v>530.70000000000005</v>
      </c>
      <c r="I12" s="160">
        <v>753.2</v>
      </c>
      <c r="J12" s="160">
        <v>918.9</v>
      </c>
      <c r="K12" s="160">
        <v>606.1</v>
      </c>
      <c r="L12" s="160">
        <v>918.9</v>
      </c>
      <c r="M12" s="235">
        <f>ведомст.структ!N13</f>
        <v>970.9</v>
      </c>
      <c r="N12" s="105">
        <v>1039.7</v>
      </c>
      <c r="O12" s="29">
        <v>1110</v>
      </c>
      <c r="P12" s="61"/>
    </row>
    <row r="13" spans="1:16" ht="41.45" customHeight="1">
      <c r="A13" s="387" t="s">
        <v>3</v>
      </c>
      <c r="B13" s="437" t="s">
        <v>225</v>
      </c>
      <c r="C13" s="217" t="s">
        <v>29</v>
      </c>
      <c r="D13" s="217"/>
      <c r="E13" s="217"/>
      <c r="F13" s="217"/>
      <c r="G13" s="218">
        <f t="shared" ref="G13:O14" si="2">G14</f>
        <v>101.5</v>
      </c>
      <c r="H13" s="218">
        <f t="shared" si="2"/>
        <v>0</v>
      </c>
      <c r="I13" s="218">
        <f t="shared" si="2"/>
        <v>0</v>
      </c>
      <c r="J13" s="218">
        <f t="shared" ref="J13:O13" si="3">J14+J16</f>
        <v>636.29999999999995</v>
      </c>
      <c r="K13" s="218">
        <f t="shared" si="3"/>
        <v>347.6</v>
      </c>
      <c r="L13" s="218">
        <f t="shared" si="3"/>
        <v>636.30000000000007</v>
      </c>
      <c r="M13" s="218">
        <f>M14+M16</f>
        <v>683.7</v>
      </c>
      <c r="N13" s="106">
        <f t="shared" si="3"/>
        <v>731.6</v>
      </c>
      <c r="O13" s="65">
        <f t="shared" si="3"/>
        <v>796.8</v>
      </c>
      <c r="P13" s="2" t="s">
        <v>299</v>
      </c>
    </row>
    <row r="14" spans="1:16" ht="30" customHeight="1">
      <c r="A14" s="386" t="s">
        <v>151</v>
      </c>
      <c r="B14" s="440" t="s">
        <v>274</v>
      </c>
      <c r="C14" s="422" t="s">
        <v>29</v>
      </c>
      <c r="D14" s="422" t="s">
        <v>304</v>
      </c>
      <c r="E14" s="422"/>
      <c r="F14" s="242"/>
      <c r="G14" s="261">
        <f t="shared" si="2"/>
        <v>101.5</v>
      </c>
      <c r="H14" s="261">
        <f t="shared" si="2"/>
        <v>0</v>
      </c>
      <c r="I14" s="261">
        <f t="shared" si="2"/>
        <v>0</v>
      </c>
      <c r="J14" s="261">
        <f t="shared" si="2"/>
        <v>99.9</v>
      </c>
      <c r="K14" s="261">
        <f t="shared" si="2"/>
        <v>0</v>
      </c>
      <c r="L14" s="261">
        <f t="shared" si="2"/>
        <v>99.7</v>
      </c>
      <c r="M14" s="261">
        <f t="shared" si="2"/>
        <v>103.5</v>
      </c>
      <c r="N14" s="104">
        <f t="shared" si="2"/>
        <v>124.2</v>
      </c>
      <c r="O14" s="63">
        <f t="shared" si="2"/>
        <v>132.30000000000001</v>
      </c>
      <c r="P14" s="36">
        <f>M9+M21</f>
        <v>16959.8</v>
      </c>
    </row>
    <row r="15" spans="1:16" ht="41.25" customHeight="1">
      <c r="A15" s="386" t="s">
        <v>199</v>
      </c>
      <c r="B15" s="441" t="s">
        <v>450</v>
      </c>
      <c r="C15" s="161" t="s">
        <v>29</v>
      </c>
      <c r="D15" s="157" t="s">
        <v>304</v>
      </c>
      <c r="E15" s="161" t="s">
        <v>305</v>
      </c>
      <c r="F15" s="157"/>
      <c r="G15" s="158">
        <v>101.5</v>
      </c>
      <c r="H15" s="442"/>
      <c r="I15" s="442"/>
      <c r="J15" s="158">
        <v>99.9</v>
      </c>
      <c r="K15" s="160"/>
      <c r="L15" s="160">
        <v>99.7</v>
      </c>
      <c r="M15" s="158">
        <f>ведомст.структ!N16</f>
        <v>103.5</v>
      </c>
      <c r="N15" s="42">
        <v>124.2</v>
      </c>
      <c r="O15" s="27">
        <v>132.30000000000001</v>
      </c>
    </row>
    <row r="16" spans="1:16" ht="29.25" customHeight="1">
      <c r="A16" s="387" t="s">
        <v>306</v>
      </c>
      <c r="B16" s="438" t="s">
        <v>307</v>
      </c>
      <c r="C16" s="242" t="s">
        <v>29</v>
      </c>
      <c r="D16" s="242" t="s">
        <v>239</v>
      </c>
      <c r="E16" s="242"/>
      <c r="F16" s="238"/>
      <c r="G16" s="239"/>
      <c r="H16" s="239"/>
      <c r="I16" s="239"/>
      <c r="J16" s="261">
        <f t="shared" ref="J16:O16" si="4">J17+J18</f>
        <v>536.4</v>
      </c>
      <c r="K16" s="261">
        <f t="shared" si="4"/>
        <v>347.6</v>
      </c>
      <c r="L16" s="261">
        <f t="shared" si="4"/>
        <v>536.6</v>
      </c>
      <c r="M16" s="261">
        <f>M17+M18+M21</f>
        <v>580.20000000000005</v>
      </c>
      <c r="N16" s="106">
        <f t="shared" si="4"/>
        <v>607.4</v>
      </c>
      <c r="O16" s="65">
        <f t="shared" si="4"/>
        <v>664.5</v>
      </c>
    </row>
    <row r="17" spans="1:15" ht="44.25" customHeight="1" thickBot="1">
      <c r="A17" s="386" t="s">
        <v>308</v>
      </c>
      <c r="B17" s="443" t="s">
        <v>449</v>
      </c>
      <c r="C17" s="165" t="s">
        <v>29</v>
      </c>
      <c r="D17" s="165" t="s">
        <v>239</v>
      </c>
      <c r="E17" s="165" t="s">
        <v>303</v>
      </c>
      <c r="F17" s="164"/>
      <c r="G17" s="158"/>
      <c r="H17" s="158"/>
      <c r="I17" s="158"/>
      <c r="J17" s="158">
        <v>519.5</v>
      </c>
      <c r="K17" s="158">
        <v>330.8</v>
      </c>
      <c r="L17" s="158">
        <v>519.70000000000005</v>
      </c>
      <c r="M17" s="158">
        <f>ведомст.структ!N18</f>
        <v>570.20000000000005</v>
      </c>
      <c r="N17" s="107">
        <v>607.4</v>
      </c>
      <c r="O17" s="60">
        <v>664.5</v>
      </c>
    </row>
    <row r="18" spans="1:15" ht="34.5" hidden="1" customHeight="1" thickBot="1">
      <c r="A18" s="387" t="s">
        <v>309</v>
      </c>
      <c r="B18" s="444" t="s">
        <v>310</v>
      </c>
      <c r="C18" s="165" t="s">
        <v>29</v>
      </c>
      <c r="D18" s="165" t="s">
        <v>239</v>
      </c>
      <c r="E18" s="165" t="s">
        <v>311</v>
      </c>
      <c r="F18" s="354"/>
      <c r="G18" s="361" t="e">
        <f>G19+G42+G50+G60+G68+G73+G84+G88</f>
        <v>#REF!</v>
      </c>
      <c r="H18" s="361" t="e">
        <f>H19+H42+H50+H60+H68+H73+H84+H88</f>
        <v>#REF!</v>
      </c>
      <c r="I18" s="361" t="e">
        <f>I19+I42+I50+I60+I68+I73+I84+I88</f>
        <v>#REF!</v>
      </c>
      <c r="J18" s="158">
        <v>16.899999999999999</v>
      </c>
      <c r="K18" s="158">
        <v>16.8</v>
      </c>
      <c r="L18" s="158">
        <v>16.899999999999999</v>
      </c>
      <c r="M18" s="158"/>
      <c r="N18" s="108"/>
      <c r="O18" s="66"/>
    </row>
    <row r="19" spans="1:15" ht="18" hidden="1" customHeight="1" thickBot="1">
      <c r="A19" s="384" t="s">
        <v>48</v>
      </c>
      <c r="B19" s="445" t="s">
        <v>143</v>
      </c>
      <c r="C19" s="354"/>
      <c r="D19" s="354"/>
      <c r="E19" s="354"/>
      <c r="F19" s="217"/>
      <c r="G19" s="218">
        <f>G20+G27+G30</f>
        <v>8582.7000000000007</v>
      </c>
      <c r="H19" s="218">
        <f>H20+H27+H30</f>
        <v>5247.5</v>
      </c>
      <c r="I19" s="218">
        <f>I20+I27+I30</f>
        <v>8520</v>
      </c>
      <c r="J19" s="361">
        <f>J20+J50+J61+J89+J100+J107+J119+J123+J57</f>
        <v>41724.5</v>
      </c>
      <c r="K19" s="361">
        <f>K20+K50+K61+K89+K100+K107+K119+K123+K57</f>
        <v>16055.000000000002</v>
      </c>
      <c r="L19" s="361">
        <f>L20+L50+L61+L89+L100+L107+L119+L123+L57</f>
        <v>39131.900000000009</v>
      </c>
      <c r="M19" s="361">
        <f>M20+M50+M57+M61+M89+M100+M107+M119+M123</f>
        <v>70132.2</v>
      </c>
      <c r="N19" s="102">
        <f>N20+N50+N61+N89+N100+N107+N119+N123+N57</f>
        <v>73274.4424</v>
      </c>
      <c r="O19" s="46">
        <f>O20+O50+O61+O89+O100+O107+O119+O123+O57</f>
        <v>77332.446231999988</v>
      </c>
    </row>
    <row r="20" spans="1:15" ht="36" hidden="1" customHeight="1">
      <c r="A20" s="388" t="s">
        <v>132</v>
      </c>
      <c r="B20" s="437" t="s">
        <v>77</v>
      </c>
      <c r="C20" s="217" t="s">
        <v>14</v>
      </c>
      <c r="D20" s="217"/>
      <c r="E20" s="217"/>
      <c r="F20" s="155"/>
      <c r="G20" s="156">
        <f>G21+G23+G25</f>
        <v>8092.7000000000007</v>
      </c>
      <c r="H20" s="156">
        <f>H21+H23</f>
        <v>5102.6000000000004</v>
      </c>
      <c r="I20" s="156">
        <f>I21+I23</f>
        <v>8080</v>
      </c>
      <c r="J20" s="218">
        <f t="shared" ref="J20:O20" si="5">J21+J34+J37</f>
        <v>1457.5</v>
      </c>
      <c r="K20" s="218">
        <f t="shared" si="5"/>
        <v>992.90000000000009</v>
      </c>
      <c r="L20" s="218">
        <f t="shared" si="5"/>
        <v>1406.7</v>
      </c>
      <c r="M20" s="218">
        <f>M21+M31+M34+M37</f>
        <v>1922.5</v>
      </c>
      <c r="N20" s="109">
        <f>N21+N34+N37+N31</f>
        <v>1199.625</v>
      </c>
      <c r="O20" s="67">
        <f t="shared" si="5"/>
        <v>1286.5473750000001</v>
      </c>
    </row>
    <row r="21" spans="1:15" ht="30" customHeight="1" thickBot="1">
      <c r="A21" s="386" t="s">
        <v>308</v>
      </c>
      <c r="B21" s="443" t="s">
        <v>451</v>
      </c>
      <c r="C21" s="165" t="s">
        <v>29</v>
      </c>
      <c r="D21" s="165" t="s">
        <v>239</v>
      </c>
      <c r="E21" s="165" t="s">
        <v>311</v>
      </c>
      <c r="F21" s="164"/>
      <c r="G21" s="158"/>
      <c r="H21" s="158"/>
      <c r="I21" s="158"/>
      <c r="J21" s="158">
        <v>519.5</v>
      </c>
      <c r="K21" s="158">
        <v>330.8</v>
      </c>
      <c r="L21" s="158">
        <v>519.70000000000005</v>
      </c>
      <c r="M21" s="158">
        <f>ведомст.структ!N20</f>
        <v>10</v>
      </c>
      <c r="N21" s="107">
        <v>607.4</v>
      </c>
      <c r="O21" s="60">
        <v>664.5</v>
      </c>
    </row>
    <row r="22" spans="1:15" ht="38.25" customHeight="1">
      <c r="A22" s="389" t="s">
        <v>45</v>
      </c>
      <c r="B22" s="438" t="s">
        <v>133</v>
      </c>
      <c r="C22" s="242" t="s">
        <v>47</v>
      </c>
      <c r="D22" s="242" t="s">
        <v>146</v>
      </c>
      <c r="E22" s="242"/>
      <c r="F22" s="242"/>
      <c r="G22" s="261">
        <v>812</v>
      </c>
      <c r="H22" s="261">
        <v>615.29999999999995</v>
      </c>
      <c r="I22" s="261">
        <v>812</v>
      </c>
      <c r="J22" s="261">
        <f t="shared" ref="J22:O22" si="6">J23</f>
        <v>941.8</v>
      </c>
      <c r="K22" s="261">
        <f t="shared" si="6"/>
        <v>625.6</v>
      </c>
      <c r="L22" s="261">
        <f t="shared" si="6"/>
        <v>941.8</v>
      </c>
      <c r="M22" s="261">
        <f t="shared" si="6"/>
        <v>1007.4</v>
      </c>
      <c r="N22" s="110">
        <f t="shared" si="6"/>
        <v>1078.5999999999999</v>
      </c>
      <c r="O22" s="68">
        <f t="shared" si="6"/>
        <v>1151.3</v>
      </c>
    </row>
    <row r="23" spans="1:15" ht="43.5" customHeight="1">
      <c r="A23" s="389" t="s">
        <v>44</v>
      </c>
      <c r="B23" s="446" t="s">
        <v>449</v>
      </c>
      <c r="C23" s="173" t="s">
        <v>47</v>
      </c>
      <c r="D23" s="173" t="s">
        <v>146</v>
      </c>
      <c r="E23" s="173" t="s">
        <v>303</v>
      </c>
      <c r="F23" s="173"/>
      <c r="G23" s="235">
        <f>G24</f>
        <v>8080.0000000000009</v>
      </c>
      <c r="H23" s="235">
        <f>H24</f>
        <v>5102.6000000000004</v>
      </c>
      <c r="I23" s="235">
        <f>I24</f>
        <v>8080</v>
      </c>
      <c r="J23" s="235">
        <v>941.8</v>
      </c>
      <c r="K23" s="235">
        <v>625.6</v>
      </c>
      <c r="L23" s="235">
        <v>941.8</v>
      </c>
      <c r="M23" s="235">
        <f>ведомст.структ!N25</f>
        <v>1007.4</v>
      </c>
      <c r="N23" s="43">
        <v>1078.5999999999999</v>
      </c>
      <c r="O23" s="29">
        <v>1151.3</v>
      </c>
    </row>
    <row r="24" spans="1:15" ht="36">
      <c r="A24" s="390" t="s">
        <v>144</v>
      </c>
      <c r="B24" s="266" t="s">
        <v>145</v>
      </c>
      <c r="C24" s="242" t="s">
        <v>47</v>
      </c>
      <c r="D24" s="242" t="s">
        <v>147</v>
      </c>
      <c r="E24" s="242"/>
      <c r="F24" s="242"/>
      <c r="G24" s="261">
        <f>[2]роспись!H22</f>
        <v>8080.0000000000009</v>
      </c>
      <c r="H24" s="261">
        <v>5102.6000000000004</v>
      </c>
      <c r="I24" s="261">
        <v>8080</v>
      </c>
      <c r="J24" s="261">
        <f t="shared" ref="J24:O24" si="7">J25+J26</f>
        <v>10432.200000000001</v>
      </c>
      <c r="K24" s="261">
        <f t="shared" si="7"/>
        <v>6222.6</v>
      </c>
      <c r="L24" s="261">
        <f t="shared" si="7"/>
        <v>10432.200000000001</v>
      </c>
      <c r="M24" s="261">
        <f t="shared" si="7"/>
        <v>12370</v>
      </c>
      <c r="N24" s="111">
        <f t="shared" si="7"/>
        <v>12253.099999999999</v>
      </c>
      <c r="O24" s="64">
        <f t="shared" si="7"/>
        <v>12999.7935</v>
      </c>
    </row>
    <row r="25" spans="1:15" ht="40.5" customHeight="1">
      <c r="A25" s="390"/>
      <c r="B25" s="446" t="s">
        <v>449</v>
      </c>
      <c r="C25" s="173" t="s">
        <v>47</v>
      </c>
      <c r="D25" s="173" t="s">
        <v>147</v>
      </c>
      <c r="E25" s="173" t="s">
        <v>303</v>
      </c>
      <c r="F25" s="174" t="s">
        <v>81</v>
      </c>
      <c r="G25" s="175">
        <f>G26</f>
        <v>12.7</v>
      </c>
      <c r="H25" s="175">
        <f>H26</f>
        <v>0</v>
      </c>
      <c r="I25" s="175" t="str">
        <f>I26</f>
        <v>12,7</v>
      </c>
      <c r="J25" s="235">
        <v>8250.9</v>
      </c>
      <c r="K25" s="175">
        <v>5168.5</v>
      </c>
      <c r="L25" s="175">
        <v>8250.9</v>
      </c>
      <c r="M25" s="175">
        <f>ведомст.структ!N27</f>
        <v>10559.9</v>
      </c>
      <c r="N25" s="112">
        <v>9811.4</v>
      </c>
      <c r="O25" s="30">
        <v>10423.799999999999</v>
      </c>
    </row>
    <row r="26" spans="1:15" s="9" customFormat="1" ht="24">
      <c r="A26" s="390"/>
      <c r="B26" s="446" t="s">
        <v>313</v>
      </c>
      <c r="C26" s="173" t="s">
        <v>47</v>
      </c>
      <c r="D26" s="173" t="s">
        <v>147</v>
      </c>
      <c r="E26" s="173" t="s">
        <v>314</v>
      </c>
      <c r="F26" s="174" t="s">
        <v>81</v>
      </c>
      <c r="G26" s="175">
        <f>[2]роспись!H37</f>
        <v>12.7</v>
      </c>
      <c r="H26" s="175"/>
      <c r="I26" s="175" t="s">
        <v>192</v>
      </c>
      <c r="J26" s="235">
        <f t="shared" ref="J26:O26" si="8">J27+J28</f>
        <v>2181.3000000000002</v>
      </c>
      <c r="K26" s="235">
        <f t="shared" si="8"/>
        <v>1054.0999999999999</v>
      </c>
      <c r="L26" s="235">
        <f t="shared" si="8"/>
        <v>2181.3000000000002</v>
      </c>
      <c r="M26" s="235">
        <f t="shared" si="8"/>
        <v>1810.1</v>
      </c>
      <c r="N26" s="111">
        <f t="shared" si="8"/>
        <v>2441.6999999999998</v>
      </c>
      <c r="O26" s="64">
        <f t="shared" si="8"/>
        <v>2575.9935</v>
      </c>
    </row>
    <row r="27" spans="1:15" s="9" customFormat="1" ht="24">
      <c r="A27" s="390"/>
      <c r="B27" s="446" t="s">
        <v>315</v>
      </c>
      <c r="C27" s="173" t="s">
        <v>47</v>
      </c>
      <c r="D27" s="173" t="s">
        <v>147</v>
      </c>
      <c r="E27" s="173" t="s">
        <v>226</v>
      </c>
      <c r="F27" s="177"/>
      <c r="G27" s="178">
        <f t="shared" ref="G27:I28" si="9">G28</f>
        <v>50</v>
      </c>
      <c r="H27" s="178">
        <f t="shared" si="9"/>
        <v>0</v>
      </c>
      <c r="I27" s="178">
        <f t="shared" si="9"/>
        <v>0</v>
      </c>
      <c r="J27" s="235">
        <v>702.2</v>
      </c>
      <c r="K27" s="179">
        <v>467.5</v>
      </c>
      <c r="L27" s="179">
        <v>702.2</v>
      </c>
      <c r="M27" s="179">
        <f>ведомст.структ!N29</f>
        <v>743.1</v>
      </c>
      <c r="N27" s="113">
        <v>786</v>
      </c>
      <c r="O27" s="86">
        <f>N27*1.055</f>
        <v>829.2299999999999</v>
      </c>
    </row>
    <row r="28" spans="1:15" s="9" customFormat="1" ht="36" customHeight="1">
      <c r="A28" s="390"/>
      <c r="B28" s="446" t="s">
        <v>451</v>
      </c>
      <c r="C28" s="173" t="s">
        <v>47</v>
      </c>
      <c r="D28" s="173" t="s">
        <v>147</v>
      </c>
      <c r="E28" s="173" t="s">
        <v>311</v>
      </c>
      <c r="F28" s="174"/>
      <c r="G28" s="175">
        <f t="shared" si="9"/>
        <v>50</v>
      </c>
      <c r="H28" s="175">
        <f t="shared" si="9"/>
        <v>0</v>
      </c>
      <c r="I28" s="175">
        <f t="shared" si="9"/>
        <v>0</v>
      </c>
      <c r="J28" s="235">
        <v>1479.1</v>
      </c>
      <c r="K28" s="175">
        <v>586.6</v>
      </c>
      <c r="L28" s="175">
        <v>1479.1</v>
      </c>
      <c r="M28" s="179">
        <f>ведомст.структ!N30</f>
        <v>1067</v>
      </c>
      <c r="N28" s="113">
        <v>1655.7</v>
      </c>
      <c r="O28" s="86">
        <f>N28*1.055</f>
        <v>1746.7635</v>
      </c>
    </row>
    <row r="29" spans="1:15" s="9" customFormat="1" ht="60">
      <c r="A29" s="390" t="s">
        <v>148</v>
      </c>
      <c r="B29" s="266" t="s">
        <v>153</v>
      </c>
      <c r="C29" s="269" t="s">
        <v>47</v>
      </c>
      <c r="D29" s="269" t="s">
        <v>437</v>
      </c>
      <c r="E29" s="269"/>
      <c r="F29" s="269"/>
      <c r="G29" s="423">
        <v>50</v>
      </c>
      <c r="H29" s="261"/>
      <c r="I29" s="261"/>
      <c r="J29" s="423">
        <f t="shared" ref="J29:O29" si="10">J30</f>
        <v>5</v>
      </c>
      <c r="K29" s="423">
        <f t="shared" si="10"/>
        <v>0</v>
      </c>
      <c r="L29" s="423">
        <v>5</v>
      </c>
      <c r="M29" s="423">
        <f t="shared" si="10"/>
        <v>5.3</v>
      </c>
      <c r="N29" s="114">
        <f t="shared" si="10"/>
        <v>0</v>
      </c>
      <c r="O29" s="69">
        <f t="shared" si="10"/>
        <v>0</v>
      </c>
    </row>
    <row r="30" spans="1:15" ht="32.25" customHeight="1">
      <c r="A30" s="391" t="s">
        <v>154</v>
      </c>
      <c r="B30" s="446" t="s">
        <v>451</v>
      </c>
      <c r="C30" s="174" t="s">
        <v>47</v>
      </c>
      <c r="D30" s="174" t="s">
        <v>437</v>
      </c>
      <c r="E30" s="174" t="s">
        <v>311</v>
      </c>
      <c r="F30" s="177"/>
      <c r="G30" s="178">
        <f>G34+G36+G38+G40</f>
        <v>440</v>
      </c>
      <c r="H30" s="178">
        <f>H34+H36+H38+H40</f>
        <v>144.9</v>
      </c>
      <c r="I30" s="178">
        <f>I34+I36+I38+I40</f>
        <v>440</v>
      </c>
      <c r="J30" s="235">
        <v>5</v>
      </c>
      <c r="K30" s="179">
        <v>0</v>
      </c>
      <c r="L30" s="179">
        <v>5</v>
      </c>
      <c r="M30" s="179">
        <f>ведомст.структ!N32</f>
        <v>5.3</v>
      </c>
      <c r="N30" s="115"/>
      <c r="O30" s="54"/>
    </row>
    <row r="31" spans="1:15" ht="25.5" customHeight="1">
      <c r="A31" s="392" t="s">
        <v>3</v>
      </c>
      <c r="B31" s="290" t="s">
        <v>454</v>
      </c>
      <c r="C31" s="217" t="s">
        <v>407</v>
      </c>
      <c r="D31" s="217" t="s">
        <v>411</v>
      </c>
      <c r="E31" s="217"/>
      <c r="F31" s="217"/>
      <c r="G31" s="217"/>
      <c r="H31" s="217"/>
      <c r="I31" s="217"/>
      <c r="J31" s="217"/>
      <c r="K31" s="217"/>
      <c r="L31" s="217"/>
      <c r="M31" s="363">
        <f>M32</f>
        <v>1350</v>
      </c>
      <c r="N31" s="116"/>
      <c r="O31" s="40"/>
    </row>
    <row r="32" spans="1:15" ht="13.5">
      <c r="A32" s="391" t="s">
        <v>151</v>
      </c>
      <c r="B32" s="266" t="s">
        <v>410</v>
      </c>
      <c r="C32" s="269" t="s">
        <v>407</v>
      </c>
      <c r="D32" s="269" t="s">
        <v>409</v>
      </c>
      <c r="E32" s="269"/>
      <c r="F32" s="242"/>
      <c r="G32" s="424"/>
      <c r="H32" s="424"/>
      <c r="I32" s="424"/>
      <c r="J32" s="261"/>
      <c r="K32" s="424"/>
      <c r="L32" s="424"/>
      <c r="M32" s="424">
        <f>M33</f>
        <v>1350</v>
      </c>
      <c r="N32" s="117"/>
      <c r="O32" s="54"/>
    </row>
    <row r="33" spans="1:15" ht="28.5" customHeight="1">
      <c r="A33" s="391" t="s">
        <v>155</v>
      </c>
      <c r="B33" s="446" t="s">
        <v>451</v>
      </c>
      <c r="C33" s="174" t="s">
        <v>407</v>
      </c>
      <c r="D33" s="174" t="s">
        <v>408</v>
      </c>
      <c r="E33" s="174" t="s">
        <v>311</v>
      </c>
      <c r="F33" s="177"/>
      <c r="G33" s="178"/>
      <c r="H33" s="178"/>
      <c r="I33" s="178"/>
      <c r="J33" s="235"/>
      <c r="K33" s="179"/>
      <c r="L33" s="179"/>
      <c r="M33" s="179">
        <f>ведомст.структ!N35</f>
        <v>1350</v>
      </c>
      <c r="N33" s="117"/>
      <c r="O33" s="54"/>
    </row>
    <row r="34" spans="1:15" ht="21.75" customHeight="1">
      <c r="A34" s="393" t="s">
        <v>273</v>
      </c>
      <c r="B34" s="290" t="s">
        <v>429</v>
      </c>
      <c r="C34" s="217" t="s">
        <v>175</v>
      </c>
      <c r="D34" s="217"/>
      <c r="E34" s="217"/>
      <c r="F34" s="288"/>
      <c r="G34" s="289">
        <f>G35</f>
        <v>80</v>
      </c>
      <c r="H34" s="289">
        <f t="shared" ref="H34:O35" si="11">H35</f>
        <v>69.900000000000006</v>
      </c>
      <c r="I34" s="289">
        <f t="shared" si="11"/>
        <v>80</v>
      </c>
      <c r="J34" s="363">
        <f t="shared" si="11"/>
        <v>50</v>
      </c>
      <c r="K34" s="363">
        <f t="shared" si="11"/>
        <v>0</v>
      </c>
      <c r="L34" s="363">
        <f t="shared" si="11"/>
        <v>0</v>
      </c>
      <c r="M34" s="363">
        <f t="shared" si="11"/>
        <v>50</v>
      </c>
      <c r="N34" s="118">
        <f t="shared" si="11"/>
        <v>50</v>
      </c>
      <c r="O34" s="70">
        <f t="shared" si="11"/>
        <v>50</v>
      </c>
    </row>
    <row r="35" spans="1:15" ht="13.5">
      <c r="A35" s="394" t="s">
        <v>78</v>
      </c>
      <c r="B35" s="438" t="s">
        <v>134</v>
      </c>
      <c r="C35" s="269" t="s">
        <v>175</v>
      </c>
      <c r="D35" s="269" t="s">
        <v>156</v>
      </c>
      <c r="E35" s="269"/>
      <c r="F35" s="242"/>
      <c r="G35" s="261">
        <v>80</v>
      </c>
      <c r="H35" s="261">
        <v>69.900000000000006</v>
      </c>
      <c r="I35" s="261">
        <v>80</v>
      </c>
      <c r="J35" s="423">
        <f t="shared" si="11"/>
        <v>50</v>
      </c>
      <c r="K35" s="423">
        <f t="shared" si="11"/>
        <v>0</v>
      </c>
      <c r="L35" s="423">
        <f t="shared" si="11"/>
        <v>0</v>
      </c>
      <c r="M35" s="423">
        <f t="shared" si="11"/>
        <v>50</v>
      </c>
      <c r="N35" s="119">
        <f t="shared" si="11"/>
        <v>50</v>
      </c>
      <c r="O35" s="71">
        <f t="shared" si="11"/>
        <v>50</v>
      </c>
    </row>
    <row r="36" spans="1:15" ht="13.5">
      <c r="A36" s="394" t="s">
        <v>79</v>
      </c>
      <c r="B36" s="439" t="s">
        <v>316</v>
      </c>
      <c r="C36" s="180" t="s">
        <v>175</v>
      </c>
      <c r="D36" s="180" t="s">
        <v>156</v>
      </c>
      <c r="E36" s="180" t="s">
        <v>317</v>
      </c>
      <c r="F36" s="181"/>
      <c r="G36" s="182">
        <f>G37</f>
        <v>100</v>
      </c>
      <c r="H36" s="182">
        <f>H37</f>
        <v>0</v>
      </c>
      <c r="I36" s="182">
        <f>I37</f>
        <v>100</v>
      </c>
      <c r="J36" s="158">
        <v>50</v>
      </c>
      <c r="K36" s="182"/>
      <c r="L36" s="182">
        <v>0</v>
      </c>
      <c r="M36" s="183">
        <f>ведомст.структ!N38</f>
        <v>50</v>
      </c>
      <c r="N36" s="113">
        <v>50</v>
      </c>
      <c r="O36" s="86">
        <v>50</v>
      </c>
    </row>
    <row r="37" spans="1:15" ht="16.5" customHeight="1">
      <c r="A37" s="395" t="s">
        <v>290</v>
      </c>
      <c r="B37" s="290" t="s">
        <v>30</v>
      </c>
      <c r="C37" s="217" t="s">
        <v>176</v>
      </c>
      <c r="D37" s="217"/>
      <c r="E37" s="217"/>
      <c r="F37" s="288"/>
      <c r="G37" s="289">
        <v>100</v>
      </c>
      <c r="H37" s="289"/>
      <c r="I37" s="289">
        <v>100</v>
      </c>
      <c r="J37" s="363">
        <f t="shared" ref="J37:O37" si="12">J38+J40+J42+J44+J46+J48</f>
        <v>888</v>
      </c>
      <c r="K37" s="363">
        <f t="shared" si="12"/>
        <v>662.1</v>
      </c>
      <c r="L37" s="363">
        <f t="shared" si="12"/>
        <v>887</v>
      </c>
      <c r="M37" s="218">
        <f t="shared" si="12"/>
        <v>512.5</v>
      </c>
      <c r="N37" s="120">
        <f t="shared" si="12"/>
        <v>542.22500000000014</v>
      </c>
      <c r="O37" s="100">
        <f t="shared" si="12"/>
        <v>572.0473750000001</v>
      </c>
    </row>
    <row r="38" spans="1:15" ht="15.6" hidden="1" customHeight="1">
      <c r="A38" s="396" t="s">
        <v>291</v>
      </c>
      <c r="B38" s="216" t="s">
        <v>135</v>
      </c>
      <c r="C38" s="157" t="s">
        <v>176</v>
      </c>
      <c r="D38" s="157" t="s">
        <v>157</v>
      </c>
      <c r="E38" s="157"/>
      <c r="F38" s="181"/>
      <c r="G38" s="182">
        <f t="shared" ref="G38:O38" si="13">G39</f>
        <v>200</v>
      </c>
      <c r="H38" s="182">
        <f t="shared" si="13"/>
        <v>60</v>
      </c>
      <c r="I38" s="182">
        <f t="shared" si="13"/>
        <v>200</v>
      </c>
      <c r="J38" s="158">
        <f t="shared" si="13"/>
        <v>66</v>
      </c>
      <c r="K38" s="158">
        <f t="shared" si="13"/>
        <v>65</v>
      </c>
      <c r="L38" s="158">
        <f t="shared" si="13"/>
        <v>65</v>
      </c>
      <c r="M38" s="158">
        <f t="shared" si="13"/>
        <v>0</v>
      </c>
      <c r="N38" s="104">
        <f t="shared" si="13"/>
        <v>0</v>
      </c>
      <c r="O38" s="63">
        <f t="shared" si="13"/>
        <v>0</v>
      </c>
    </row>
    <row r="39" spans="1:15" ht="15.95" hidden="1" customHeight="1">
      <c r="A39" s="386" t="s">
        <v>292</v>
      </c>
      <c r="B39" s="435" t="s">
        <v>310</v>
      </c>
      <c r="C39" s="157" t="s">
        <v>176</v>
      </c>
      <c r="D39" s="157" t="s">
        <v>157</v>
      </c>
      <c r="E39" s="157" t="s">
        <v>311</v>
      </c>
      <c r="F39" s="157"/>
      <c r="G39" s="158">
        <f>[2]роспись!H46</f>
        <v>200</v>
      </c>
      <c r="H39" s="158">
        <v>60</v>
      </c>
      <c r="I39" s="158">
        <v>200</v>
      </c>
      <c r="J39" s="158">
        <v>66</v>
      </c>
      <c r="K39" s="158">
        <v>65</v>
      </c>
      <c r="L39" s="158">
        <v>65</v>
      </c>
      <c r="M39" s="158">
        <v>0</v>
      </c>
      <c r="N39" s="121">
        <f>M39*1.062</f>
        <v>0</v>
      </c>
      <c r="O39" s="27">
        <f>N39*1.061</f>
        <v>0</v>
      </c>
    </row>
    <row r="40" spans="1:15" ht="39" customHeight="1">
      <c r="A40" s="396" t="s">
        <v>293</v>
      </c>
      <c r="B40" s="266" t="s">
        <v>263</v>
      </c>
      <c r="C40" s="242" t="s">
        <v>176</v>
      </c>
      <c r="D40" s="242" t="s">
        <v>158</v>
      </c>
      <c r="E40" s="242"/>
      <c r="F40" s="242"/>
      <c r="G40" s="424">
        <f>G41</f>
        <v>60</v>
      </c>
      <c r="H40" s="424">
        <f t="shared" ref="H40:O40" si="14">H41</f>
        <v>15</v>
      </c>
      <c r="I40" s="424">
        <f t="shared" si="14"/>
        <v>60</v>
      </c>
      <c r="J40" s="261">
        <f t="shared" si="14"/>
        <v>100</v>
      </c>
      <c r="K40" s="261">
        <f t="shared" si="14"/>
        <v>45</v>
      </c>
      <c r="L40" s="261">
        <f t="shared" si="14"/>
        <v>100</v>
      </c>
      <c r="M40" s="261">
        <f t="shared" si="14"/>
        <v>100</v>
      </c>
      <c r="N40" s="106">
        <f t="shared" si="14"/>
        <v>105.80000000000001</v>
      </c>
      <c r="O40" s="65">
        <f t="shared" si="14"/>
        <v>111.619</v>
      </c>
    </row>
    <row r="41" spans="1:15" ht="28.5" customHeight="1">
      <c r="A41" s="386" t="s">
        <v>292</v>
      </c>
      <c r="B41" s="447" t="s">
        <v>318</v>
      </c>
      <c r="C41" s="173" t="s">
        <v>176</v>
      </c>
      <c r="D41" s="173" t="s">
        <v>158</v>
      </c>
      <c r="E41" s="173" t="s">
        <v>319</v>
      </c>
      <c r="F41" s="173"/>
      <c r="G41" s="173">
        <f>[2]роспись!H48</f>
        <v>60</v>
      </c>
      <c r="H41" s="235">
        <v>15</v>
      </c>
      <c r="I41" s="235">
        <v>60</v>
      </c>
      <c r="J41" s="235">
        <v>100</v>
      </c>
      <c r="K41" s="235">
        <v>45</v>
      </c>
      <c r="L41" s="235">
        <v>100</v>
      </c>
      <c r="M41" s="235">
        <f>ведомст.структ!N43</f>
        <v>100</v>
      </c>
      <c r="N41" s="121">
        <f t="shared" ref="N41:N47" si="15">M41*1.058</f>
        <v>105.80000000000001</v>
      </c>
      <c r="O41" s="27">
        <f t="shared" ref="O41:O47" si="16">N41*1.055</f>
        <v>111.619</v>
      </c>
    </row>
    <row r="42" spans="1:15" ht="24">
      <c r="A42" s="396" t="s">
        <v>294</v>
      </c>
      <c r="B42" s="266" t="s">
        <v>320</v>
      </c>
      <c r="C42" s="242" t="s">
        <v>176</v>
      </c>
      <c r="D42" s="242" t="s">
        <v>159</v>
      </c>
      <c r="E42" s="242"/>
      <c r="F42" s="242"/>
      <c r="G42" s="261" t="e">
        <f>G43</f>
        <v>#REF!</v>
      </c>
      <c r="H42" s="261" t="e">
        <f t="shared" ref="H42:O42" si="17">H43</f>
        <v>#REF!</v>
      </c>
      <c r="I42" s="261" t="e">
        <f t="shared" si="17"/>
        <v>#REF!</v>
      </c>
      <c r="J42" s="261">
        <f t="shared" si="17"/>
        <v>400</v>
      </c>
      <c r="K42" s="261">
        <f t="shared" si="17"/>
        <v>323.89999999999998</v>
      </c>
      <c r="L42" s="261">
        <f t="shared" si="17"/>
        <v>400</v>
      </c>
      <c r="M42" s="261">
        <f t="shared" si="17"/>
        <v>232.5</v>
      </c>
      <c r="N42" s="106">
        <f t="shared" si="17"/>
        <v>245.98500000000001</v>
      </c>
      <c r="O42" s="65">
        <f t="shared" si="17"/>
        <v>259.51417500000002</v>
      </c>
    </row>
    <row r="43" spans="1:15" ht="36.950000000000003" customHeight="1">
      <c r="A43" s="386" t="s">
        <v>295</v>
      </c>
      <c r="B43" s="447" t="s">
        <v>451</v>
      </c>
      <c r="C43" s="173" t="s">
        <v>176</v>
      </c>
      <c r="D43" s="173" t="s">
        <v>159</v>
      </c>
      <c r="E43" s="173" t="s">
        <v>311</v>
      </c>
      <c r="F43" s="173"/>
      <c r="G43" s="235" t="e">
        <f>#REF!+G44</f>
        <v>#REF!</v>
      </c>
      <c r="H43" s="235" t="e">
        <f>#REF!+H44</f>
        <v>#REF!</v>
      </c>
      <c r="I43" s="235" t="e">
        <f>#REF!+I44</f>
        <v>#REF!</v>
      </c>
      <c r="J43" s="235">
        <v>400</v>
      </c>
      <c r="K43" s="235">
        <v>323.89999999999998</v>
      </c>
      <c r="L43" s="235">
        <v>400</v>
      </c>
      <c r="M43" s="235">
        <f>ведомст.структ!N45</f>
        <v>232.5</v>
      </c>
      <c r="N43" s="121">
        <f t="shared" si="15"/>
        <v>245.98500000000001</v>
      </c>
      <c r="O43" s="27">
        <f t="shared" si="16"/>
        <v>259.51417500000002</v>
      </c>
    </row>
    <row r="44" spans="1:15" ht="49.5" customHeight="1">
      <c r="A44" s="396" t="s">
        <v>296</v>
      </c>
      <c r="B44" s="266" t="s">
        <v>321</v>
      </c>
      <c r="C44" s="242" t="s">
        <v>176</v>
      </c>
      <c r="D44" s="242" t="s">
        <v>322</v>
      </c>
      <c r="E44" s="242"/>
      <c r="F44" s="242"/>
      <c r="G44" s="261">
        <f>G45</f>
        <v>70</v>
      </c>
      <c r="H44" s="261">
        <f t="shared" ref="H44:O44" si="18">H45</f>
        <v>0</v>
      </c>
      <c r="I44" s="261">
        <f t="shared" si="18"/>
        <v>20</v>
      </c>
      <c r="J44" s="261">
        <f t="shared" si="18"/>
        <v>60</v>
      </c>
      <c r="K44" s="261">
        <f t="shared" si="18"/>
        <v>30</v>
      </c>
      <c r="L44" s="261">
        <f t="shared" si="18"/>
        <v>60</v>
      </c>
      <c r="M44" s="261">
        <f t="shared" si="18"/>
        <v>60</v>
      </c>
      <c r="N44" s="106">
        <f t="shared" si="18"/>
        <v>63.480000000000004</v>
      </c>
      <c r="O44" s="65">
        <f t="shared" si="18"/>
        <v>66.971400000000003</v>
      </c>
    </row>
    <row r="45" spans="1:15" ht="13.5">
      <c r="A45" s="386" t="s">
        <v>297</v>
      </c>
      <c r="B45" s="447" t="s">
        <v>323</v>
      </c>
      <c r="C45" s="173" t="s">
        <v>176</v>
      </c>
      <c r="D45" s="173" t="s">
        <v>322</v>
      </c>
      <c r="E45" s="173" t="s">
        <v>324</v>
      </c>
      <c r="F45" s="173"/>
      <c r="G45" s="235">
        <v>70</v>
      </c>
      <c r="H45" s="235"/>
      <c r="I45" s="235">
        <v>20</v>
      </c>
      <c r="J45" s="235">
        <v>60</v>
      </c>
      <c r="K45" s="235">
        <v>30</v>
      </c>
      <c r="L45" s="235">
        <v>60</v>
      </c>
      <c r="M45" s="235">
        <f>ведомст.структ!N47</f>
        <v>60</v>
      </c>
      <c r="N45" s="121">
        <f t="shared" si="15"/>
        <v>63.480000000000004</v>
      </c>
      <c r="O45" s="27">
        <f t="shared" si="16"/>
        <v>66.971400000000003</v>
      </c>
    </row>
    <row r="46" spans="1:15" ht="36">
      <c r="A46" s="396" t="s">
        <v>325</v>
      </c>
      <c r="B46" s="266" t="s">
        <v>326</v>
      </c>
      <c r="C46" s="242" t="s">
        <v>176</v>
      </c>
      <c r="D46" s="242" t="s">
        <v>327</v>
      </c>
      <c r="E46" s="242"/>
      <c r="F46" s="242"/>
      <c r="G46" s="261" t="e">
        <f>G47+G51+#REF!+G54</f>
        <v>#REF!</v>
      </c>
      <c r="H46" s="261" t="e">
        <f>H47+H51+#REF!+H54</f>
        <v>#REF!</v>
      </c>
      <c r="I46" s="261" t="e">
        <f>I47+I51+#REF!+I54</f>
        <v>#REF!</v>
      </c>
      <c r="J46" s="261">
        <f t="shared" ref="J46:O46" si="19">J47</f>
        <v>92</v>
      </c>
      <c r="K46" s="261">
        <f t="shared" si="19"/>
        <v>48.2</v>
      </c>
      <c r="L46" s="261">
        <f t="shared" si="19"/>
        <v>92</v>
      </c>
      <c r="M46" s="261">
        <f t="shared" si="19"/>
        <v>20</v>
      </c>
      <c r="N46" s="106">
        <f t="shared" si="19"/>
        <v>21.16</v>
      </c>
      <c r="O46" s="65">
        <f t="shared" si="19"/>
        <v>22.323799999999999</v>
      </c>
    </row>
    <row r="47" spans="1:15" ht="36">
      <c r="A47" s="386" t="s">
        <v>328</v>
      </c>
      <c r="B47" s="447" t="s">
        <v>451</v>
      </c>
      <c r="C47" s="173" t="s">
        <v>176</v>
      </c>
      <c r="D47" s="173" t="s">
        <v>327</v>
      </c>
      <c r="E47" s="173" t="s">
        <v>311</v>
      </c>
      <c r="F47" s="173"/>
      <c r="G47" s="235"/>
      <c r="H47" s="235"/>
      <c r="I47" s="235"/>
      <c r="J47" s="235">
        <v>92</v>
      </c>
      <c r="K47" s="235">
        <v>48.2</v>
      </c>
      <c r="L47" s="235">
        <v>92</v>
      </c>
      <c r="M47" s="235">
        <f>ведомст.структ!N49</f>
        <v>20</v>
      </c>
      <c r="N47" s="121">
        <f t="shared" si="15"/>
        <v>21.16</v>
      </c>
      <c r="O47" s="27">
        <f t="shared" si="16"/>
        <v>22.323799999999999</v>
      </c>
    </row>
    <row r="48" spans="1:15" ht="60">
      <c r="A48" s="396" t="s">
        <v>329</v>
      </c>
      <c r="B48" s="266" t="s">
        <v>330</v>
      </c>
      <c r="C48" s="242" t="s">
        <v>176</v>
      </c>
      <c r="D48" s="242" t="s">
        <v>331</v>
      </c>
      <c r="E48" s="242"/>
      <c r="F48" s="242"/>
      <c r="G48" s="261"/>
      <c r="H48" s="261"/>
      <c r="I48" s="261"/>
      <c r="J48" s="425">
        <f t="shared" ref="J48:O48" si="20">J49</f>
        <v>170</v>
      </c>
      <c r="K48" s="425">
        <f t="shared" si="20"/>
        <v>150</v>
      </c>
      <c r="L48" s="425">
        <f t="shared" si="20"/>
        <v>170</v>
      </c>
      <c r="M48" s="426">
        <f t="shared" si="20"/>
        <v>100</v>
      </c>
      <c r="N48" s="122">
        <f t="shared" si="20"/>
        <v>105.80000000000001</v>
      </c>
      <c r="O48" s="99">
        <f t="shared" si="20"/>
        <v>111.619</v>
      </c>
    </row>
    <row r="49" spans="1:16" ht="36.75" thickBot="1">
      <c r="A49" s="397" t="s">
        <v>328</v>
      </c>
      <c r="B49" s="447" t="s">
        <v>451</v>
      </c>
      <c r="C49" s="173" t="s">
        <v>176</v>
      </c>
      <c r="D49" s="173" t="s">
        <v>331</v>
      </c>
      <c r="E49" s="173" t="s">
        <v>311</v>
      </c>
      <c r="F49" s="173"/>
      <c r="G49" s="235"/>
      <c r="H49" s="235"/>
      <c r="I49" s="235"/>
      <c r="J49" s="235">
        <v>170</v>
      </c>
      <c r="K49" s="235">
        <v>150</v>
      </c>
      <c r="L49" s="235">
        <v>170</v>
      </c>
      <c r="M49" s="235">
        <f>ведомст.структ!N51</f>
        <v>100</v>
      </c>
      <c r="N49" s="121">
        <f>M49*1.058</f>
        <v>105.80000000000001</v>
      </c>
      <c r="O49" s="27">
        <f>N49*1.055</f>
        <v>111.619</v>
      </c>
    </row>
    <row r="50" spans="1:16" ht="24.75" thickBot="1">
      <c r="A50" s="398" t="s">
        <v>51</v>
      </c>
      <c r="B50" s="445" t="s">
        <v>37</v>
      </c>
      <c r="C50" s="354" t="s">
        <v>31</v>
      </c>
      <c r="D50" s="354"/>
      <c r="E50" s="354"/>
      <c r="F50" s="354"/>
      <c r="G50" s="355" t="e">
        <f>G51+G53+G55+G58</f>
        <v>#REF!</v>
      </c>
      <c r="H50" s="355" t="e">
        <f>H51+H53+H55+H58</f>
        <v>#REF!</v>
      </c>
      <c r="I50" s="355" t="e">
        <f>I51+I53+I55+I58</f>
        <v>#REF!</v>
      </c>
      <c r="J50" s="355">
        <f t="shared" ref="J50:O50" si="21">J51</f>
        <v>128</v>
      </c>
      <c r="K50" s="355">
        <f t="shared" si="21"/>
        <v>93.9</v>
      </c>
      <c r="L50" s="355">
        <f t="shared" si="21"/>
        <v>128</v>
      </c>
      <c r="M50" s="355">
        <f t="shared" si="21"/>
        <v>50</v>
      </c>
      <c r="N50" s="123">
        <f t="shared" si="21"/>
        <v>52.900000000000006</v>
      </c>
      <c r="O50" s="72">
        <f t="shared" si="21"/>
        <v>55.8095</v>
      </c>
    </row>
    <row r="51" spans="1:16" ht="36">
      <c r="A51" s="399" t="s">
        <v>67</v>
      </c>
      <c r="B51" s="290" t="s">
        <v>173</v>
      </c>
      <c r="C51" s="217" t="s">
        <v>21</v>
      </c>
      <c r="D51" s="217"/>
      <c r="E51" s="217"/>
      <c r="F51" s="217"/>
      <c r="G51" s="218" t="e">
        <f>#REF!</f>
        <v>#REF!</v>
      </c>
      <c r="H51" s="218" t="e">
        <f>#REF!</f>
        <v>#REF!</v>
      </c>
      <c r="I51" s="218" t="e">
        <f>#REF!</f>
        <v>#REF!</v>
      </c>
      <c r="J51" s="218">
        <f t="shared" ref="J51:O51" si="22">J52+J54</f>
        <v>128</v>
      </c>
      <c r="K51" s="218">
        <f t="shared" si="22"/>
        <v>93.9</v>
      </c>
      <c r="L51" s="218">
        <f t="shared" si="22"/>
        <v>128</v>
      </c>
      <c r="M51" s="218">
        <f t="shared" si="22"/>
        <v>50</v>
      </c>
      <c r="N51" s="124">
        <f t="shared" si="22"/>
        <v>52.900000000000006</v>
      </c>
      <c r="O51" s="73">
        <f t="shared" si="22"/>
        <v>55.8095</v>
      </c>
    </row>
    <row r="52" spans="1:16" ht="36" hidden="1">
      <c r="A52" s="386" t="s">
        <v>68</v>
      </c>
      <c r="B52" s="216" t="s">
        <v>136</v>
      </c>
      <c r="C52" s="181" t="s">
        <v>21</v>
      </c>
      <c r="D52" s="181" t="s">
        <v>161</v>
      </c>
      <c r="E52" s="181"/>
      <c r="F52" s="181"/>
      <c r="G52" s="240"/>
      <c r="H52" s="240"/>
      <c r="I52" s="240"/>
      <c r="J52" s="240">
        <f t="shared" ref="J52:O52" si="23">J53</f>
        <v>110</v>
      </c>
      <c r="K52" s="240">
        <f t="shared" si="23"/>
        <v>93.9</v>
      </c>
      <c r="L52" s="240">
        <f t="shared" si="23"/>
        <v>110</v>
      </c>
      <c r="M52" s="240">
        <f t="shared" si="23"/>
        <v>0</v>
      </c>
      <c r="N52" s="104">
        <f t="shared" si="23"/>
        <v>0</v>
      </c>
      <c r="O52" s="63">
        <f t="shared" si="23"/>
        <v>0</v>
      </c>
      <c r="P52" s="36"/>
    </row>
    <row r="53" spans="1:16" ht="24" hidden="1">
      <c r="A53" s="386" t="s">
        <v>137</v>
      </c>
      <c r="B53" s="448" t="s">
        <v>310</v>
      </c>
      <c r="C53" s="181" t="s">
        <v>21</v>
      </c>
      <c r="D53" s="181" t="s">
        <v>161</v>
      </c>
      <c r="E53" s="181" t="s">
        <v>311</v>
      </c>
      <c r="F53" s="181"/>
      <c r="G53" s="240">
        <f>G54</f>
        <v>5320</v>
      </c>
      <c r="H53" s="240">
        <f>H54</f>
        <v>3277.5</v>
      </c>
      <c r="I53" s="240">
        <f>I54</f>
        <v>5320</v>
      </c>
      <c r="J53" s="240">
        <v>110</v>
      </c>
      <c r="K53" s="240">
        <v>93.9</v>
      </c>
      <c r="L53" s="240">
        <v>110</v>
      </c>
      <c r="M53" s="240"/>
      <c r="N53" s="42">
        <f>M53*1.058</f>
        <v>0</v>
      </c>
      <c r="O53" s="27">
        <f>N53*1.055</f>
        <v>0</v>
      </c>
    </row>
    <row r="54" spans="1:16" ht="72">
      <c r="A54" s="386" t="s">
        <v>245</v>
      </c>
      <c r="B54" s="266" t="s">
        <v>332</v>
      </c>
      <c r="C54" s="242" t="s">
        <v>21</v>
      </c>
      <c r="D54" s="242" t="s">
        <v>160</v>
      </c>
      <c r="E54" s="242"/>
      <c r="F54" s="242"/>
      <c r="G54" s="261">
        <f>[2]роспись!H63</f>
        <v>5320</v>
      </c>
      <c r="H54" s="261">
        <v>3277.5</v>
      </c>
      <c r="I54" s="261">
        <v>5320</v>
      </c>
      <c r="J54" s="261">
        <f t="shared" ref="J54:O54" si="24">J55</f>
        <v>18</v>
      </c>
      <c r="K54" s="261">
        <f t="shared" si="24"/>
        <v>0</v>
      </c>
      <c r="L54" s="261">
        <f t="shared" si="24"/>
        <v>18</v>
      </c>
      <c r="M54" s="261">
        <f t="shared" si="24"/>
        <v>50</v>
      </c>
      <c r="N54" s="104">
        <f t="shared" si="24"/>
        <v>52.900000000000006</v>
      </c>
      <c r="O54" s="63">
        <f t="shared" si="24"/>
        <v>55.8095</v>
      </c>
    </row>
    <row r="55" spans="1:16" ht="36">
      <c r="A55" s="397" t="s">
        <v>246</v>
      </c>
      <c r="B55" s="435" t="s">
        <v>451</v>
      </c>
      <c r="C55" s="157" t="s">
        <v>21</v>
      </c>
      <c r="D55" s="157" t="s">
        <v>160</v>
      </c>
      <c r="E55" s="157" t="s">
        <v>311</v>
      </c>
      <c r="F55" s="157"/>
      <c r="G55" s="158">
        <f>G57</f>
        <v>668</v>
      </c>
      <c r="H55" s="158">
        <f>H57</f>
        <v>480</v>
      </c>
      <c r="I55" s="158">
        <f>I57</f>
        <v>668</v>
      </c>
      <c r="J55" s="158">
        <v>18</v>
      </c>
      <c r="K55" s="158">
        <v>0</v>
      </c>
      <c r="L55" s="158">
        <v>18</v>
      </c>
      <c r="M55" s="158">
        <f>ведомст.структ!N57</f>
        <v>50</v>
      </c>
      <c r="N55" s="42">
        <f>M55*1.058</f>
        <v>52.900000000000006</v>
      </c>
      <c r="O55" s="27">
        <f>N55*1.055</f>
        <v>55.8095</v>
      </c>
    </row>
    <row r="56" spans="1:16" ht="14.25" thickBot="1">
      <c r="A56" s="400"/>
      <c r="B56" s="449" t="s">
        <v>452</v>
      </c>
      <c r="C56" s="354" t="s">
        <v>453</v>
      </c>
      <c r="D56" s="354"/>
      <c r="E56" s="354"/>
      <c r="F56" s="354"/>
      <c r="G56" s="355"/>
      <c r="H56" s="355"/>
      <c r="I56" s="355"/>
      <c r="J56" s="355"/>
      <c r="K56" s="355"/>
      <c r="L56" s="355"/>
      <c r="M56" s="355">
        <f>M57</f>
        <v>48280.799999999996</v>
      </c>
      <c r="N56" s="291"/>
      <c r="O56" s="292"/>
    </row>
    <row r="57" spans="1:16" ht="22.5" customHeight="1" thickBot="1">
      <c r="A57" s="398" t="s">
        <v>80</v>
      </c>
      <c r="B57" s="437" t="s">
        <v>248</v>
      </c>
      <c r="C57" s="217" t="s">
        <v>247</v>
      </c>
      <c r="D57" s="217"/>
      <c r="E57" s="217"/>
      <c r="F57" s="217"/>
      <c r="G57" s="218">
        <f>[2]роспись!H68</f>
        <v>668</v>
      </c>
      <c r="H57" s="218">
        <v>480</v>
      </c>
      <c r="I57" s="218">
        <v>668</v>
      </c>
      <c r="J57" s="218">
        <f t="shared" ref="J57:O57" si="25">J58</f>
        <v>19052.300000000003</v>
      </c>
      <c r="K57" s="218">
        <f t="shared" si="25"/>
        <v>2772.6</v>
      </c>
      <c r="L57" s="218">
        <f t="shared" si="25"/>
        <v>17052.300000000003</v>
      </c>
      <c r="M57" s="218">
        <f t="shared" si="25"/>
        <v>48280.799999999996</v>
      </c>
      <c r="N57" s="123">
        <f t="shared" si="25"/>
        <v>51081.0864</v>
      </c>
      <c r="O57" s="72">
        <f t="shared" si="25"/>
        <v>53890.546151999995</v>
      </c>
    </row>
    <row r="58" spans="1:16" ht="36">
      <c r="A58" s="399" t="s">
        <v>250</v>
      </c>
      <c r="B58" s="427" t="s">
        <v>333</v>
      </c>
      <c r="C58" s="242" t="s">
        <v>247</v>
      </c>
      <c r="D58" s="242" t="s">
        <v>249</v>
      </c>
      <c r="E58" s="242"/>
      <c r="F58" s="242"/>
      <c r="G58" s="261">
        <f>G59</f>
        <v>796</v>
      </c>
      <c r="H58" s="261">
        <f>H59</f>
        <v>459.2</v>
      </c>
      <c r="I58" s="261">
        <f>I59</f>
        <v>796</v>
      </c>
      <c r="J58" s="261">
        <f t="shared" ref="J58:O58" si="26">J59+J60</f>
        <v>19052.300000000003</v>
      </c>
      <c r="K58" s="261">
        <f t="shared" si="26"/>
        <v>2772.6</v>
      </c>
      <c r="L58" s="261">
        <f t="shared" si="26"/>
        <v>17052.300000000003</v>
      </c>
      <c r="M58" s="261">
        <f t="shared" si="26"/>
        <v>48280.799999999996</v>
      </c>
      <c r="N58" s="124">
        <f t="shared" si="26"/>
        <v>51081.0864</v>
      </c>
      <c r="O58" s="73">
        <f t="shared" si="26"/>
        <v>53890.546151999995</v>
      </c>
    </row>
    <row r="59" spans="1:16" ht="32.25" customHeight="1" thickBot="1">
      <c r="A59" s="386" t="s">
        <v>70</v>
      </c>
      <c r="B59" s="435" t="s">
        <v>451</v>
      </c>
      <c r="C59" s="157" t="s">
        <v>247</v>
      </c>
      <c r="D59" s="157" t="s">
        <v>249</v>
      </c>
      <c r="E59" s="157" t="s">
        <v>311</v>
      </c>
      <c r="F59" s="157"/>
      <c r="G59" s="158">
        <f>[2]роспись!H70</f>
        <v>796</v>
      </c>
      <c r="H59" s="158">
        <v>459.2</v>
      </c>
      <c r="I59" s="158">
        <v>796</v>
      </c>
      <c r="J59" s="158">
        <f>6469.6+600</f>
        <v>7069.6</v>
      </c>
      <c r="K59" s="158">
        <v>2772.6</v>
      </c>
      <c r="L59" s="158">
        <v>7069.6</v>
      </c>
      <c r="M59" s="158">
        <f>ведомст.структ!N61</f>
        <v>48280.799999999996</v>
      </c>
      <c r="N59" s="121">
        <f>M59*1.058</f>
        <v>51081.0864</v>
      </c>
      <c r="O59" s="27">
        <f>N59*1.055</f>
        <v>53890.546151999995</v>
      </c>
    </row>
    <row r="60" spans="1:16" ht="36.75" hidden="1" thickBot="1">
      <c r="A60" s="397" t="s">
        <v>237</v>
      </c>
      <c r="B60" s="450" t="s">
        <v>244</v>
      </c>
      <c r="C60" s="157" t="s">
        <v>247</v>
      </c>
      <c r="D60" s="157" t="s">
        <v>249</v>
      </c>
      <c r="E60" s="157" t="s">
        <v>238</v>
      </c>
      <c r="F60" s="217"/>
      <c r="G60" s="218">
        <f>G61</f>
        <v>704</v>
      </c>
      <c r="H60" s="218">
        <f>H61</f>
        <v>339.3</v>
      </c>
      <c r="I60" s="218">
        <f>I61</f>
        <v>704</v>
      </c>
      <c r="J60" s="158">
        <v>11982.7</v>
      </c>
      <c r="K60" s="158">
        <v>0</v>
      </c>
      <c r="L60" s="158">
        <v>9982.7000000000007</v>
      </c>
      <c r="M60" s="158"/>
      <c r="N60" s="108"/>
      <c r="O60" s="66"/>
    </row>
    <row r="61" spans="1:16" ht="18.600000000000001" customHeight="1" thickBot="1">
      <c r="A61" s="398" t="s">
        <v>82</v>
      </c>
      <c r="B61" s="445" t="s">
        <v>32</v>
      </c>
      <c r="C61" s="354" t="s">
        <v>33</v>
      </c>
      <c r="D61" s="354"/>
      <c r="E61" s="354"/>
      <c r="F61" s="356"/>
      <c r="G61" s="357">
        <f>G62+G64+G66</f>
        <v>704</v>
      </c>
      <c r="H61" s="357">
        <f>H62+H64+H66</f>
        <v>339.3</v>
      </c>
      <c r="I61" s="357">
        <f>I62+I64+I66</f>
        <v>704</v>
      </c>
      <c r="J61" s="355">
        <f t="shared" ref="J61:L61" si="27">J62+J70+J77+J82</f>
        <v>14562.199999999999</v>
      </c>
      <c r="K61" s="355">
        <f t="shared" si="27"/>
        <v>8686.9000000000015</v>
      </c>
      <c r="L61" s="355">
        <f t="shared" si="27"/>
        <v>14562.199999999999</v>
      </c>
      <c r="M61" s="355">
        <f>M69</f>
        <v>11857.5</v>
      </c>
      <c r="N61" s="123">
        <f>M61*1.058</f>
        <v>12545.235000000001</v>
      </c>
      <c r="O61" s="72">
        <f>N61*1.055</f>
        <v>13235.222925</v>
      </c>
    </row>
    <row r="62" spans="1:16" ht="36.950000000000003" hidden="1" customHeight="1" thickBot="1">
      <c r="A62" s="401" t="s">
        <v>71</v>
      </c>
      <c r="B62" s="216" t="s">
        <v>334</v>
      </c>
      <c r="C62" s="181" t="s">
        <v>86</v>
      </c>
      <c r="D62" s="181" t="s">
        <v>169</v>
      </c>
      <c r="E62" s="181"/>
      <c r="F62" s="157"/>
      <c r="G62" s="158">
        <f>G63</f>
        <v>204</v>
      </c>
      <c r="H62" s="158">
        <f>H63</f>
        <v>79.8</v>
      </c>
      <c r="I62" s="158">
        <f>I63</f>
        <v>204</v>
      </c>
      <c r="J62" s="240">
        <f t="shared" ref="J62:O62" si="28">J63+J65+J67</f>
        <v>1680.2</v>
      </c>
      <c r="K62" s="240">
        <f t="shared" si="28"/>
        <v>587.20000000000005</v>
      </c>
      <c r="L62" s="240">
        <f t="shared" si="28"/>
        <v>1680.2</v>
      </c>
      <c r="M62" s="240">
        <f t="shared" si="28"/>
        <v>0</v>
      </c>
      <c r="N62" s="125">
        <f t="shared" si="28"/>
        <v>0</v>
      </c>
      <c r="O62" s="74">
        <f t="shared" si="28"/>
        <v>0</v>
      </c>
    </row>
    <row r="63" spans="1:16" ht="36" hidden="1">
      <c r="A63" s="399" t="s">
        <v>72</v>
      </c>
      <c r="B63" s="450" t="s">
        <v>335</v>
      </c>
      <c r="C63" s="157" t="s">
        <v>86</v>
      </c>
      <c r="D63" s="157" t="s">
        <v>177</v>
      </c>
      <c r="E63" s="157"/>
      <c r="F63" s="157"/>
      <c r="G63" s="158">
        <f>[2]роспись!H75</f>
        <v>204</v>
      </c>
      <c r="H63" s="158">
        <v>79.8</v>
      </c>
      <c r="I63" s="158">
        <v>204</v>
      </c>
      <c r="J63" s="158">
        <f>J64</f>
        <v>411.1</v>
      </c>
      <c r="K63" s="158">
        <f>K64</f>
        <v>0</v>
      </c>
      <c r="L63" s="158">
        <f>L64</f>
        <v>411.1</v>
      </c>
      <c r="M63" s="158"/>
      <c r="N63" s="121"/>
      <c r="O63" s="27"/>
    </row>
    <row r="64" spans="1:16" ht="44.1" hidden="1" customHeight="1">
      <c r="A64" s="386" t="s">
        <v>73</v>
      </c>
      <c r="B64" s="435" t="s">
        <v>310</v>
      </c>
      <c r="C64" s="157" t="s">
        <v>86</v>
      </c>
      <c r="D64" s="157" t="s">
        <v>177</v>
      </c>
      <c r="E64" s="157" t="s">
        <v>311</v>
      </c>
      <c r="F64" s="157"/>
      <c r="G64" s="158">
        <f>G65</f>
        <v>370</v>
      </c>
      <c r="H64" s="158">
        <f t="shared" ref="H64:O65" si="29">H65</f>
        <v>199.5</v>
      </c>
      <c r="I64" s="158">
        <f t="shared" si="29"/>
        <v>370</v>
      </c>
      <c r="J64" s="158">
        <v>411.1</v>
      </c>
      <c r="K64" s="158"/>
      <c r="L64" s="158">
        <v>411.1</v>
      </c>
      <c r="M64" s="158">
        <f t="shared" si="29"/>
        <v>0</v>
      </c>
      <c r="N64" s="121">
        <f t="shared" si="29"/>
        <v>0</v>
      </c>
      <c r="O64" s="27">
        <f t="shared" si="29"/>
        <v>0</v>
      </c>
    </row>
    <row r="65" spans="1:16" ht="17.45" hidden="1" customHeight="1">
      <c r="A65" s="386" t="s">
        <v>336</v>
      </c>
      <c r="B65" s="450" t="s">
        <v>337</v>
      </c>
      <c r="C65" s="157" t="s">
        <v>338</v>
      </c>
      <c r="D65" s="157" t="s">
        <v>339</v>
      </c>
      <c r="E65" s="157"/>
      <c r="F65" s="157"/>
      <c r="G65" s="158">
        <f>[2]роспись!H76</f>
        <v>370</v>
      </c>
      <c r="H65" s="158">
        <v>199.5</v>
      </c>
      <c r="I65" s="158">
        <v>370</v>
      </c>
      <c r="J65" s="158">
        <f>J66</f>
        <v>656.9</v>
      </c>
      <c r="K65" s="158">
        <f t="shared" si="29"/>
        <v>587.20000000000005</v>
      </c>
      <c r="L65" s="158">
        <v>656.9</v>
      </c>
      <c r="M65" s="158">
        <f t="shared" si="29"/>
        <v>0</v>
      </c>
      <c r="N65" s="104">
        <f t="shared" si="29"/>
        <v>0</v>
      </c>
      <c r="O65" s="63">
        <f t="shared" si="29"/>
        <v>0</v>
      </c>
    </row>
    <row r="66" spans="1:16" ht="24" hidden="1">
      <c r="A66" s="386" t="s">
        <v>340</v>
      </c>
      <c r="B66" s="450" t="s">
        <v>310</v>
      </c>
      <c r="C66" s="157" t="s">
        <v>338</v>
      </c>
      <c r="D66" s="157" t="s">
        <v>339</v>
      </c>
      <c r="E66" s="157" t="s">
        <v>311</v>
      </c>
      <c r="F66" s="157"/>
      <c r="G66" s="158">
        <f>G67</f>
        <v>130</v>
      </c>
      <c r="H66" s="158">
        <f t="shared" ref="H66:O67" si="30">H67</f>
        <v>60</v>
      </c>
      <c r="I66" s="158">
        <f t="shared" si="30"/>
        <v>130</v>
      </c>
      <c r="J66" s="158">
        <v>656.9</v>
      </c>
      <c r="K66" s="158">
        <v>587.20000000000005</v>
      </c>
      <c r="L66" s="158">
        <f t="shared" si="30"/>
        <v>612.20000000000005</v>
      </c>
      <c r="M66" s="158">
        <f t="shared" si="30"/>
        <v>0</v>
      </c>
      <c r="N66" s="42">
        <f t="shared" si="30"/>
        <v>0</v>
      </c>
      <c r="O66" s="27">
        <f t="shared" si="30"/>
        <v>0</v>
      </c>
    </row>
    <row r="67" spans="1:16" ht="16.5" hidden="1" customHeight="1">
      <c r="A67" s="386" t="s">
        <v>341</v>
      </c>
      <c r="B67" s="450" t="s">
        <v>342</v>
      </c>
      <c r="C67" s="157" t="s">
        <v>338</v>
      </c>
      <c r="D67" s="157" t="s">
        <v>343</v>
      </c>
      <c r="E67" s="157"/>
      <c r="F67" s="157"/>
      <c r="G67" s="158">
        <f>[2]роспись!H77</f>
        <v>130</v>
      </c>
      <c r="H67" s="158">
        <v>60</v>
      </c>
      <c r="I67" s="158">
        <v>130</v>
      </c>
      <c r="J67" s="158">
        <f>J68</f>
        <v>612.20000000000005</v>
      </c>
      <c r="K67" s="158">
        <f t="shared" si="30"/>
        <v>0</v>
      </c>
      <c r="L67" s="158">
        <f t="shared" si="30"/>
        <v>612.20000000000005</v>
      </c>
      <c r="M67" s="158">
        <f t="shared" si="30"/>
        <v>0</v>
      </c>
      <c r="N67" s="104">
        <f t="shared" si="30"/>
        <v>0</v>
      </c>
      <c r="O67" s="63">
        <f t="shared" si="30"/>
        <v>0</v>
      </c>
    </row>
    <row r="68" spans="1:16" ht="24" hidden="1">
      <c r="A68" s="397" t="s">
        <v>344</v>
      </c>
      <c r="B68" s="450" t="s">
        <v>310</v>
      </c>
      <c r="C68" s="157" t="s">
        <v>338</v>
      </c>
      <c r="D68" s="157" t="s">
        <v>343</v>
      </c>
      <c r="E68" s="157" t="s">
        <v>311</v>
      </c>
      <c r="F68" s="217"/>
      <c r="G68" s="218">
        <f>G70</f>
        <v>1077.7</v>
      </c>
      <c r="H68" s="218">
        <f>H70</f>
        <v>566.29999999999995</v>
      </c>
      <c r="I68" s="218">
        <f>I70</f>
        <v>1077.7</v>
      </c>
      <c r="J68" s="158">
        <v>612.20000000000005</v>
      </c>
      <c r="K68" s="158"/>
      <c r="L68" s="158">
        <v>612.20000000000005</v>
      </c>
      <c r="M68" s="158"/>
      <c r="N68" s="108"/>
      <c r="O68" s="66"/>
    </row>
    <row r="69" spans="1:16" ht="16.5" customHeight="1" thickBot="1">
      <c r="A69" s="400"/>
      <c r="B69" s="364" t="s">
        <v>504</v>
      </c>
      <c r="C69" s="217" t="s">
        <v>86</v>
      </c>
      <c r="D69" s="217"/>
      <c r="E69" s="217"/>
      <c r="F69" s="217"/>
      <c r="G69" s="218"/>
      <c r="H69" s="218"/>
      <c r="I69" s="218"/>
      <c r="J69" s="218"/>
      <c r="K69" s="218"/>
      <c r="L69" s="218"/>
      <c r="M69" s="218">
        <f>M70+M77+M82</f>
        <v>11857.5</v>
      </c>
      <c r="N69" s="358"/>
      <c r="O69" s="359"/>
    </row>
    <row r="70" spans="1:16" ht="27" customHeight="1" thickBot="1">
      <c r="A70" s="401" t="s">
        <v>222</v>
      </c>
      <c r="B70" s="266" t="s">
        <v>345</v>
      </c>
      <c r="C70" s="242" t="s">
        <v>86</v>
      </c>
      <c r="D70" s="242" t="s">
        <v>170</v>
      </c>
      <c r="E70" s="242"/>
      <c r="F70" s="242"/>
      <c r="G70" s="261">
        <f t="shared" ref="G70:O71" si="31">G71</f>
        <v>1077.7</v>
      </c>
      <c r="H70" s="261">
        <f t="shared" si="31"/>
        <v>566.29999999999995</v>
      </c>
      <c r="I70" s="261">
        <f t="shared" si="31"/>
        <v>1077.7</v>
      </c>
      <c r="J70" s="261">
        <f t="shared" ref="J70:O70" si="32">J71++J73+J75</f>
        <v>6501.6</v>
      </c>
      <c r="K70" s="261">
        <f t="shared" si="32"/>
        <v>4178.7000000000007</v>
      </c>
      <c r="L70" s="261">
        <f t="shared" si="32"/>
        <v>6501.6</v>
      </c>
      <c r="M70" s="261">
        <f>M71++M73+M75</f>
        <v>7599.2</v>
      </c>
      <c r="N70" s="125">
        <f t="shared" si="32"/>
        <v>0</v>
      </c>
      <c r="O70" s="74">
        <f t="shared" si="32"/>
        <v>0</v>
      </c>
    </row>
    <row r="71" spans="1:16" ht="35.450000000000003" customHeight="1">
      <c r="A71" s="402" t="s">
        <v>251</v>
      </c>
      <c r="B71" s="451" t="s">
        <v>346</v>
      </c>
      <c r="C71" s="161" t="s">
        <v>86</v>
      </c>
      <c r="D71" s="161" t="s">
        <v>178</v>
      </c>
      <c r="E71" s="161"/>
      <c r="F71" s="157"/>
      <c r="G71" s="157">
        <f t="shared" si="31"/>
        <v>1077.7</v>
      </c>
      <c r="H71" s="158">
        <f t="shared" si="31"/>
        <v>566.29999999999995</v>
      </c>
      <c r="I71" s="158">
        <f t="shared" si="31"/>
        <v>1077.7</v>
      </c>
      <c r="J71" s="365">
        <f t="shared" si="31"/>
        <v>1800</v>
      </c>
      <c r="K71" s="365">
        <f t="shared" si="31"/>
        <v>1632.4</v>
      </c>
      <c r="L71" s="365">
        <f t="shared" si="31"/>
        <v>1800</v>
      </c>
      <c r="M71" s="365">
        <v>450</v>
      </c>
      <c r="N71" s="126">
        <f t="shared" si="31"/>
        <v>0</v>
      </c>
      <c r="O71" s="75">
        <f t="shared" si="31"/>
        <v>0</v>
      </c>
    </row>
    <row r="72" spans="1:16" ht="28.5" customHeight="1">
      <c r="A72" s="403" t="s">
        <v>347</v>
      </c>
      <c r="B72" s="435" t="s">
        <v>451</v>
      </c>
      <c r="C72" s="161" t="s">
        <v>86</v>
      </c>
      <c r="D72" s="161" t="s">
        <v>178</v>
      </c>
      <c r="E72" s="161" t="s">
        <v>311</v>
      </c>
      <c r="F72" s="157"/>
      <c r="G72" s="157">
        <f>[2]роспись!H79</f>
        <v>1077.7</v>
      </c>
      <c r="H72" s="158">
        <v>566.29999999999995</v>
      </c>
      <c r="I72" s="158">
        <v>1077.7</v>
      </c>
      <c r="J72" s="365">
        <v>1800</v>
      </c>
      <c r="K72" s="158">
        <v>1632.4</v>
      </c>
      <c r="L72" s="158">
        <v>1800</v>
      </c>
      <c r="M72" s="158">
        <f>ведомст.структ!N74</f>
        <v>450</v>
      </c>
      <c r="N72" s="121"/>
      <c r="O72" s="27"/>
      <c r="P72" s="36"/>
    </row>
    <row r="73" spans="1:16" ht="30" customHeight="1">
      <c r="A73" s="403" t="s">
        <v>348</v>
      </c>
      <c r="B73" s="451" t="s">
        <v>87</v>
      </c>
      <c r="C73" s="161" t="s">
        <v>86</v>
      </c>
      <c r="D73" s="161" t="s">
        <v>179</v>
      </c>
      <c r="E73" s="161"/>
      <c r="F73" s="217"/>
      <c r="G73" s="218">
        <f>G77</f>
        <v>780.80000000000007</v>
      </c>
      <c r="H73" s="218">
        <f>H77</f>
        <v>457.5</v>
      </c>
      <c r="I73" s="218">
        <f>I77</f>
        <v>704.80000000000007</v>
      </c>
      <c r="J73" s="365">
        <f t="shared" ref="J73:O73" si="33">J74</f>
        <v>1122</v>
      </c>
      <c r="K73" s="365">
        <f t="shared" si="33"/>
        <v>475</v>
      </c>
      <c r="L73" s="365">
        <f t="shared" si="33"/>
        <v>1122</v>
      </c>
      <c r="M73" s="365">
        <v>2500</v>
      </c>
      <c r="N73" s="127">
        <f t="shared" si="33"/>
        <v>0</v>
      </c>
      <c r="O73" s="76">
        <f t="shared" si="33"/>
        <v>0</v>
      </c>
    </row>
    <row r="74" spans="1:16" ht="36">
      <c r="A74" s="403" t="s">
        <v>349</v>
      </c>
      <c r="B74" s="435" t="s">
        <v>451</v>
      </c>
      <c r="C74" s="161" t="s">
        <v>86</v>
      </c>
      <c r="D74" s="161" t="s">
        <v>179</v>
      </c>
      <c r="E74" s="161" t="s">
        <v>311</v>
      </c>
      <c r="F74" s="155"/>
      <c r="G74" s="156">
        <f>G76</f>
        <v>0</v>
      </c>
      <c r="H74" s="156">
        <f>H76</f>
        <v>0</v>
      </c>
      <c r="I74" s="156">
        <f>I76</f>
        <v>0</v>
      </c>
      <c r="J74" s="365">
        <v>1122</v>
      </c>
      <c r="K74" s="365">
        <v>475</v>
      </c>
      <c r="L74" s="365">
        <v>1122</v>
      </c>
      <c r="M74" s="365">
        <f>ведомст.структ!N76</f>
        <v>2500</v>
      </c>
      <c r="N74" s="127"/>
      <c r="O74" s="76"/>
    </row>
    <row r="75" spans="1:16">
      <c r="A75" s="403" t="s">
        <v>350</v>
      </c>
      <c r="B75" s="452" t="s">
        <v>351</v>
      </c>
      <c r="C75" s="161" t="s">
        <v>86</v>
      </c>
      <c r="D75" s="161" t="s">
        <v>227</v>
      </c>
      <c r="E75" s="161"/>
      <c r="F75" s="157"/>
      <c r="G75" s="158"/>
      <c r="H75" s="158"/>
      <c r="I75" s="158"/>
      <c r="J75" s="365">
        <f t="shared" ref="J75:O75" si="34">J76</f>
        <v>3579.6</v>
      </c>
      <c r="K75" s="365">
        <f t="shared" si="34"/>
        <v>2071.3000000000002</v>
      </c>
      <c r="L75" s="365">
        <f t="shared" si="34"/>
        <v>3579.6</v>
      </c>
      <c r="M75" s="365">
        <f t="shared" si="34"/>
        <v>4649.2</v>
      </c>
      <c r="N75" s="127">
        <f t="shared" si="34"/>
        <v>0</v>
      </c>
      <c r="O75" s="76">
        <f t="shared" si="34"/>
        <v>0</v>
      </c>
    </row>
    <row r="76" spans="1:16" ht="36.75" thickBot="1">
      <c r="A76" s="404" t="s">
        <v>352</v>
      </c>
      <c r="B76" s="435" t="s">
        <v>451</v>
      </c>
      <c r="C76" s="161" t="s">
        <v>86</v>
      </c>
      <c r="D76" s="161" t="s">
        <v>227</v>
      </c>
      <c r="E76" s="161" t="s">
        <v>311</v>
      </c>
      <c r="F76" s="157"/>
      <c r="G76" s="158"/>
      <c r="H76" s="442"/>
      <c r="I76" s="442"/>
      <c r="J76" s="365">
        <v>3579.6</v>
      </c>
      <c r="K76" s="158">
        <v>2071.3000000000002</v>
      </c>
      <c r="L76" s="158">
        <v>3579.6</v>
      </c>
      <c r="M76" s="158">
        <f>ведомст.структ!N78</f>
        <v>4649.2</v>
      </c>
      <c r="N76" s="121"/>
      <c r="O76" s="27"/>
    </row>
    <row r="77" spans="1:16" ht="28.5" customHeight="1" thickBot="1">
      <c r="A77" s="401" t="s">
        <v>252</v>
      </c>
      <c r="B77" s="266" t="s">
        <v>353</v>
      </c>
      <c r="C77" s="242" t="s">
        <v>86</v>
      </c>
      <c r="D77" s="242" t="s">
        <v>171</v>
      </c>
      <c r="E77" s="242"/>
      <c r="F77" s="242"/>
      <c r="G77" s="261">
        <f>G78+G82</f>
        <v>780.80000000000007</v>
      </c>
      <c r="H77" s="261">
        <f>H78+H82</f>
        <v>457.5</v>
      </c>
      <c r="I77" s="261">
        <f>I78+I82</f>
        <v>704.80000000000007</v>
      </c>
      <c r="J77" s="261">
        <f t="shared" ref="J77:O77" si="35">J78+J80</f>
        <v>571.6</v>
      </c>
      <c r="K77" s="261">
        <f t="shared" si="35"/>
        <v>100</v>
      </c>
      <c r="L77" s="261">
        <f t="shared" si="35"/>
        <v>571.6</v>
      </c>
      <c r="M77" s="261">
        <f t="shared" si="35"/>
        <v>797.7</v>
      </c>
      <c r="N77" s="125">
        <f t="shared" si="35"/>
        <v>0</v>
      </c>
      <c r="O77" s="74">
        <f t="shared" si="35"/>
        <v>0</v>
      </c>
    </row>
    <row r="78" spans="1:16" ht="27.95" customHeight="1">
      <c r="A78" s="402" t="s">
        <v>253</v>
      </c>
      <c r="B78" s="443" t="s">
        <v>354</v>
      </c>
      <c r="C78" s="161" t="s">
        <v>86</v>
      </c>
      <c r="D78" s="161" t="s">
        <v>180</v>
      </c>
      <c r="E78" s="161"/>
      <c r="F78" s="155"/>
      <c r="G78" s="156">
        <f t="shared" ref="G78:O78" si="36">G79</f>
        <v>552.70000000000005</v>
      </c>
      <c r="H78" s="156">
        <f t="shared" si="36"/>
        <v>356.1</v>
      </c>
      <c r="I78" s="156">
        <f t="shared" si="36"/>
        <v>552.70000000000005</v>
      </c>
      <c r="J78" s="365">
        <f t="shared" si="36"/>
        <v>150</v>
      </c>
      <c r="K78" s="365">
        <f t="shared" si="36"/>
        <v>100</v>
      </c>
      <c r="L78" s="365">
        <f t="shared" si="36"/>
        <v>150</v>
      </c>
      <c r="M78" s="365">
        <f t="shared" si="36"/>
        <v>297.7</v>
      </c>
      <c r="N78" s="126">
        <f t="shared" si="36"/>
        <v>0</v>
      </c>
      <c r="O78" s="75">
        <f t="shared" si="36"/>
        <v>0</v>
      </c>
    </row>
    <row r="79" spans="1:16" ht="25.5" customHeight="1">
      <c r="A79" s="405" t="s">
        <v>355</v>
      </c>
      <c r="B79" s="443" t="s">
        <v>310</v>
      </c>
      <c r="C79" s="161" t="s">
        <v>86</v>
      </c>
      <c r="D79" s="161" t="s">
        <v>180</v>
      </c>
      <c r="E79" s="161" t="s">
        <v>311</v>
      </c>
      <c r="F79" s="165"/>
      <c r="G79" s="169">
        <f>[2]роспись!H84</f>
        <v>552.70000000000005</v>
      </c>
      <c r="H79" s="158">
        <v>356.1</v>
      </c>
      <c r="I79" s="158">
        <v>552.70000000000005</v>
      </c>
      <c r="J79" s="365">
        <v>150</v>
      </c>
      <c r="K79" s="231">
        <v>100</v>
      </c>
      <c r="L79" s="231">
        <v>150</v>
      </c>
      <c r="M79" s="158">
        <f>ведомст.структ!N81</f>
        <v>297.7</v>
      </c>
      <c r="N79" s="121"/>
      <c r="O79" s="27"/>
    </row>
    <row r="80" spans="1:16" ht="25.5" customHeight="1">
      <c r="A80" s="404" t="s">
        <v>356</v>
      </c>
      <c r="B80" s="443" t="s">
        <v>357</v>
      </c>
      <c r="C80" s="161" t="s">
        <v>86</v>
      </c>
      <c r="D80" s="161" t="s">
        <v>358</v>
      </c>
      <c r="E80" s="161"/>
      <c r="F80" s="165"/>
      <c r="G80" s="169"/>
      <c r="H80" s="158"/>
      <c r="I80" s="158"/>
      <c r="J80" s="365">
        <f t="shared" ref="J80:O80" si="37">J81</f>
        <v>421.6</v>
      </c>
      <c r="K80" s="365">
        <f t="shared" si="37"/>
        <v>0</v>
      </c>
      <c r="L80" s="365">
        <f t="shared" si="37"/>
        <v>421.6</v>
      </c>
      <c r="M80" s="365">
        <f t="shared" si="37"/>
        <v>500</v>
      </c>
      <c r="N80" s="128">
        <f t="shared" si="37"/>
        <v>0</v>
      </c>
      <c r="O80" s="77">
        <f t="shared" si="37"/>
        <v>0</v>
      </c>
    </row>
    <row r="81" spans="1:16" ht="25.5" customHeight="1" thickBot="1">
      <c r="A81" s="404" t="s">
        <v>359</v>
      </c>
      <c r="B81" s="443" t="s">
        <v>310</v>
      </c>
      <c r="C81" s="161" t="s">
        <v>86</v>
      </c>
      <c r="D81" s="161" t="s">
        <v>358</v>
      </c>
      <c r="E81" s="161" t="s">
        <v>311</v>
      </c>
      <c r="F81" s="165"/>
      <c r="G81" s="169"/>
      <c r="H81" s="158"/>
      <c r="I81" s="158"/>
      <c r="J81" s="365">
        <v>421.6</v>
      </c>
      <c r="K81" s="231"/>
      <c r="L81" s="231">
        <v>421.6</v>
      </c>
      <c r="M81" s="158">
        <f>ведомст.структ!N83</f>
        <v>500</v>
      </c>
      <c r="N81" s="121"/>
      <c r="O81" s="27"/>
    </row>
    <row r="82" spans="1:16" ht="24.95" customHeight="1" thickBot="1">
      <c r="A82" s="401" t="s">
        <v>254</v>
      </c>
      <c r="B82" s="266" t="s">
        <v>360</v>
      </c>
      <c r="C82" s="242" t="s">
        <v>86</v>
      </c>
      <c r="D82" s="242" t="s">
        <v>172</v>
      </c>
      <c r="E82" s="242"/>
      <c r="F82" s="242"/>
      <c r="G82" s="261">
        <f>G83</f>
        <v>228.1</v>
      </c>
      <c r="H82" s="261">
        <f>H83</f>
        <v>101.4</v>
      </c>
      <c r="I82" s="261">
        <f>I83</f>
        <v>152.1</v>
      </c>
      <c r="J82" s="261">
        <f t="shared" ref="J82:O82" si="38">J83+J85+J87</f>
        <v>5808.7999999999993</v>
      </c>
      <c r="K82" s="261">
        <f t="shared" si="38"/>
        <v>3821.0000000000005</v>
      </c>
      <c r="L82" s="261">
        <f t="shared" si="38"/>
        <v>5808.7999999999993</v>
      </c>
      <c r="M82" s="261">
        <f t="shared" si="38"/>
        <v>3460.6000000000004</v>
      </c>
      <c r="N82" s="125">
        <f t="shared" si="38"/>
        <v>0</v>
      </c>
      <c r="O82" s="74">
        <f t="shared" si="38"/>
        <v>0</v>
      </c>
    </row>
    <row r="83" spans="1:16" ht="29.1" customHeight="1">
      <c r="A83" s="402" t="s">
        <v>255</v>
      </c>
      <c r="B83" s="443" t="s">
        <v>269</v>
      </c>
      <c r="C83" s="161" t="s">
        <v>86</v>
      </c>
      <c r="D83" s="161" t="s">
        <v>181</v>
      </c>
      <c r="E83" s="161"/>
      <c r="F83" s="157"/>
      <c r="G83" s="158">
        <f>[2]роспись!H96</f>
        <v>228.1</v>
      </c>
      <c r="H83" s="158">
        <v>101.4</v>
      </c>
      <c r="I83" s="158">
        <v>152.1</v>
      </c>
      <c r="J83" s="158">
        <f t="shared" ref="J83:O83" si="39">J84</f>
        <v>3232.7</v>
      </c>
      <c r="K83" s="158">
        <f t="shared" si="39"/>
        <v>1940.7</v>
      </c>
      <c r="L83" s="158">
        <f t="shared" si="39"/>
        <v>3232.7</v>
      </c>
      <c r="M83" s="158">
        <f t="shared" si="39"/>
        <v>2304.4</v>
      </c>
      <c r="N83" s="124">
        <f t="shared" si="39"/>
        <v>0</v>
      </c>
      <c r="O83" s="73">
        <f t="shared" si="39"/>
        <v>0</v>
      </c>
    </row>
    <row r="84" spans="1:16" ht="36">
      <c r="A84" s="403" t="s">
        <v>361</v>
      </c>
      <c r="B84" s="435" t="s">
        <v>451</v>
      </c>
      <c r="C84" s="161" t="s">
        <v>86</v>
      </c>
      <c r="D84" s="161" t="s">
        <v>181</v>
      </c>
      <c r="E84" s="161" t="s">
        <v>311</v>
      </c>
      <c r="F84" s="217"/>
      <c r="G84" s="218">
        <f>G85</f>
        <v>400</v>
      </c>
      <c r="H84" s="218">
        <f>H85</f>
        <v>220</v>
      </c>
      <c r="I84" s="218">
        <f>I85</f>
        <v>400</v>
      </c>
      <c r="J84" s="158">
        <f>3844.9-612.2</f>
        <v>3232.7</v>
      </c>
      <c r="K84" s="158">
        <v>1940.7</v>
      </c>
      <c r="L84" s="158">
        <v>3232.7</v>
      </c>
      <c r="M84" s="158">
        <f>ведомст.структ!N86</f>
        <v>2304.4</v>
      </c>
      <c r="N84" s="104"/>
      <c r="O84" s="63"/>
    </row>
    <row r="85" spans="1:16" ht="23.25" customHeight="1">
      <c r="A85" s="403" t="s">
        <v>270</v>
      </c>
      <c r="B85" s="443" t="s">
        <v>362</v>
      </c>
      <c r="C85" s="161" t="s">
        <v>86</v>
      </c>
      <c r="D85" s="161" t="s">
        <v>182</v>
      </c>
      <c r="E85" s="161"/>
      <c r="F85" s="164"/>
      <c r="G85" s="160">
        <f>G86</f>
        <v>400</v>
      </c>
      <c r="H85" s="160">
        <f t="shared" ref="H85:O85" si="40">H86</f>
        <v>220</v>
      </c>
      <c r="I85" s="160">
        <f t="shared" si="40"/>
        <v>400</v>
      </c>
      <c r="J85" s="158">
        <v>2076.1</v>
      </c>
      <c r="K85" s="160">
        <f t="shared" si="40"/>
        <v>1865.4</v>
      </c>
      <c r="L85" s="160">
        <f t="shared" si="40"/>
        <v>2076.1</v>
      </c>
      <c r="M85" s="160">
        <f t="shared" si="40"/>
        <v>656.2</v>
      </c>
      <c r="N85" s="43">
        <f t="shared" si="40"/>
        <v>0</v>
      </c>
      <c r="O85" s="29">
        <f t="shared" si="40"/>
        <v>0</v>
      </c>
    </row>
    <row r="86" spans="1:16" ht="26.45" customHeight="1">
      <c r="A86" s="403" t="s">
        <v>363</v>
      </c>
      <c r="B86" s="435" t="s">
        <v>451</v>
      </c>
      <c r="C86" s="161" t="s">
        <v>86</v>
      </c>
      <c r="D86" s="161" t="s">
        <v>182</v>
      </c>
      <c r="E86" s="161" t="s">
        <v>311</v>
      </c>
      <c r="F86" s="157"/>
      <c r="G86" s="158">
        <f>G87</f>
        <v>400</v>
      </c>
      <c r="H86" s="158">
        <f>H87</f>
        <v>220</v>
      </c>
      <c r="I86" s="158">
        <f>I87</f>
        <v>400</v>
      </c>
      <c r="J86" s="158">
        <v>2076.1</v>
      </c>
      <c r="K86" s="158">
        <v>1865.4</v>
      </c>
      <c r="L86" s="158">
        <v>2076.1</v>
      </c>
      <c r="M86" s="158">
        <f>ведомст.структ!N88</f>
        <v>656.2</v>
      </c>
      <c r="N86" s="104"/>
      <c r="O86" s="63"/>
    </row>
    <row r="87" spans="1:16" ht="24">
      <c r="A87" s="403" t="s">
        <v>271</v>
      </c>
      <c r="B87" s="443" t="s">
        <v>88</v>
      </c>
      <c r="C87" s="161" t="s">
        <v>86</v>
      </c>
      <c r="D87" s="161" t="s">
        <v>268</v>
      </c>
      <c r="E87" s="161"/>
      <c r="F87" s="157"/>
      <c r="G87" s="158">
        <v>400</v>
      </c>
      <c r="H87" s="158">
        <v>220</v>
      </c>
      <c r="I87" s="158">
        <v>400</v>
      </c>
      <c r="J87" s="158">
        <f t="shared" ref="J87:O87" si="41">J88</f>
        <v>500</v>
      </c>
      <c r="K87" s="158">
        <f t="shared" si="41"/>
        <v>14.9</v>
      </c>
      <c r="L87" s="158">
        <f t="shared" si="41"/>
        <v>500</v>
      </c>
      <c r="M87" s="158">
        <f t="shared" si="41"/>
        <v>500</v>
      </c>
      <c r="N87" s="104">
        <f t="shared" si="41"/>
        <v>0</v>
      </c>
      <c r="O87" s="63">
        <f t="shared" si="41"/>
        <v>0</v>
      </c>
    </row>
    <row r="88" spans="1:16" ht="36.75" customHeight="1" thickBot="1">
      <c r="A88" s="404" t="s">
        <v>364</v>
      </c>
      <c r="B88" s="435" t="s">
        <v>451</v>
      </c>
      <c r="C88" s="161" t="s">
        <v>86</v>
      </c>
      <c r="D88" s="161" t="s">
        <v>268</v>
      </c>
      <c r="E88" s="161" t="s">
        <v>311</v>
      </c>
      <c r="F88" s="217"/>
      <c r="G88" s="218">
        <f>G93</f>
        <v>500</v>
      </c>
      <c r="H88" s="218">
        <f>H93</f>
        <v>309.39999999999998</v>
      </c>
      <c r="I88" s="218">
        <f>I93</f>
        <v>500</v>
      </c>
      <c r="J88" s="158">
        <v>500</v>
      </c>
      <c r="K88" s="158">
        <v>14.9</v>
      </c>
      <c r="L88" s="158">
        <v>500</v>
      </c>
      <c r="M88" s="158">
        <f>ведомст.структ!N90</f>
        <v>500</v>
      </c>
      <c r="N88" s="108"/>
      <c r="O88" s="66"/>
    </row>
    <row r="89" spans="1:16" ht="13.5" thickBot="1">
      <c r="A89" s="398" t="s">
        <v>42</v>
      </c>
      <c r="B89" s="445" t="s">
        <v>34</v>
      </c>
      <c r="C89" s="354" t="s">
        <v>22</v>
      </c>
      <c r="D89" s="354"/>
      <c r="E89" s="354"/>
      <c r="F89" s="356"/>
      <c r="G89" s="357">
        <f>G93</f>
        <v>500</v>
      </c>
      <c r="H89" s="357">
        <f t="shared" ref="H89:O89" si="42">H93</f>
        <v>309.39999999999998</v>
      </c>
      <c r="I89" s="357">
        <f t="shared" si="42"/>
        <v>500</v>
      </c>
      <c r="J89" s="355">
        <f t="shared" si="42"/>
        <v>701</v>
      </c>
      <c r="K89" s="355">
        <f t="shared" si="42"/>
        <v>410.6</v>
      </c>
      <c r="L89" s="355">
        <f t="shared" si="42"/>
        <v>701</v>
      </c>
      <c r="M89" s="355">
        <f>M93+M90</f>
        <v>507.6</v>
      </c>
      <c r="N89" s="123">
        <f t="shared" si="42"/>
        <v>486.68000000000006</v>
      </c>
      <c r="O89" s="72">
        <f t="shared" si="42"/>
        <v>513.44740000000002</v>
      </c>
    </row>
    <row r="90" spans="1:16" ht="27.75" customHeight="1">
      <c r="A90" s="385" t="s">
        <v>138</v>
      </c>
      <c r="B90" s="290" t="s">
        <v>529</v>
      </c>
      <c r="C90" s="217" t="s">
        <v>519</v>
      </c>
      <c r="D90" s="217"/>
      <c r="E90" s="217"/>
      <c r="F90" s="217"/>
      <c r="G90" s="218" t="e">
        <f>G91</f>
        <v>#REF!</v>
      </c>
      <c r="H90" s="218">
        <f>H91</f>
        <v>309.39999999999998</v>
      </c>
      <c r="I90" s="218">
        <f>I91</f>
        <v>500</v>
      </c>
      <c r="J90" s="218">
        <f t="shared" ref="J90:O90" si="43">J91+J93+J95</f>
        <v>1299</v>
      </c>
      <c r="K90" s="218">
        <f t="shared" si="43"/>
        <v>897.80000000000007</v>
      </c>
      <c r="L90" s="218">
        <f t="shared" si="43"/>
        <v>1299</v>
      </c>
      <c r="M90" s="218">
        <f>M91</f>
        <v>47.6</v>
      </c>
      <c r="N90" s="129">
        <f t="shared" si="43"/>
        <v>896.76080000000013</v>
      </c>
      <c r="O90" s="78">
        <f t="shared" si="43"/>
        <v>946.08264399999996</v>
      </c>
    </row>
    <row r="91" spans="1:16" ht="84" customHeight="1">
      <c r="A91" s="386" t="s">
        <v>83</v>
      </c>
      <c r="B91" s="266" t="s">
        <v>528</v>
      </c>
      <c r="C91" s="242" t="s">
        <v>519</v>
      </c>
      <c r="D91" s="242" t="s">
        <v>526</v>
      </c>
      <c r="E91" s="242"/>
      <c r="F91" s="242"/>
      <c r="G91" s="261" t="e">
        <f>[2]роспись!H100</f>
        <v>#REF!</v>
      </c>
      <c r="H91" s="261">
        <v>309.39999999999998</v>
      </c>
      <c r="I91" s="261">
        <v>500</v>
      </c>
      <c r="J91" s="261">
        <f t="shared" ref="J91:O91" si="44">J92</f>
        <v>299</v>
      </c>
      <c r="K91" s="261">
        <f t="shared" si="44"/>
        <v>243.6</v>
      </c>
      <c r="L91" s="261">
        <f t="shared" si="44"/>
        <v>299</v>
      </c>
      <c r="M91" s="261">
        <f t="shared" si="44"/>
        <v>47.6</v>
      </c>
      <c r="N91" s="104">
        <f t="shared" si="44"/>
        <v>50.360800000000005</v>
      </c>
      <c r="O91" s="63">
        <f t="shared" si="44"/>
        <v>53.130644000000004</v>
      </c>
      <c r="P91" s="36">
        <f>M43+M45+M86+M97+M116+M120</f>
        <v>2380.6999999999998</v>
      </c>
    </row>
    <row r="92" spans="1:16" ht="27.75" customHeight="1">
      <c r="A92" s="386" t="s">
        <v>116</v>
      </c>
      <c r="B92" s="435" t="s">
        <v>451</v>
      </c>
      <c r="C92" s="157" t="s">
        <v>519</v>
      </c>
      <c r="D92" s="157" t="s">
        <v>526</v>
      </c>
      <c r="E92" s="157" t="s">
        <v>311</v>
      </c>
      <c r="F92" s="232"/>
      <c r="G92" s="233">
        <f>G6+G15</f>
        <v>101.5</v>
      </c>
      <c r="H92" s="233">
        <f>H6+H15</f>
        <v>0</v>
      </c>
      <c r="I92" s="233">
        <f>I6+I15</f>
        <v>0</v>
      </c>
      <c r="J92" s="158">
        <v>299</v>
      </c>
      <c r="K92" s="158">
        <v>243.6</v>
      </c>
      <c r="L92" s="158">
        <v>299</v>
      </c>
      <c r="M92" s="158">
        <f>ведомст.структ!N94</f>
        <v>47.6</v>
      </c>
      <c r="N92" s="108">
        <f t="shared" ref="N92" si="45">M92*1.058</f>
        <v>50.360800000000005</v>
      </c>
      <c r="O92" s="66">
        <f>N92*1.055</f>
        <v>53.130644000000004</v>
      </c>
    </row>
    <row r="93" spans="1:16" ht="13.5">
      <c r="A93" s="385" t="s">
        <v>138</v>
      </c>
      <c r="B93" s="290" t="s">
        <v>101</v>
      </c>
      <c r="C93" s="217" t="s">
        <v>23</v>
      </c>
      <c r="D93" s="217"/>
      <c r="E93" s="217"/>
      <c r="F93" s="217"/>
      <c r="G93" s="218">
        <f>G94</f>
        <v>500</v>
      </c>
      <c r="H93" s="218">
        <f>H94</f>
        <v>309.39999999999998</v>
      </c>
      <c r="I93" s="218">
        <f>I94</f>
        <v>500</v>
      </c>
      <c r="J93" s="218">
        <f t="shared" ref="J93:O93" si="46">J94+J96+J98</f>
        <v>701</v>
      </c>
      <c r="K93" s="218">
        <f t="shared" si="46"/>
        <v>410.6</v>
      </c>
      <c r="L93" s="218">
        <f t="shared" si="46"/>
        <v>701</v>
      </c>
      <c r="M93" s="218">
        <f t="shared" si="46"/>
        <v>460</v>
      </c>
      <c r="N93" s="129">
        <f t="shared" si="46"/>
        <v>486.68000000000006</v>
      </c>
      <c r="O93" s="78">
        <f t="shared" si="46"/>
        <v>513.44740000000002</v>
      </c>
    </row>
    <row r="94" spans="1:16" ht="48.75" customHeight="1">
      <c r="A94" s="386" t="s">
        <v>83</v>
      </c>
      <c r="B94" s="266" t="s">
        <v>164</v>
      </c>
      <c r="C94" s="242" t="s">
        <v>23</v>
      </c>
      <c r="D94" s="242" t="s">
        <v>162</v>
      </c>
      <c r="E94" s="242"/>
      <c r="F94" s="242"/>
      <c r="G94" s="261">
        <f>[2]роспись!H103</f>
        <v>500</v>
      </c>
      <c r="H94" s="261">
        <v>309.39999999999998</v>
      </c>
      <c r="I94" s="261">
        <v>500</v>
      </c>
      <c r="J94" s="261">
        <f t="shared" ref="J94:O94" si="47">J95</f>
        <v>299</v>
      </c>
      <c r="K94" s="261">
        <f t="shared" si="47"/>
        <v>243.6</v>
      </c>
      <c r="L94" s="261">
        <f t="shared" si="47"/>
        <v>299</v>
      </c>
      <c r="M94" s="261">
        <f t="shared" si="47"/>
        <v>340</v>
      </c>
      <c r="N94" s="104">
        <f t="shared" si="47"/>
        <v>359.72</v>
      </c>
      <c r="O94" s="63">
        <f t="shared" si="47"/>
        <v>379.50459999999998</v>
      </c>
      <c r="P94" s="36">
        <f>M46+M48+M89+M100+M119+M123</f>
        <v>5579.6</v>
      </c>
    </row>
    <row r="95" spans="1:16" ht="27.75" customHeight="1">
      <c r="A95" s="386" t="s">
        <v>116</v>
      </c>
      <c r="B95" s="435" t="s">
        <v>451</v>
      </c>
      <c r="C95" s="157" t="s">
        <v>23</v>
      </c>
      <c r="D95" s="157" t="s">
        <v>162</v>
      </c>
      <c r="E95" s="157" t="s">
        <v>311</v>
      </c>
      <c r="F95" s="232"/>
      <c r="G95" s="233" t="e">
        <f>G9+G18</f>
        <v>#REF!</v>
      </c>
      <c r="H95" s="233" t="e">
        <f>H9+H18</f>
        <v>#REF!</v>
      </c>
      <c r="I95" s="233" t="e">
        <f>I9+I18</f>
        <v>#REF!</v>
      </c>
      <c r="J95" s="158">
        <v>299</v>
      </c>
      <c r="K95" s="158">
        <v>243.6</v>
      </c>
      <c r="L95" s="158">
        <v>299</v>
      </c>
      <c r="M95" s="158">
        <f>ведомст.структ!N97</f>
        <v>340</v>
      </c>
      <c r="N95" s="108">
        <f t="shared" ref="N95:N97" si="48">M95*1.058</f>
        <v>359.72</v>
      </c>
      <c r="O95" s="66">
        <f>N95*1.055</f>
        <v>379.50459999999998</v>
      </c>
    </row>
    <row r="96" spans="1:16" ht="48" hidden="1">
      <c r="A96" s="386" t="s">
        <v>256</v>
      </c>
      <c r="B96" s="216" t="s">
        <v>165</v>
      </c>
      <c r="C96" s="157" t="s">
        <v>23</v>
      </c>
      <c r="D96" s="157" t="s">
        <v>163</v>
      </c>
      <c r="E96" s="157"/>
      <c r="F96" s="453"/>
      <c r="G96" s="454"/>
      <c r="H96" s="442"/>
      <c r="I96" s="442"/>
      <c r="J96" s="158">
        <f t="shared" ref="J96:O96" si="49">J97</f>
        <v>282</v>
      </c>
      <c r="K96" s="158">
        <f t="shared" si="49"/>
        <v>67</v>
      </c>
      <c r="L96" s="158">
        <f t="shared" si="49"/>
        <v>282</v>
      </c>
      <c r="M96" s="158">
        <f t="shared" si="49"/>
        <v>0</v>
      </c>
      <c r="N96" s="104">
        <f t="shared" si="49"/>
        <v>0</v>
      </c>
      <c r="O96" s="63">
        <f t="shared" si="49"/>
        <v>0</v>
      </c>
    </row>
    <row r="97" spans="1:15" ht="24" hidden="1">
      <c r="A97" s="386" t="s">
        <v>257</v>
      </c>
      <c r="B97" s="435" t="s">
        <v>310</v>
      </c>
      <c r="C97" s="157" t="s">
        <v>23</v>
      </c>
      <c r="D97" s="157" t="s">
        <v>163</v>
      </c>
      <c r="E97" s="157" t="s">
        <v>311</v>
      </c>
      <c r="F97" s="453"/>
      <c r="G97" s="454"/>
      <c r="H97" s="442"/>
      <c r="I97" s="442"/>
      <c r="J97" s="158">
        <v>282</v>
      </c>
      <c r="K97" s="158">
        <v>67</v>
      </c>
      <c r="L97" s="158">
        <v>282</v>
      </c>
      <c r="M97" s="158"/>
      <c r="N97" s="108">
        <f t="shared" si="48"/>
        <v>0</v>
      </c>
      <c r="O97" s="66">
        <f>N97*1.055</f>
        <v>0</v>
      </c>
    </row>
    <row r="98" spans="1:15" ht="48">
      <c r="A98" s="386" t="s">
        <v>258</v>
      </c>
      <c r="B98" s="427" t="s">
        <v>365</v>
      </c>
      <c r="C98" s="242" t="s">
        <v>23</v>
      </c>
      <c r="D98" s="242" t="s">
        <v>366</v>
      </c>
      <c r="E98" s="242"/>
      <c r="F98" s="428"/>
      <c r="G98" s="429"/>
      <c r="H98" s="430"/>
      <c r="I98" s="430"/>
      <c r="J98" s="261">
        <f t="shared" ref="J98:O98" si="50">J99</f>
        <v>120</v>
      </c>
      <c r="K98" s="261">
        <f t="shared" si="50"/>
        <v>100</v>
      </c>
      <c r="L98" s="261">
        <f t="shared" si="50"/>
        <v>120</v>
      </c>
      <c r="M98" s="261">
        <f t="shared" si="50"/>
        <v>120</v>
      </c>
      <c r="N98" s="104">
        <f t="shared" si="50"/>
        <v>126.96000000000001</v>
      </c>
      <c r="O98" s="63">
        <f t="shared" si="50"/>
        <v>133.94280000000001</v>
      </c>
    </row>
    <row r="99" spans="1:15" ht="29.25" customHeight="1" thickBot="1">
      <c r="A99" s="397" t="s">
        <v>259</v>
      </c>
      <c r="B99" s="435" t="s">
        <v>451</v>
      </c>
      <c r="C99" s="157" t="s">
        <v>23</v>
      </c>
      <c r="D99" s="157" t="s">
        <v>366</v>
      </c>
      <c r="E99" s="157" t="s">
        <v>311</v>
      </c>
      <c r="F99" s="453"/>
      <c r="G99" s="454"/>
      <c r="H99" s="442"/>
      <c r="I99" s="442"/>
      <c r="J99" s="158">
        <v>120</v>
      </c>
      <c r="K99" s="158">
        <v>100</v>
      </c>
      <c r="L99" s="158">
        <v>120</v>
      </c>
      <c r="M99" s="158">
        <f>ведомст.структ!N101</f>
        <v>120</v>
      </c>
      <c r="N99" s="108">
        <f>M99*1.058</f>
        <v>126.96000000000001</v>
      </c>
      <c r="O99" s="66">
        <f>N99*1.055</f>
        <v>133.94280000000001</v>
      </c>
    </row>
    <row r="100" spans="1:15" ht="13.5" thickBot="1">
      <c r="A100" s="398" t="s">
        <v>49</v>
      </c>
      <c r="B100" s="445" t="s">
        <v>220</v>
      </c>
      <c r="C100" s="354" t="s">
        <v>24</v>
      </c>
      <c r="D100" s="354"/>
      <c r="E100" s="354"/>
      <c r="F100" s="455"/>
      <c r="G100" s="456"/>
      <c r="H100" s="457"/>
      <c r="I100" s="457"/>
      <c r="J100" s="355">
        <f t="shared" ref="J100:O102" si="51">J101</f>
        <v>2689</v>
      </c>
      <c r="K100" s="355">
        <f t="shared" si="51"/>
        <v>1456</v>
      </c>
      <c r="L100" s="355">
        <f t="shared" si="51"/>
        <v>2689</v>
      </c>
      <c r="M100" s="355">
        <f t="shared" si="51"/>
        <v>3837.5</v>
      </c>
      <c r="N100" s="123">
        <f t="shared" si="51"/>
        <v>4060.0750000000003</v>
      </c>
      <c r="O100" s="72">
        <f t="shared" si="51"/>
        <v>4283.3791249999995</v>
      </c>
    </row>
    <row r="101" spans="1:15" ht="13.5">
      <c r="A101" s="406" t="s">
        <v>10</v>
      </c>
      <c r="B101" s="290" t="s">
        <v>38</v>
      </c>
      <c r="C101" s="217" t="s">
        <v>39</v>
      </c>
      <c r="D101" s="217"/>
      <c r="E101" s="217"/>
      <c r="F101" s="458"/>
      <c r="G101" s="459"/>
      <c r="H101" s="460"/>
      <c r="I101" s="460"/>
      <c r="J101" s="218">
        <f t="shared" ref="J101:O101" si="52">J102+J104</f>
        <v>2689</v>
      </c>
      <c r="K101" s="218">
        <f t="shared" si="52"/>
        <v>1456</v>
      </c>
      <c r="L101" s="218">
        <f t="shared" si="52"/>
        <v>2689</v>
      </c>
      <c r="M101" s="218">
        <f t="shared" si="52"/>
        <v>3837.5</v>
      </c>
      <c r="N101" s="129">
        <f t="shared" si="52"/>
        <v>4060.0750000000003</v>
      </c>
      <c r="O101" s="78">
        <f t="shared" si="52"/>
        <v>4283.3791249999995</v>
      </c>
    </row>
    <row r="102" spans="1:15" ht="36">
      <c r="A102" s="386" t="s">
        <v>52</v>
      </c>
      <c r="B102" s="266" t="s">
        <v>166</v>
      </c>
      <c r="C102" s="242" t="s">
        <v>39</v>
      </c>
      <c r="D102" s="242" t="s">
        <v>367</v>
      </c>
      <c r="E102" s="242"/>
      <c r="F102" s="428"/>
      <c r="G102" s="429"/>
      <c r="H102" s="430"/>
      <c r="I102" s="430"/>
      <c r="J102" s="261">
        <f t="shared" si="51"/>
        <v>1918</v>
      </c>
      <c r="K102" s="261">
        <f t="shared" si="51"/>
        <v>1097.9000000000001</v>
      </c>
      <c r="L102" s="261">
        <f t="shared" si="51"/>
        <v>1918</v>
      </c>
      <c r="M102" s="261">
        <f t="shared" si="51"/>
        <v>2667.5</v>
      </c>
      <c r="N102" s="104">
        <f t="shared" si="51"/>
        <v>2822.2150000000001</v>
      </c>
      <c r="O102" s="63">
        <f t="shared" si="51"/>
        <v>2977.4368249999998</v>
      </c>
    </row>
    <row r="103" spans="1:15" ht="36">
      <c r="A103" s="386" t="s">
        <v>120</v>
      </c>
      <c r="B103" s="435" t="s">
        <v>451</v>
      </c>
      <c r="C103" s="157" t="s">
        <v>39</v>
      </c>
      <c r="D103" s="157" t="s">
        <v>367</v>
      </c>
      <c r="E103" s="157" t="s">
        <v>311</v>
      </c>
      <c r="F103" s="453"/>
      <c r="G103" s="454"/>
      <c r="H103" s="442"/>
      <c r="I103" s="442"/>
      <c r="J103" s="158">
        <f>1909+9</f>
        <v>1918</v>
      </c>
      <c r="K103" s="158">
        <v>1097.9000000000001</v>
      </c>
      <c r="L103" s="158">
        <v>1918</v>
      </c>
      <c r="M103" s="158">
        <f>ведомст.структ!N105</f>
        <v>2667.5</v>
      </c>
      <c r="N103" s="108">
        <f>M103*1.058</f>
        <v>2822.2150000000001</v>
      </c>
      <c r="O103" s="66">
        <f>N103*1.055</f>
        <v>2977.4368249999998</v>
      </c>
    </row>
    <row r="104" spans="1:15" ht="25.5" customHeight="1">
      <c r="A104" s="386" t="s">
        <v>368</v>
      </c>
      <c r="B104" s="461" t="s">
        <v>443</v>
      </c>
      <c r="C104" s="217" t="s">
        <v>370</v>
      </c>
      <c r="D104" s="217"/>
      <c r="E104" s="217"/>
      <c r="F104" s="458"/>
      <c r="G104" s="459"/>
      <c r="H104" s="460"/>
      <c r="I104" s="460"/>
      <c r="J104" s="218">
        <f t="shared" ref="J104:O104" si="53">J106</f>
        <v>771</v>
      </c>
      <c r="K104" s="218">
        <f t="shared" si="53"/>
        <v>358.1</v>
      </c>
      <c r="L104" s="218">
        <f t="shared" si="53"/>
        <v>771</v>
      </c>
      <c r="M104" s="218">
        <f t="shared" si="53"/>
        <v>1170</v>
      </c>
      <c r="N104" s="104">
        <f t="shared" si="53"/>
        <v>1237.8600000000001</v>
      </c>
      <c r="O104" s="63">
        <f t="shared" si="53"/>
        <v>1305.9423000000002</v>
      </c>
    </row>
    <row r="105" spans="1:15" ht="25.5" customHeight="1">
      <c r="A105" s="397"/>
      <c r="B105" s="427" t="s">
        <v>369</v>
      </c>
      <c r="C105" s="242" t="s">
        <v>370</v>
      </c>
      <c r="D105" s="242" t="s">
        <v>367</v>
      </c>
      <c r="E105" s="242"/>
      <c r="F105" s="428"/>
      <c r="G105" s="429"/>
      <c r="H105" s="430"/>
      <c r="I105" s="430"/>
      <c r="J105" s="261"/>
      <c r="K105" s="261"/>
      <c r="L105" s="261"/>
      <c r="M105" s="261">
        <f>M106</f>
        <v>1170</v>
      </c>
      <c r="N105" s="108"/>
      <c r="O105" s="66"/>
    </row>
    <row r="106" spans="1:15" ht="36.75" thickBot="1">
      <c r="A106" s="397" t="s">
        <v>371</v>
      </c>
      <c r="B106" s="435" t="s">
        <v>451</v>
      </c>
      <c r="C106" s="157" t="s">
        <v>370</v>
      </c>
      <c r="D106" s="157" t="s">
        <v>367</v>
      </c>
      <c r="E106" s="157" t="s">
        <v>311</v>
      </c>
      <c r="F106" s="453"/>
      <c r="G106" s="454"/>
      <c r="H106" s="442"/>
      <c r="I106" s="442"/>
      <c r="J106" s="158">
        <f>736+35</f>
        <v>771</v>
      </c>
      <c r="K106" s="158">
        <v>358.1</v>
      </c>
      <c r="L106" s="158">
        <v>771</v>
      </c>
      <c r="M106" s="158">
        <f>ведомст.структ!N108</f>
        <v>1170</v>
      </c>
      <c r="N106" s="108">
        <f>M106*1.058</f>
        <v>1237.8600000000001</v>
      </c>
      <c r="O106" s="66">
        <f>N106*1.055</f>
        <v>1305.9423000000002</v>
      </c>
    </row>
    <row r="107" spans="1:15" ht="13.5" thickBot="1">
      <c r="A107" s="398" t="s">
        <v>41</v>
      </c>
      <c r="B107" s="445" t="s">
        <v>35</v>
      </c>
      <c r="C107" s="354">
        <v>1000</v>
      </c>
      <c r="D107" s="354"/>
      <c r="E107" s="354"/>
      <c r="F107" s="455"/>
      <c r="G107" s="456"/>
      <c r="H107" s="457"/>
      <c r="I107" s="457"/>
      <c r="J107" s="355">
        <f t="shared" ref="J107:O107" si="54">J111+J108</f>
        <v>1715.5</v>
      </c>
      <c r="K107" s="355">
        <f t="shared" si="54"/>
        <v>769.1</v>
      </c>
      <c r="L107" s="355">
        <f t="shared" si="54"/>
        <v>1173.7</v>
      </c>
      <c r="M107" s="355">
        <f t="shared" si="54"/>
        <v>2561.8000000000002</v>
      </c>
      <c r="N107" s="123">
        <f t="shared" si="54"/>
        <v>2669.7</v>
      </c>
      <c r="O107" s="72">
        <f t="shared" si="54"/>
        <v>2823.5</v>
      </c>
    </row>
    <row r="108" spans="1:15" ht="13.5">
      <c r="A108" s="406" t="s">
        <v>121</v>
      </c>
      <c r="B108" s="437" t="s">
        <v>242</v>
      </c>
      <c r="C108" s="217" t="s">
        <v>240</v>
      </c>
      <c r="D108" s="217"/>
      <c r="E108" s="217"/>
      <c r="F108" s="462"/>
      <c r="G108" s="463"/>
      <c r="H108" s="464"/>
      <c r="I108" s="464"/>
      <c r="J108" s="218">
        <f t="shared" ref="J108:O109" si="55">J109</f>
        <v>172.4</v>
      </c>
      <c r="K108" s="218">
        <f t="shared" si="55"/>
        <v>114.9</v>
      </c>
      <c r="L108" s="218">
        <f t="shared" si="55"/>
        <v>172.4</v>
      </c>
      <c r="M108" s="218">
        <f t="shared" si="55"/>
        <v>227</v>
      </c>
      <c r="N108" s="103">
        <f t="shared" si="55"/>
        <v>195.5</v>
      </c>
      <c r="O108" s="62">
        <f t="shared" si="55"/>
        <v>207.5</v>
      </c>
    </row>
    <row r="109" spans="1:15" ht="36">
      <c r="A109" s="386" t="s">
        <v>75</v>
      </c>
      <c r="B109" s="465" t="s">
        <v>243</v>
      </c>
      <c r="C109" s="422" t="s">
        <v>240</v>
      </c>
      <c r="D109" s="242" t="s">
        <v>241</v>
      </c>
      <c r="E109" s="422"/>
      <c r="F109" s="428"/>
      <c r="G109" s="429"/>
      <c r="H109" s="430"/>
      <c r="I109" s="430"/>
      <c r="J109" s="261">
        <f t="shared" si="55"/>
        <v>172.4</v>
      </c>
      <c r="K109" s="261">
        <f t="shared" si="55"/>
        <v>114.9</v>
      </c>
      <c r="L109" s="261">
        <f t="shared" si="55"/>
        <v>172.4</v>
      </c>
      <c r="M109" s="261">
        <f t="shared" si="55"/>
        <v>227</v>
      </c>
      <c r="N109" s="104">
        <f t="shared" si="55"/>
        <v>195.5</v>
      </c>
      <c r="O109" s="63">
        <f t="shared" si="55"/>
        <v>207.5</v>
      </c>
    </row>
    <row r="110" spans="1:15" ht="24">
      <c r="A110" s="397" t="s">
        <v>372</v>
      </c>
      <c r="B110" s="451" t="s">
        <v>373</v>
      </c>
      <c r="C110" s="161" t="s">
        <v>240</v>
      </c>
      <c r="D110" s="157" t="s">
        <v>241</v>
      </c>
      <c r="E110" s="161" t="s">
        <v>374</v>
      </c>
      <c r="F110" s="453"/>
      <c r="G110" s="454"/>
      <c r="H110" s="442"/>
      <c r="I110" s="442"/>
      <c r="J110" s="158">
        <v>172.4</v>
      </c>
      <c r="K110" s="158">
        <v>114.9</v>
      </c>
      <c r="L110" s="158">
        <v>172.4</v>
      </c>
      <c r="M110" s="158">
        <f>ведомст.структ!N112</f>
        <v>227</v>
      </c>
      <c r="N110" s="104">
        <v>195.5</v>
      </c>
      <c r="O110" s="63">
        <v>207.5</v>
      </c>
    </row>
    <row r="111" spans="1:15" ht="13.5">
      <c r="A111" s="387" t="s">
        <v>266</v>
      </c>
      <c r="B111" s="290" t="s">
        <v>140</v>
      </c>
      <c r="C111" s="217" t="s">
        <v>40</v>
      </c>
      <c r="D111" s="217"/>
      <c r="E111" s="217"/>
      <c r="F111" s="462"/>
      <c r="G111" s="463"/>
      <c r="H111" s="464"/>
      <c r="I111" s="464"/>
      <c r="J111" s="218">
        <f t="shared" ref="J111:O111" si="56">J112+J117+J115</f>
        <v>1543.1</v>
      </c>
      <c r="K111" s="218">
        <f t="shared" si="56"/>
        <v>654.20000000000005</v>
      </c>
      <c r="L111" s="218">
        <f t="shared" si="56"/>
        <v>1001.3000000000001</v>
      </c>
      <c r="M111" s="218">
        <f t="shared" si="56"/>
        <v>2334.8000000000002</v>
      </c>
      <c r="N111" s="106">
        <f t="shared" si="56"/>
        <v>2474.1999999999998</v>
      </c>
      <c r="O111" s="65">
        <f t="shared" si="56"/>
        <v>2616</v>
      </c>
    </row>
    <row r="112" spans="1:15" ht="24">
      <c r="A112" s="390" t="s">
        <v>209</v>
      </c>
      <c r="B112" s="266" t="s">
        <v>149</v>
      </c>
      <c r="C112" s="242" t="s">
        <v>40</v>
      </c>
      <c r="D112" s="242" t="s">
        <v>438</v>
      </c>
      <c r="E112" s="242"/>
      <c r="F112" s="428"/>
      <c r="G112" s="429"/>
      <c r="H112" s="430"/>
      <c r="I112" s="430"/>
      <c r="J112" s="261">
        <f t="shared" ref="J112:O112" si="57">J113</f>
        <v>657.2</v>
      </c>
      <c r="K112" s="261">
        <f t="shared" si="57"/>
        <v>424.8</v>
      </c>
      <c r="L112" s="261">
        <f t="shared" si="57"/>
        <v>657.2</v>
      </c>
      <c r="M112" s="261">
        <f>M113+M114</f>
        <v>699.4</v>
      </c>
      <c r="N112" s="106">
        <f t="shared" si="57"/>
        <v>740.1</v>
      </c>
      <c r="O112" s="65">
        <f t="shared" si="57"/>
        <v>780.8</v>
      </c>
    </row>
    <row r="113" spans="1:15" ht="44.25" customHeight="1">
      <c r="A113" s="391" t="s">
        <v>211</v>
      </c>
      <c r="B113" s="439" t="s">
        <v>449</v>
      </c>
      <c r="C113" s="165" t="s">
        <v>40</v>
      </c>
      <c r="D113" s="165" t="s">
        <v>438</v>
      </c>
      <c r="E113" s="165" t="s">
        <v>303</v>
      </c>
      <c r="F113" s="453"/>
      <c r="G113" s="454"/>
      <c r="H113" s="442"/>
      <c r="I113" s="442"/>
      <c r="J113" s="158">
        <v>657.2</v>
      </c>
      <c r="K113" s="158">
        <v>424.8</v>
      </c>
      <c r="L113" s="158">
        <v>657.2</v>
      </c>
      <c r="M113" s="158">
        <f>ведомст.структ!N116</f>
        <v>651.29999999999995</v>
      </c>
      <c r="N113" s="104">
        <v>740.1</v>
      </c>
      <c r="O113" s="63">
        <v>780.8</v>
      </c>
    </row>
    <row r="114" spans="1:15" ht="36">
      <c r="A114" s="391" t="s">
        <v>211</v>
      </c>
      <c r="B114" s="435" t="s">
        <v>451</v>
      </c>
      <c r="C114" s="165" t="s">
        <v>40</v>
      </c>
      <c r="D114" s="165" t="s">
        <v>438</v>
      </c>
      <c r="E114" s="165" t="s">
        <v>311</v>
      </c>
      <c r="F114" s="453"/>
      <c r="G114" s="454"/>
      <c r="H114" s="442"/>
      <c r="I114" s="442"/>
      <c r="J114" s="158">
        <v>657.2</v>
      </c>
      <c r="K114" s="158">
        <v>424.8</v>
      </c>
      <c r="L114" s="158">
        <v>657.2</v>
      </c>
      <c r="M114" s="158">
        <f>ведомст.структ!N117</f>
        <v>48.1</v>
      </c>
      <c r="N114" s="104">
        <v>740.1</v>
      </c>
      <c r="O114" s="63">
        <v>780.8</v>
      </c>
    </row>
    <row r="115" spans="1:15" ht="24">
      <c r="A115" s="390" t="s">
        <v>267</v>
      </c>
      <c r="B115" s="266" t="s">
        <v>126</v>
      </c>
      <c r="C115" s="242" t="s">
        <v>40</v>
      </c>
      <c r="D115" s="242" t="s">
        <v>439</v>
      </c>
      <c r="E115" s="242"/>
      <c r="F115" s="428"/>
      <c r="G115" s="429"/>
      <c r="H115" s="430"/>
      <c r="I115" s="430"/>
      <c r="J115" s="431">
        <f t="shared" ref="J115:O115" si="58">J116</f>
        <v>602.4</v>
      </c>
      <c r="K115" s="431">
        <f t="shared" si="58"/>
        <v>229.4</v>
      </c>
      <c r="L115" s="431">
        <f t="shared" si="58"/>
        <v>344.1</v>
      </c>
      <c r="M115" s="431">
        <f t="shared" si="58"/>
        <v>1092</v>
      </c>
      <c r="N115" s="44">
        <f t="shared" si="58"/>
        <v>1155.3</v>
      </c>
      <c r="O115" s="79">
        <f t="shared" si="58"/>
        <v>1218.8</v>
      </c>
    </row>
    <row r="116" spans="1:15" ht="34.5" customHeight="1">
      <c r="A116" s="386" t="s">
        <v>122</v>
      </c>
      <c r="B116" s="213" t="s">
        <v>448</v>
      </c>
      <c r="C116" s="157" t="s">
        <v>40</v>
      </c>
      <c r="D116" s="157" t="s">
        <v>439</v>
      </c>
      <c r="E116" s="157" t="s">
        <v>436</v>
      </c>
      <c r="F116" s="453"/>
      <c r="G116" s="454"/>
      <c r="H116" s="442"/>
      <c r="I116" s="442"/>
      <c r="J116" s="158">
        <v>602.4</v>
      </c>
      <c r="K116" s="158">
        <v>229.4</v>
      </c>
      <c r="L116" s="158">
        <v>344.1</v>
      </c>
      <c r="M116" s="158">
        <f>ведомст.структ!N119</f>
        <v>1092</v>
      </c>
      <c r="N116" s="104">
        <v>1155.3</v>
      </c>
      <c r="O116" s="63">
        <v>1218.8</v>
      </c>
    </row>
    <row r="117" spans="1:15" ht="24">
      <c r="A117" s="390" t="s">
        <v>272</v>
      </c>
      <c r="B117" s="266" t="s">
        <v>375</v>
      </c>
      <c r="C117" s="242" t="s">
        <v>40</v>
      </c>
      <c r="D117" s="242" t="s">
        <v>440</v>
      </c>
      <c r="E117" s="242"/>
      <c r="F117" s="428"/>
      <c r="G117" s="429"/>
      <c r="H117" s="430"/>
      <c r="I117" s="430"/>
      <c r="J117" s="261">
        <f t="shared" ref="J117:O117" si="59">J118</f>
        <v>283.5</v>
      </c>
      <c r="K117" s="261">
        <f t="shared" si="59"/>
        <v>0</v>
      </c>
      <c r="L117" s="261">
        <f t="shared" si="59"/>
        <v>0</v>
      </c>
      <c r="M117" s="261">
        <f t="shared" si="59"/>
        <v>543.4</v>
      </c>
      <c r="N117" s="106">
        <f t="shared" si="59"/>
        <v>578.79999999999995</v>
      </c>
      <c r="O117" s="65">
        <f t="shared" si="59"/>
        <v>616.4</v>
      </c>
    </row>
    <row r="118" spans="1:15" ht="36.75" customHeight="1" thickBot="1">
      <c r="A118" s="397" t="s">
        <v>289</v>
      </c>
      <c r="B118" s="213" t="s">
        <v>448</v>
      </c>
      <c r="C118" s="157" t="s">
        <v>40</v>
      </c>
      <c r="D118" s="157" t="s">
        <v>440</v>
      </c>
      <c r="E118" s="157" t="s">
        <v>436</v>
      </c>
      <c r="F118" s="453"/>
      <c r="G118" s="454"/>
      <c r="H118" s="442"/>
      <c r="I118" s="442"/>
      <c r="J118" s="158">
        <v>283.5</v>
      </c>
      <c r="K118" s="158">
        <v>0</v>
      </c>
      <c r="L118" s="158"/>
      <c r="M118" s="158">
        <f>ведомст.структ!N121</f>
        <v>543.4</v>
      </c>
      <c r="N118" s="108">
        <v>578.79999999999995</v>
      </c>
      <c r="O118" s="66">
        <v>616.4</v>
      </c>
    </row>
    <row r="119" spans="1:15" ht="13.5" thickBot="1">
      <c r="A119" s="398" t="s">
        <v>90</v>
      </c>
      <c r="B119" s="445" t="s">
        <v>139</v>
      </c>
      <c r="C119" s="354" t="s">
        <v>184</v>
      </c>
      <c r="D119" s="354"/>
      <c r="E119" s="354"/>
      <c r="F119" s="455"/>
      <c r="G119" s="456"/>
      <c r="H119" s="457"/>
      <c r="I119" s="457"/>
      <c r="J119" s="355">
        <f t="shared" ref="J119:O121" si="60">J120</f>
        <v>653</v>
      </c>
      <c r="K119" s="355">
        <f t="shared" si="60"/>
        <v>424.3</v>
      </c>
      <c r="L119" s="355">
        <f t="shared" si="60"/>
        <v>653</v>
      </c>
      <c r="M119" s="355">
        <f t="shared" si="60"/>
        <v>340</v>
      </c>
      <c r="N119" s="123">
        <f t="shared" si="60"/>
        <v>359.72</v>
      </c>
      <c r="O119" s="72">
        <f t="shared" si="60"/>
        <v>379.50459999999998</v>
      </c>
    </row>
    <row r="120" spans="1:15" ht="13.5">
      <c r="A120" s="406" t="s">
        <v>260</v>
      </c>
      <c r="B120" s="290" t="s">
        <v>185</v>
      </c>
      <c r="C120" s="217" t="s">
        <v>183</v>
      </c>
      <c r="D120" s="217"/>
      <c r="E120" s="217"/>
      <c r="F120" s="458"/>
      <c r="G120" s="459"/>
      <c r="H120" s="460"/>
      <c r="I120" s="460"/>
      <c r="J120" s="218">
        <f t="shared" si="60"/>
        <v>653</v>
      </c>
      <c r="K120" s="218">
        <f t="shared" si="60"/>
        <v>424.3</v>
      </c>
      <c r="L120" s="218">
        <f t="shared" si="60"/>
        <v>653</v>
      </c>
      <c r="M120" s="218">
        <f t="shared" si="60"/>
        <v>340</v>
      </c>
      <c r="N120" s="129">
        <f t="shared" si="60"/>
        <v>359.72</v>
      </c>
      <c r="O120" s="78">
        <f t="shared" si="60"/>
        <v>379.50459999999998</v>
      </c>
    </row>
    <row r="121" spans="1:15" ht="30.75" customHeight="1">
      <c r="A121" s="386" t="s">
        <v>190</v>
      </c>
      <c r="B121" s="427" t="s">
        <v>89</v>
      </c>
      <c r="C121" s="242" t="s">
        <v>183</v>
      </c>
      <c r="D121" s="242" t="s">
        <v>376</v>
      </c>
      <c r="E121" s="242"/>
      <c r="F121" s="428"/>
      <c r="G121" s="429"/>
      <c r="H121" s="430"/>
      <c r="I121" s="430"/>
      <c r="J121" s="261">
        <f t="shared" si="60"/>
        <v>653</v>
      </c>
      <c r="K121" s="261">
        <f t="shared" si="60"/>
        <v>424.3</v>
      </c>
      <c r="L121" s="261">
        <f t="shared" si="60"/>
        <v>653</v>
      </c>
      <c r="M121" s="261">
        <f t="shared" si="60"/>
        <v>340</v>
      </c>
      <c r="N121" s="104">
        <f t="shared" si="60"/>
        <v>359.72</v>
      </c>
      <c r="O121" s="63">
        <f t="shared" si="60"/>
        <v>379.50459999999998</v>
      </c>
    </row>
    <row r="122" spans="1:15" ht="36.75" thickBot="1">
      <c r="A122" s="397" t="s">
        <v>191</v>
      </c>
      <c r="B122" s="435" t="s">
        <v>451</v>
      </c>
      <c r="C122" s="157" t="s">
        <v>183</v>
      </c>
      <c r="D122" s="157" t="s">
        <v>376</v>
      </c>
      <c r="E122" s="157" t="s">
        <v>311</v>
      </c>
      <c r="F122" s="453"/>
      <c r="G122" s="454"/>
      <c r="H122" s="442"/>
      <c r="I122" s="442"/>
      <c r="J122" s="158">
        <f>697-44</f>
        <v>653</v>
      </c>
      <c r="K122" s="158">
        <v>424.3</v>
      </c>
      <c r="L122" s="158">
        <v>653</v>
      </c>
      <c r="M122" s="158">
        <f>ведомст.структ!N125</f>
        <v>340</v>
      </c>
      <c r="N122" s="108">
        <f t="shared" ref="N122:N127" si="61">M122*1.058</f>
        <v>359.72</v>
      </c>
      <c r="O122" s="66">
        <f t="shared" ref="O122:O127" si="62">N122*1.055</f>
        <v>379.50459999999998</v>
      </c>
    </row>
    <row r="123" spans="1:15" ht="13.5" thickBot="1">
      <c r="A123" s="398" t="s">
        <v>261</v>
      </c>
      <c r="B123" s="445" t="s">
        <v>186</v>
      </c>
      <c r="C123" s="354" t="s">
        <v>187</v>
      </c>
      <c r="D123" s="354"/>
      <c r="E123" s="354"/>
      <c r="F123" s="455"/>
      <c r="G123" s="456"/>
      <c r="H123" s="457"/>
      <c r="I123" s="457"/>
      <c r="J123" s="355">
        <f t="shared" ref="J123:O123" si="63">J124</f>
        <v>766</v>
      </c>
      <c r="K123" s="355">
        <f t="shared" si="63"/>
        <v>448.7</v>
      </c>
      <c r="L123" s="355">
        <f t="shared" si="63"/>
        <v>766</v>
      </c>
      <c r="M123" s="355">
        <f t="shared" si="63"/>
        <v>774.5</v>
      </c>
      <c r="N123" s="123">
        <f t="shared" si="63"/>
        <v>819.42100000000005</v>
      </c>
      <c r="O123" s="72">
        <f t="shared" si="63"/>
        <v>864.48915499999998</v>
      </c>
    </row>
    <row r="124" spans="1:15" ht="13.5">
      <c r="A124" s="406" t="s">
        <v>76</v>
      </c>
      <c r="B124" s="290" t="s">
        <v>189</v>
      </c>
      <c r="C124" s="217" t="s">
        <v>188</v>
      </c>
      <c r="D124" s="217"/>
      <c r="E124" s="217"/>
      <c r="F124" s="458"/>
      <c r="G124" s="459"/>
      <c r="H124" s="460"/>
      <c r="I124" s="460"/>
      <c r="J124" s="218">
        <f t="shared" ref="J124:O124" si="64">J125+J127</f>
        <v>766</v>
      </c>
      <c r="K124" s="218">
        <f t="shared" si="64"/>
        <v>448.7</v>
      </c>
      <c r="L124" s="218">
        <f t="shared" si="64"/>
        <v>766</v>
      </c>
      <c r="M124" s="218">
        <f t="shared" si="64"/>
        <v>774.5</v>
      </c>
      <c r="N124" s="129">
        <f t="shared" si="64"/>
        <v>819.42100000000005</v>
      </c>
      <c r="O124" s="78">
        <f t="shared" si="64"/>
        <v>864.48915499999998</v>
      </c>
    </row>
    <row r="125" spans="1:15" ht="36">
      <c r="A125" s="386" t="s">
        <v>97</v>
      </c>
      <c r="B125" s="427" t="s">
        <v>377</v>
      </c>
      <c r="C125" s="242" t="s">
        <v>188</v>
      </c>
      <c r="D125" s="242" t="s">
        <v>378</v>
      </c>
      <c r="E125" s="242"/>
      <c r="F125" s="428"/>
      <c r="G125" s="429"/>
      <c r="H125" s="430"/>
      <c r="I125" s="430"/>
      <c r="J125" s="261">
        <f>J126</f>
        <v>653.9</v>
      </c>
      <c r="K125" s="261">
        <f>K126</f>
        <v>388.9</v>
      </c>
      <c r="L125" s="261">
        <f>L126</f>
        <v>653.9</v>
      </c>
      <c r="M125" s="261">
        <f>M126</f>
        <v>664.5</v>
      </c>
      <c r="N125" s="108">
        <f t="shared" si="61"/>
        <v>703.04100000000005</v>
      </c>
      <c r="O125" s="66">
        <f t="shared" si="62"/>
        <v>741.70825500000001</v>
      </c>
    </row>
    <row r="126" spans="1:15" ht="36">
      <c r="A126" s="386" t="s">
        <v>262</v>
      </c>
      <c r="B126" s="435" t="s">
        <v>451</v>
      </c>
      <c r="C126" s="157" t="s">
        <v>188</v>
      </c>
      <c r="D126" s="157" t="s">
        <v>378</v>
      </c>
      <c r="E126" s="157" t="s">
        <v>311</v>
      </c>
      <c r="F126" s="453"/>
      <c r="G126" s="454"/>
      <c r="H126" s="442"/>
      <c r="I126" s="442"/>
      <c r="J126" s="158">
        <v>653.9</v>
      </c>
      <c r="K126" s="158">
        <v>388.9</v>
      </c>
      <c r="L126" s="158">
        <v>653.9</v>
      </c>
      <c r="M126" s="158">
        <f>ведомст.структ!N129</f>
        <v>664.5</v>
      </c>
      <c r="N126" s="108">
        <f t="shared" si="61"/>
        <v>703.04100000000005</v>
      </c>
      <c r="O126" s="66">
        <f t="shared" si="62"/>
        <v>741.70825500000001</v>
      </c>
    </row>
    <row r="127" spans="1:15" ht="27.75" customHeight="1">
      <c r="A127" s="386" t="s">
        <v>379</v>
      </c>
      <c r="B127" s="427" t="s">
        <v>380</v>
      </c>
      <c r="C127" s="242" t="s">
        <v>188</v>
      </c>
      <c r="D127" s="242" t="s">
        <v>167</v>
      </c>
      <c r="E127" s="242"/>
      <c r="F127" s="428"/>
      <c r="G127" s="429"/>
      <c r="H127" s="430"/>
      <c r="I127" s="430"/>
      <c r="J127" s="261">
        <f>J128</f>
        <v>112.1</v>
      </c>
      <c r="K127" s="261">
        <f>K128</f>
        <v>59.8</v>
      </c>
      <c r="L127" s="261">
        <f>L128</f>
        <v>112.1</v>
      </c>
      <c r="M127" s="261">
        <f>M128</f>
        <v>110</v>
      </c>
      <c r="N127" s="108">
        <f t="shared" si="61"/>
        <v>116.38000000000001</v>
      </c>
      <c r="O127" s="66">
        <f t="shared" si="62"/>
        <v>122.7809</v>
      </c>
    </row>
    <row r="128" spans="1:15" ht="34.5" customHeight="1" thickBot="1">
      <c r="A128" s="397" t="s">
        <v>381</v>
      </c>
      <c r="B128" s="435" t="s">
        <v>451</v>
      </c>
      <c r="C128" s="157" t="s">
        <v>188</v>
      </c>
      <c r="D128" s="157" t="s">
        <v>167</v>
      </c>
      <c r="E128" s="157" t="s">
        <v>311</v>
      </c>
      <c r="F128" s="453"/>
      <c r="G128" s="454"/>
      <c r="H128" s="442"/>
      <c r="I128" s="442"/>
      <c r="J128" s="158">
        <v>112.1</v>
      </c>
      <c r="K128" s="158">
        <v>59.8</v>
      </c>
      <c r="L128" s="158">
        <v>112.1</v>
      </c>
      <c r="M128" s="158">
        <f>ведомст.структ!N131</f>
        <v>110</v>
      </c>
      <c r="N128" s="108">
        <f>M128*1.058</f>
        <v>116.38000000000001</v>
      </c>
      <c r="O128" s="66">
        <f>N128*1.055</f>
        <v>122.7809</v>
      </c>
    </row>
    <row r="129" spans="1:15" ht="17.25" thickBot="1">
      <c r="A129" s="360"/>
      <c r="B129" s="466" t="s">
        <v>36</v>
      </c>
      <c r="C129" s="366"/>
      <c r="D129" s="366"/>
      <c r="E129" s="366"/>
      <c r="F129" s="467"/>
      <c r="G129" s="468"/>
      <c r="H129" s="469"/>
      <c r="I129" s="469"/>
      <c r="J129" s="367">
        <f t="shared" ref="J129:O129" si="65">J9+J19</f>
        <v>43279.7</v>
      </c>
      <c r="K129" s="367">
        <f t="shared" si="65"/>
        <v>17008.7</v>
      </c>
      <c r="L129" s="367">
        <f t="shared" si="65"/>
        <v>40687.100000000006</v>
      </c>
      <c r="M129" s="367">
        <f>M9+M50+M57+M61+M89+M100+M107+M119+M123</f>
        <v>85159.5</v>
      </c>
      <c r="N129" s="130">
        <f t="shared" si="65"/>
        <v>75045.742400000003</v>
      </c>
      <c r="O129" s="81">
        <f t="shared" si="65"/>
        <v>79239.24623199999</v>
      </c>
    </row>
    <row r="132" spans="1:15">
      <c r="M132" s="36"/>
    </row>
    <row r="134" spans="1:15">
      <c r="M134" s="101"/>
    </row>
  </sheetData>
  <autoFilter ref="A8:G82"/>
  <mergeCells count="2">
    <mergeCell ref="A5:G5"/>
    <mergeCell ref="H5:J5"/>
  </mergeCells>
  <printOptions horizontalCentered="1"/>
  <pageMargins left="0.39370078740157483" right="0.59055118110236227" top="0.39370078740157483" bottom="0.39370078740157483" header="0" footer="0"/>
  <pageSetup paperSize="9"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22"/>
  <sheetViews>
    <sheetView workbookViewId="0">
      <selection activeCell="A7" sqref="A7:C7"/>
    </sheetView>
  </sheetViews>
  <sheetFormatPr defaultRowHeight="12.75"/>
  <cols>
    <col min="1" max="1" width="33.42578125" customWidth="1"/>
    <col min="2" max="2" width="45.7109375" customWidth="1"/>
    <col min="3" max="3" width="18.42578125" customWidth="1"/>
  </cols>
  <sheetData>
    <row r="1" spans="1:3">
      <c r="A1" s="543" t="s">
        <v>455</v>
      </c>
      <c r="B1" s="543"/>
      <c r="C1" s="543"/>
    </row>
    <row r="2" spans="1:3">
      <c r="A2" s="544" t="s">
        <v>456</v>
      </c>
      <c r="B2" s="544"/>
      <c r="C2" s="544"/>
    </row>
    <row r="3" spans="1:3">
      <c r="A3" s="545" t="s">
        <v>537</v>
      </c>
      <c r="B3" s="545"/>
      <c r="C3" s="545"/>
    </row>
    <row r="4" spans="1:3">
      <c r="A4" s="521"/>
      <c r="B4" s="309"/>
      <c r="C4" s="309"/>
    </row>
    <row r="5" spans="1:3" ht="15.75">
      <c r="A5" s="546" t="s">
        <v>457</v>
      </c>
      <c r="B5" s="546"/>
      <c r="C5" s="546"/>
    </row>
    <row r="6" spans="1:3" ht="15.75">
      <c r="A6" s="546" t="s">
        <v>458</v>
      </c>
      <c r="B6" s="546"/>
      <c r="C6" s="546"/>
    </row>
    <row r="7" spans="1:3" ht="15.75">
      <c r="A7" s="546" t="s">
        <v>459</v>
      </c>
      <c r="B7" s="546"/>
      <c r="C7" s="546"/>
    </row>
    <row r="8" spans="1:3" ht="15">
      <c r="A8" s="547" t="s">
        <v>460</v>
      </c>
      <c r="B8" s="547"/>
      <c r="C8" s="547"/>
    </row>
    <row r="9" spans="1:3" ht="14.25">
      <c r="A9" s="522" t="s">
        <v>461</v>
      </c>
      <c r="B9" s="522" t="s">
        <v>462</v>
      </c>
      <c r="C9" s="522" t="s">
        <v>463</v>
      </c>
    </row>
    <row r="10" spans="1:3" ht="28.5" customHeight="1">
      <c r="A10" s="548" t="s">
        <v>464</v>
      </c>
      <c r="B10" s="548"/>
      <c r="C10" s="522"/>
    </row>
    <row r="11" spans="1:3" ht="45" customHeight="1">
      <c r="A11" s="526" t="s">
        <v>465</v>
      </c>
      <c r="B11" s="526" t="s">
        <v>466</v>
      </c>
      <c r="C11" s="523">
        <f>C16-C12</f>
        <v>1499.9930000000168</v>
      </c>
    </row>
    <row r="12" spans="1:3" ht="45" customHeight="1">
      <c r="A12" s="526" t="s">
        <v>467</v>
      </c>
      <c r="B12" s="526" t="s">
        <v>468</v>
      </c>
      <c r="C12" s="524">
        <f t="shared" ref="C12:C13" si="0">C13</f>
        <v>83659.506999999998</v>
      </c>
    </row>
    <row r="13" spans="1:3" ht="45" customHeight="1">
      <c r="A13" s="527" t="s">
        <v>469</v>
      </c>
      <c r="B13" s="527" t="s">
        <v>470</v>
      </c>
      <c r="C13" s="525">
        <f t="shared" si="0"/>
        <v>83659.506999999998</v>
      </c>
    </row>
    <row r="14" spans="1:3" ht="45" customHeight="1">
      <c r="A14" s="527" t="s">
        <v>471</v>
      </c>
      <c r="B14" s="527" t="s">
        <v>472</v>
      </c>
      <c r="C14" s="525">
        <f>C15</f>
        <v>83659.506999999998</v>
      </c>
    </row>
    <row r="15" spans="1:3" ht="77.099999999999994" customHeight="1">
      <c r="A15" s="527" t="s">
        <v>473</v>
      </c>
      <c r="B15" s="527" t="s">
        <v>474</v>
      </c>
      <c r="C15" s="525">
        <f>'доходы '!J61</f>
        <v>83659.506999999998</v>
      </c>
    </row>
    <row r="16" spans="1:3" ht="45" customHeight="1">
      <c r="A16" s="526" t="s">
        <v>475</v>
      </c>
      <c r="B16" s="526" t="s">
        <v>476</v>
      </c>
      <c r="C16" s="524">
        <f t="shared" ref="C16:C17" si="1">C17</f>
        <v>85159.500000000015</v>
      </c>
    </row>
    <row r="17" spans="1:3" ht="45" customHeight="1">
      <c r="A17" s="527" t="s">
        <v>477</v>
      </c>
      <c r="B17" s="527" t="s">
        <v>478</v>
      </c>
      <c r="C17" s="525">
        <f t="shared" si="1"/>
        <v>85159.500000000015</v>
      </c>
    </row>
    <row r="18" spans="1:3" ht="45" customHeight="1">
      <c r="A18" s="527" t="s">
        <v>479</v>
      </c>
      <c r="B18" s="527" t="s">
        <v>480</v>
      </c>
      <c r="C18" s="525">
        <f>C19</f>
        <v>85159.500000000015</v>
      </c>
    </row>
    <row r="19" spans="1:3" ht="77.099999999999994" customHeight="1">
      <c r="A19" s="527" t="s">
        <v>481</v>
      </c>
      <c r="B19" s="527" t="s">
        <v>482</v>
      </c>
      <c r="C19" s="525">
        <f>ведомст.структ!N132</f>
        <v>85159.500000000015</v>
      </c>
    </row>
    <row r="20" spans="1:3" ht="30.75" customHeight="1">
      <c r="A20" s="542" t="s">
        <v>483</v>
      </c>
      <c r="B20" s="542"/>
      <c r="C20" s="524">
        <f>C16-C12</f>
        <v>1499.9930000000168</v>
      </c>
    </row>
    <row r="21" spans="1:3" ht="20.25" customHeight="1">
      <c r="A21" s="542" t="s">
        <v>484</v>
      </c>
      <c r="B21" s="542"/>
      <c r="C21" s="524">
        <f>C20</f>
        <v>1499.9930000000168</v>
      </c>
    </row>
    <row r="22" spans="1:3" ht="15">
      <c r="A22" s="304"/>
    </row>
  </sheetData>
  <mergeCells count="10">
    <mergeCell ref="A21:B21"/>
    <mergeCell ref="A1:C1"/>
    <mergeCell ref="A2:C2"/>
    <mergeCell ref="A3:C3"/>
    <mergeCell ref="A5:C5"/>
    <mergeCell ref="A6:C6"/>
    <mergeCell ref="A7:C7"/>
    <mergeCell ref="A8:C8"/>
    <mergeCell ref="A10:B10"/>
    <mergeCell ref="A20:B20"/>
  </mergeCells>
  <pageMargins left="0.70866141732283472" right="0.70866141732283472" top="0.74803149606299213" bottom="0.74803149606299213" header="0.31496062992125984" footer="0.31496062992125984"/>
  <pageSetup paperSize="9" scale="91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20"/>
  <sheetViews>
    <sheetView tabSelected="1" workbookViewId="0">
      <selection activeCell="A3" sqref="A3:D3"/>
    </sheetView>
  </sheetViews>
  <sheetFormatPr defaultRowHeight="12.75"/>
  <cols>
    <col min="1" max="1" width="28" customWidth="1"/>
    <col min="2" max="2" width="40.42578125" customWidth="1"/>
    <col min="3" max="3" width="45.42578125" customWidth="1"/>
  </cols>
  <sheetData>
    <row r="1" spans="1:4" ht="15.75">
      <c r="A1" s="550" t="s">
        <v>495</v>
      </c>
      <c r="B1" s="550"/>
      <c r="C1" s="550"/>
      <c r="D1" s="550"/>
    </row>
    <row r="2" spans="1:4" ht="17.25" customHeight="1">
      <c r="A2" s="552" t="s">
        <v>456</v>
      </c>
      <c r="B2" s="552"/>
      <c r="C2" s="552"/>
      <c r="D2" s="552"/>
    </row>
    <row r="3" spans="1:4">
      <c r="A3" s="552" t="s">
        <v>538</v>
      </c>
      <c r="B3" s="552"/>
      <c r="C3" s="552"/>
      <c r="D3" s="552"/>
    </row>
    <row r="4" spans="1:4" ht="18.75" customHeight="1">
      <c r="A4" s="553" t="s">
        <v>485</v>
      </c>
      <c r="B4" s="553"/>
      <c r="C4" s="553"/>
      <c r="D4" s="553"/>
    </row>
    <row r="5" spans="1:4" s="55" customFormat="1" ht="18.75" customHeight="1">
      <c r="A5" s="307"/>
      <c r="B5" s="307"/>
      <c r="C5" s="307"/>
    </row>
    <row r="6" spans="1:4" ht="15.75">
      <c r="A6" s="551" t="s">
        <v>486</v>
      </c>
      <c r="B6" s="551"/>
      <c r="C6" s="551"/>
      <c r="D6" s="551"/>
    </row>
    <row r="7" spans="1:4" ht="15.75">
      <c r="A7" s="551" t="s">
        <v>487</v>
      </c>
      <c r="B7" s="551"/>
      <c r="C7" s="551"/>
      <c r="D7" s="551"/>
    </row>
    <row r="8" spans="1:4" ht="15.75">
      <c r="A8" s="551" t="s">
        <v>458</v>
      </c>
      <c r="B8" s="551"/>
      <c r="C8" s="551"/>
      <c r="D8" s="551"/>
    </row>
    <row r="9" spans="1:4" ht="15.75">
      <c r="A9" s="551" t="s">
        <v>459</v>
      </c>
      <c r="B9" s="551"/>
      <c r="C9" s="551"/>
      <c r="D9" s="551"/>
    </row>
    <row r="10" spans="1:4" s="55" customFormat="1" ht="15.75">
      <c r="A10" s="303"/>
      <c r="B10" s="303"/>
      <c r="C10" s="303"/>
      <c r="D10" s="303"/>
    </row>
    <row r="11" spans="1:4" s="55" customFormat="1" ht="15.75">
      <c r="A11" s="303"/>
      <c r="B11" s="303"/>
      <c r="C11" s="303"/>
      <c r="D11" s="303"/>
    </row>
    <row r="12" spans="1:4" ht="15">
      <c r="A12" s="549"/>
      <c r="B12" s="549"/>
      <c r="C12" s="549"/>
      <c r="D12" s="549"/>
    </row>
    <row r="13" spans="1:4" ht="36" customHeight="1">
      <c r="A13" s="556" t="s">
        <v>488</v>
      </c>
      <c r="B13" s="556"/>
      <c r="C13" s="556" t="s">
        <v>462</v>
      </c>
      <c r="D13" s="302"/>
    </row>
    <row r="14" spans="1:4" ht="43.5" customHeight="1">
      <c r="A14" s="556" t="s">
        <v>492</v>
      </c>
      <c r="B14" s="556" t="s">
        <v>489</v>
      </c>
      <c r="C14" s="556"/>
      <c r="D14" s="555"/>
    </row>
    <row r="15" spans="1:4" ht="4.5" customHeight="1">
      <c r="A15" s="556"/>
      <c r="B15" s="556"/>
      <c r="C15" s="556"/>
      <c r="D15" s="555"/>
    </row>
    <row r="16" spans="1:4" ht="15.75">
      <c r="A16" s="305">
        <v>1</v>
      </c>
      <c r="B16" s="305">
        <v>2</v>
      </c>
      <c r="C16" s="306">
        <v>3</v>
      </c>
      <c r="D16" s="302"/>
    </row>
    <row r="17" spans="1:4" ht="29.25" customHeight="1">
      <c r="A17" s="554">
        <v>993</v>
      </c>
      <c r="B17" s="554" t="s">
        <v>490</v>
      </c>
      <c r="C17" s="557" t="s">
        <v>493</v>
      </c>
      <c r="D17" s="555"/>
    </row>
    <row r="18" spans="1:4" ht="31.5" customHeight="1">
      <c r="A18" s="554"/>
      <c r="B18" s="554"/>
      <c r="C18" s="557"/>
      <c r="D18" s="555"/>
    </row>
    <row r="19" spans="1:4" ht="29.25" customHeight="1">
      <c r="A19" s="554">
        <v>993</v>
      </c>
      <c r="B19" s="554" t="s">
        <v>491</v>
      </c>
      <c r="C19" s="558" t="s">
        <v>494</v>
      </c>
      <c r="D19" s="555"/>
    </row>
    <row r="20" spans="1:4" ht="32.25" customHeight="1">
      <c r="A20" s="554"/>
      <c r="B20" s="554"/>
      <c r="C20" s="558"/>
      <c r="D20" s="555"/>
    </row>
  </sheetData>
  <mergeCells count="22">
    <mergeCell ref="A13:B13"/>
    <mergeCell ref="C13:C15"/>
    <mergeCell ref="B14:B15"/>
    <mergeCell ref="D14:D15"/>
    <mergeCell ref="A17:A18"/>
    <mergeCell ref="B17:B18"/>
    <mergeCell ref="D17:D18"/>
    <mergeCell ref="A19:A20"/>
    <mergeCell ref="B19:B20"/>
    <mergeCell ref="D19:D20"/>
    <mergeCell ref="A14:A15"/>
    <mergeCell ref="C17:C18"/>
    <mergeCell ref="C19:C20"/>
    <mergeCell ref="A12:D12"/>
    <mergeCell ref="A1:D1"/>
    <mergeCell ref="A6:D6"/>
    <mergeCell ref="A7:D7"/>
    <mergeCell ref="A8:D8"/>
    <mergeCell ref="A9:D9"/>
    <mergeCell ref="A2:D2"/>
    <mergeCell ref="A3:D3"/>
    <mergeCell ref="A4:D4"/>
  </mergeCells>
  <pageMargins left="0.70866141732283472" right="0.70866141732283472" top="0.74803149606299213" bottom="0.74803149606299213" header="0.31496062992125984" footer="0.31496062992125984"/>
  <pageSetup paperSize="9" scale="7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доходы </vt:lpstr>
      <vt:lpstr>прилож 5</vt:lpstr>
      <vt:lpstr>ведомст.структ</vt:lpstr>
      <vt:lpstr>функциональн.структ</vt:lpstr>
      <vt:lpstr>прилож 4</vt:lpstr>
      <vt:lpstr>приложен 6</vt:lpstr>
      <vt:lpstr>ведомст.структ!Заголовки_для_печати</vt:lpstr>
      <vt:lpstr>'доходы '!Заголовки_для_печати</vt:lpstr>
      <vt:lpstr>функциональн.структ!Заголовки_для_печати</vt:lpstr>
    </vt:vector>
  </TitlesOfParts>
  <Company>QuasaR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Шманцарь</dc:creator>
  <cp:lastModifiedBy>User</cp:lastModifiedBy>
  <cp:lastPrinted>2013-11-27T12:58:02Z</cp:lastPrinted>
  <dcterms:created xsi:type="dcterms:W3CDTF">1999-12-27T10:35:15Z</dcterms:created>
  <dcterms:modified xsi:type="dcterms:W3CDTF">2013-12-25T13:25:43Z</dcterms:modified>
</cp:coreProperties>
</file>