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lib\Desktop\"/>
    </mc:Choice>
  </mc:AlternateContent>
  <bookViews>
    <workbookView xWindow="480" yWindow="75" windowWidth="17235" windowHeight="11070"/>
  </bookViews>
  <sheets>
    <sheet name="REVENUE" sheetId="1" r:id="rId1"/>
    <sheet name="LINE ITEM EXP" sheetId="2" r:id="rId2"/>
    <sheet name="JUSTIFICATION" sheetId="3" r:id="rId3"/>
  </sheets>
  <definedNames>
    <definedName name="_xlnm.Print_Area" localSheetId="2">JUSTIFICATION!$A$1:$N$358</definedName>
    <definedName name="_xlnm.Print_Area" localSheetId="1">'LINE ITEM EXP'!$A$1:$J$66</definedName>
    <definedName name="_xlnm.Print_Area" localSheetId="0">REVENUE!$A$1:$H$27</definedName>
  </definedNames>
  <calcPr calcId="162913"/>
</workbook>
</file>

<file path=xl/calcChain.xml><?xml version="1.0" encoding="utf-8"?>
<calcChain xmlns="http://schemas.openxmlformats.org/spreadsheetml/2006/main">
  <c r="G9" i="1" l="1"/>
  <c r="G93" i="3"/>
  <c r="G191" i="3" l="1"/>
  <c r="G268" i="3"/>
  <c r="G302" i="3"/>
  <c r="G90" i="3"/>
  <c r="G10" i="1" l="1"/>
  <c r="G128" i="3"/>
  <c r="G154" i="3"/>
  <c r="G146" i="3"/>
  <c r="G124" i="3"/>
  <c r="G105" i="3"/>
  <c r="G39" i="3"/>
  <c r="G187" i="3" l="1"/>
  <c r="N90" i="3" l="1"/>
  <c r="G59" i="3"/>
  <c r="M59" i="3" s="1"/>
  <c r="N59" i="3" s="1"/>
  <c r="E59" i="3"/>
  <c r="G82" i="3"/>
  <c r="D83" i="3"/>
  <c r="G65" i="3"/>
  <c r="M65" i="3" s="1"/>
  <c r="N65" i="3" s="1"/>
  <c r="G64" i="3"/>
  <c r="G63" i="3"/>
  <c r="G62" i="3"/>
  <c r="M62" i="3" s="1"/>
  <c r="G61" i="3"/>
  <c r="M61" i="3" s="1"/>
  <c r="N61" i="3" s="1"/>
  <c r="G58" i="3"/>
  <c r="G60" i="3"/>
  <c r="E65" i="3"/>
  <c r="E64" i="3"/>
  <c r="E63" i="3"/>
  <c r="E62" i="3"/>
  <c r="E61" i="3"/>
  <c r="E60" i="3"/>
  <c r="N62" i="3" l="1"/>
  <c r="M64" i="3"/>
  <c r="N64" i="3" s="1"/>
  <c r="M60" i="3"/>
  <c r="N60" i="3" s="1"/>
  <c r="M63" i="3"/>
  <c r="N63" i="3" s="1"/>
  <c r="M82" i="3"/>
  <c r="N82" i="3" s="1"/>
  <c r="G91" i="3"/>
  <c r="G95" i="3"/>
  <c r="G25" i="3" l="1"/>
  <c r="F137" i="3"/>
  <c r="A130" i="3"/>
  <c r="F130" i="3" s="1"/>
  <c r="A37" i="3"/>
  <c r="E37" i="3" s="1"/>
  <c r="A24" i="3"/>
  <c r="E24" i="3" s="1"/>
  <c r="A25" i="3"/>
  <c r="A26" i="3"/>
  <c r="E26" i="3" s="1"/>
  <c r="A27" i="3"/>
  <c r="E27" i="3" s="1"/>
  <c r="A28" i="3"/>
  <c r="E28" i="3" s="1"/>
  <c r="A29" i="3"/>
  <c r="E29" i="3" s="1"/>
  <c r="A30" i="3"/>
  <c r="E30" i="3" s="1"/>
  <c r="A31" i="3"/>
  <c r="E31" i="3" s="1"/>
  <c r="A32" i="3"/>
  <c r="E32" i="3" s="1"/>
  <c r="A33" i="3"/>
  <c r="E33" i="3" s="1"/>
  <c r="A34" i="3"/>
  <c r="E34" i="3" s="1"/>
  <c r="A35" i="3"/>
  <c r="E35" i="3" s="1"/>
  <c r="A36" i="3"/>
  <c r="E36" i="3" s="1"/>
  <c r="M316" i="3" l="1"/>
  <c r="M320" i="3"/>
  <c r="M350" i="3"/>
  <c r="M354" i="3"/>
  <c r="M300" i="3"/>
  <c r="M296" i="3"/>
  <c r="M284" i="3"/>
  <c r="M277" i="3"/>
  <c r="M271" i="3"/>
  <c r="M265" i="3"/>
  <c r="M256" i="3"/>
  <c r="M253" i="3"/>
  <c r="M244" i="3"/>
  <c r="M233" i="3"/>
  <c r="M228" i="3"/>
  <c r="M223" i="3"/>
  <c r="M210" i="3"/>
  <c r="M194" i="3"/>
  <c r="M189" i="3"/>
  <c r="M146" i="3"/>
  <c r="M124" i="3"/>
  <c r="M105" i="3"/>
  <c r="G80" i="3" l="1"/>
  <c r="M80" i="3" s="1"/>
  <c r="N80" i="3" s="1"/>
  <c r="E80" i="3"/>
  <c r="A57" i="3"/>
  <c r="G57" i="3"/>
  <c r="E57" i="3"/>
  <c r="M57" i="3" l="1"/>
  <c r="N57" i="3" s="1"/>
  <c r="G47" i="3"/>
  <c r="D32" i="3" s="1"/>
  <c r="E47" i="3"/>
  <c r="M47" i="3" l="1"/>
  <c r="M32" i="3" s="1"/>
  <c r="M355" i="3"/>
  <c r="H62" i="2"/>
  <c r="J354" i="3"/>
  <c r="I354" i="3"/>
  <c r="H354" i="3"/>
  <c r="J350" i="3"/>
  <c r="I350" i="3"/>
  <c r="H350" i="3"/>
  <c r="J345" i="3"/>
  <c r="I345" i="3"/>
  <c r="H345" i="3"/>
  <c r="J340" i="3"/>
  <c r="I340" i="3"/>
  <c r="J324" i="3"/>
  <c r="I324" i="3"/>
  <c r="H324" i="3"/>
  <c r="J320" i="3"/>
  <c r="I320" i="3"/>
  <c r="H320" i="3"/>
  <c r="J316" i="3"/>
  <c r="I316" i="3"/>
  <c r="H316" i="3"/>
  <c r="J312" i="3"/>
  <c r="I312" i="3"/>
  <c r="H312" i="3"/>
  <c r="J308" i="3"/>
  <c r="I308" i="3"/>
  <c r="H308" i="3"/>
  <c r="J304" i="3"/>
  <c r="I304" i="3"/>
  <c r="H304" i="3"/>
  <c r="J300" i="3"/>
  <c r="I300" i="3"/>
  <c r="H300" i="3"/>
  <c r="J296" i="3"/>
  <c r="I296" i="3"/>
  <c r="H296" i="3"/>
  <c r="J292" i="3"/>
  <c r="I292" i="3"/>
  <c r="H292" i="3"/>
  <c r="J287" i="3"/>
  <c r="I287" i="3"/>
  <c r="H287" i="3"/>
  <c r="J284" i="3"/>
  <c r="I284" i="3"/>
  <c r="H284" i="3"/>
  <c r="J277" i="3"/>
  <c r="I277" i="3"/>
  <c r="H277" i="3"/>
  <c r="J271" i="3"/>
  <c r="I271" i="3"/>
  <c r="H271" i="3"/>
  <c r="J265" i="3"/>
  <c r="I265" i="3"/>
  <c r="H265" i="3"/>
  <c r="J256" i="3"/>
  <c r="I256" i="3"/>
  <c r="H256" i="3"/>
  <c r="J253" i="3"/>
  <c r="I253" i="3"/>
  <c r="H253" i="3"/>
  <c r="J244" i="3"/>
  <c r="I244" i="3"/>
  <c r="H244" i="3"/>
  <c r="J233" i="3"/>
  <c r="I233" i="3"/>
  <c r="H233" i="3"/>
  <c r="J228" i="3"/>
  <c r="I228" i="3"/>
  <c r="H228" i="3"/>
  <c r="J223" i="3"/>
  <c r="I223" i="3"/>
  <c r="H223" i="3"/>
  <c r="J219" i="3"/>
  <c r="I219" i="3"/>
  <c r="H219" i="3"/>
  <c r="J216" i="3"/>
  <c r="I216" i="3"/>
  <c r="H216" i="3"/>
  <c r="J213" i="3"/>
  <c r="I213" i="3"/>
  <c r="H213" i="3"/>
  <c r="J210" i="3"/>
  <c r="I210" i="3"/>
  <c r="H210" i="3"/>
  <c r="J194" i="3"/>
  <c r="I194" i="3"/>
  <c r="H194" i="3"/>
  <c r="J189" i="3"/>
  <c r="I189" i="3"/>
  <c r="H189" i="3"/>
  <c r="J185" i="3"/>
  <c r="I185" i="3"/>
  <c r="H185" i="3"/>
  <c r="J182" i="3"/>
  <c r="I182" i="3"/>
  <c r="H182" i="3"/>
  <c r="J178" i="3"/>
  <c r="I178" i="3"/>
  <c r="H178" i="3"/>
  <c r="J175" i="3"/>
  <c r="I175" i="3"/>
  <c r="H175" i="3"/>
  <c r="J170" i="3"/>
  <c r="I170" i="3"/>
  <c r="H170" i="3"/>
  <c r="J154" i="3"/>
  <c r="I154" i="3"/>
  <c r="H154" i="3"/>
  <c r="J146" i="3"/>
  <c r="I146" i="3"/>
  <c r="H146" i="3"/>
  <c r="J128" i="3"/>
  <c r="I128" i="3"/>
  <c r="H128" i="3"/>
  <c r="J124" i="3"/>
  <c r="I124" i="3"/>
  <c r="H124" i="3"/>
  <c r="J105" i="3"/>
  <c r="I105" i="3"/>
  <c r="H105" i="3"/>
  <c r="J85" i="3"/>
  <c r="I85" i="3"/>
  <c r="H85" i="3"/>
  <c r="J39" i="3"/>
  <c r="I39" i="3"/>
  <c r="H39" i="3"/>
  <c r="J22" i="3"/>
  <c r="I22" i="3"/>
  <c r="H22" i="3"/>
  <c r="H63" i="2"/>
  <c r="H53" i="2"/>
  <c r="H52" i="2"/>
  <c r="H48" i="2"/>
  <c r="H47" i="2"/>
  <c r="H41" i="2"/>
  <c r="H40" i="2"/>
  <c r="H39" i="2"/>
  <c r="H37" i="2"/>
  <c r="H36" i="2"/>
  <c r="H34" i="2"/>
  <c r="H31" i="2"/>
  <c r="H27" i="2"/>
  <c r="H26" i="2"/>
  <c r="H25" i="2"/>
  <c r="H13" i="2"/>
  <c r="H12" i="2"/>
  <c r="K354" i="3"/>
  <c r="F63" i="2" s="1"/>
  <c r="G353" i="3"/>
  <c r="L354" i="3" s="1"/>
  <c r="G63" i="2" s="1"/>
  <c r="N352" i="3"/>
  <c r="N354" i="3" s="1"/>
  <c r="K350" i="3"/>
  <c r="F62" i="2" s="1"/>
  <c r="G349" i="3"/>
  <c r="L350" i="3" s="1"/>
  <c r="G62" i="2" s="1"/>
  <c r="N348" i="3"/>
  <c r="N350" i="3" s="1"/>
  <c r="M345" i="3"/>
  <c r="H58" i="2" s="1"/>
  <c r="K345" i="3"/>
  <c r="F58" i="2" s="1"/>
  <c r="G344" i="3"/>
  <c r="L345" i="3" s="1"/>
  <c r="G58" i="2" s="1"/>
  <c r="N343" i="3"/>
  <c r="N342" i="3"/>
  <c r="M339" i="3"/>
  <c r="K339" i="3"/>
  <c r="K340" i="3" s="1"/>
  <c r="G338" i="3"/>
  <c r="L339" i="3" s="1"/>
  <c r="N337" i="3"/>
  <c r="N339" i="3" s="1"/>
  <c r="M335" i="3"/>
  <c r="K335" i="3"/>
  <c r="G334" i="3"/>
  <c r="L335" i="3" s="1"/>
  <c r="N333" i="3"/>
  <c r="N335" i="3" s="1"/>
  <c r="M331" i="3"/>
  <c r="K331" i="3"/>
  <c r="G330" i="3"/>
  <c r="L331" i="3" s="1"/>
  <c r="N329" i="3"/>
  <c r="N331" i="3" s="1"/>
  <c r="M324" i="3"/>
  <c r="H54" i="2" s="1"/>
  <c r="K324" i="3"/>
  <c r="F54" i="2" s="1"/>
  <c r="G323" i="3"/>
  <c r="L324" i="3" s="1"/>
  <c r="G54" i="2" s="1"/>
  <c r="N322" i="3"/>
  <c r="N324" i="3" s="1"/>
  <c r="K320" i="3"/>
  <c r="F53" i="2" s="1"/>
  <c r="G319" i="3"/>
  <c r="L320" i="3" s="1"/>
  <c r="G53" i="2" s="1"/>
  <c r="N318" i="3"/>
  <c r="N320" i="3" s="1"/>
  <c r="K316" i="3"/>
  <c r="F52" i="2" s="1"/>
  <c r="G315" i="3"/>
  <c r="L316" i="3" s="1"/>
  <c r="G52" i="2" s="1"/>
  <c r="N314" i="3"/>
  <c r="N316" i="3" s="1"/>
  <c r="M312" i="3"/>
  <c r="H51" i="2" s="1"/>
  <c r="K312" i="3"/>
  <c r="F51" i="2" s="1"/>
  <c r="G311" i="3"/>
  <c r="L312" i="3" s="1"/>
  <c r="G51" i="2" s="1"/>
  <c r="N310" i="3"/>
  <c r="N312" i="3" s="1"/>
  <c r="M308" i="3"/>
  <c r="H50" i="2" s="1"/>
  <c r="K308" i="3"/>
  <c r="F50" i="2" s="1"/>
  <c r="G307" i="3"/>
  <c r="L308" i="3" s="1"/>
  <c r="G50" i="2" s="1"/>
  <c r="N306" i="3"/>
  <c r="N308" i="3" s="1"/>
  <c r="M304" i="3"/>
  <c r="H49" i="2" s="1"/>
  <c r="K304" i="3"/>
  <c r="F49" i="2" s="1"/>
  <c r="G303" i="3"/>
  <c r="L304" i="3" s="1"/>
  <c r="G49" i="2" s="1"/>
  <c r="N302" i="3"/>
  <c r="N304" i="3" s="1"/>
  <c r="K300" i="3"/>
  <c r="F48" i="2" s="1"/>
  <c r="G299" i="3"/>
  <c r="G48" i="2" s="1"/>
  <c r="N298" i="3"/>
  <c r="K296" i="3"/>
  <c r="F47" i="2" s="1"/>
  <c r="G295" i="3"/>
  <c r="G47" i="2" s="1"/>
  <c r="N294" i="3"/>
  <c r="M292" i="3"/>
  <c r="H46" i="2" s="1"/>
  <c r="K292" i="3"/>
  <c r="F46" i="2" s="1"/>
  <c r="G291" i="3"/>
  <c r="L292" i="3" s="1"/>
  <c r="G46" i="2" s="1"/>
  <c r="N290" i="3"/>
  <c r="N289" i="3"/>
  <c r="M287" i="3"/>
  <c r="K287" i="3"/>
  <c r="F41" i="2" s="1"/>
  <c r="G286" i="3"/>
  <c r="L287" i="3" s="1"/>
  <c r="G42" i="2" s="1"/>
  <c r="N285" i="3"/>
  <c r="N287" i="3" s="1"/>
  <c r="K284" i="3"/>
  <c r="F40" i="2" s="1"/>
  <c r="G283" i="3"/>
  <c r="L284" i="3" s="1"/>
  <c r="G40" i="2" s="1"/>
  <c r="N282" i="3"/>
  <c r="N281" i="3"/>
  <c r="N280" i="3"/>
  <c r="N279" i="3"/>
  <c r="K277" i="3"/>
  <c r="F39" i="2" s="1"/>
  <c r="N275" i="3"/>
  <c r="G274" i="3"/>
  <c r="N274" i="3" s="1"/>
  <c r="G273" i="3"/>
  <c r="N273" i="3" s="1"/>
  <c r="H38" i="2"/>
  <c r="K271" i="3"/>
  <c r="F38" i="2" s="1"/>
  <c r="G270" i="3"/>
  <c r="L271" i="3" s="1"/>
  <c r="G38" i="2" s="1"/>
  <c r="N269" i="3"/>
  <c r="N268" i="3"/>
  <c r="N267" i="3"/>
  <c r="N266" i="3"/>
  <c r="K265" i="3"/>
  <c r="F37" i="2" s="1"/>
  <c r="G264" i="3"/>
  <c r="L265" i="3" s="1"/>
  <c r="G37" i="2" s="1"/>
  <c r="N263" i="3"/>
  <c r="N262" i="3"/>
  <c r="N261" i="3"/>
  <c r="N260" i="3"/>
  <c r="N259" i="3"/>
  <c r="N258" i="3"/>
  <c r="N257" i="3"/>
  <c r="K256" i="3"/>
  <c r="F36" i="2" s="1"/>
  <c r="G255" i="3"/>
  <c r="L256" i="3" s="1"/>
  <c r="G36" i="2" s="1"/>
  <c r="N254" i="3"/>
  <c r="N256" i="3" s="1"/>
  <c r="H35" i="2"/>
  <c r="K253" i="3"/>
  <c r="F35" i="2" s="1"/>
  <c r="G252" i="3"/>
  <c r="L253" i="3" s="1"/>
  <c r="G35" i="2" s="1"/>
  <c r="N251" i="3"/>
  <c r="N250" i="3"/>
  <c r="N249" i="3"/>
  <c r="N248" i="3"/>
  <c r="N247" i="3"/>
  <c r="N246" i="3"/>
  <c r="N245" i="3"/>
  <c r="K244" i="3"/>
  <c r="F34" i="2" s="1"/>
  <c r="G243" i="3"/>
  <c r="L244" i="3" s="1"/>
  <c r="G34" i="2" s="1"/>
  <c r="N242" i="3"/>
  <c r="N241" i="3"/>
  <c r="N240" i="3"/>
  <c r="N239" i="3"/>
  <c r="N238" i="3"/>
  <c r="N237" i="3"/>
  <c r="N236" i="3"/>
  <c r="N235" i="3"/>
  <c r="N234" i="3"/>
  <c r="H33" i="2"/>
  <c r="K233" i="3"/>
  <c r="F33" i="2" s="1"/>
  <c r="G232" i="3"/>
  <c r="L233" i="3" s="1"/>
  <c r="G33" i="2" s="1"/>
  <c r="N231" i="3"/>
  <c r="N230" i="3"/>
  <c r="N229" i="3"/>
  <c r="H32" i="2"/>
  <c r="K228" i="3"/>
  <c r="F32" i="2" s="1"/>
  <c r="G227" i="3"/>
  <c r="L228" i="3" s="1"/>
  <c r="G32" i="2" s="1"/>
  <c r="N226" i="3"/>
  <c r="N225" i="3"/>
  <c r="N224" i="3"/>
  <c r="K223" i="3"/>
  <c r="F31" i="2" s="1"/>
  <c r="G222" i="3"/>
  <c r="L223" i="3" s="1"/>
  <c r="G31" i="2" s="1"/>
  <c r="N221" i="3"/>
  <c r="N220" i="3"/>
  <c r="M219" i="3"/>
  <c r="H30" i="2" s="1"/>
  <c r="K219" i="3"/>
  <c r="F30" i="2" s="1"/>
  <c r="G218" i="3"/>
  <c r="L219" i="3" s="1"/>
  <c r="G30" i="2" s="1"/>
  <c r="N217" i="3"/>
  <c r="N219" i="3" s="1"/>
  <c r="M216" i="3"/>
  <c r="H29" i="2" s="1"/>
  <c r="K216" i="3"/>
  <c r="F29" i="2" s="1"/>
  <c r="G215" i="3"/>
  <c r="L216" i="3" s="1"/>
  <c r="G29" i="2" s="1"/>
  <c r="N214" i="3"/>
  <c r="N216" i="3" s="1"/>
  <c r="M213" i="3"/>
  <c r="H28" i="2" s="1"/>
  <c r="K213" i="3"/>
  <c r="F28" i="2" s="1"/>
  <c r="G212" i="3"/>
  <c r="L213" i="3" s="1"/>
  <c r="G28" i="2" s="1"/>
  <c r="N211" i="3"/>
  <c r="N213" i="3" s="1"/>
  <c r="K210" i="3"/>
  <c r="F27" i="2" s="1"/>
  <c r="G209" i="3"/>
  <c r="L210" i="3" s="1"/>
  <c r="G27" i="2" s="1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K194" i="3"/>
  <c r="F26" i="2" s="1"/>
  <c r="G193" i="3"/>
  <c r="L194" i="3" s="1"/>
  <c r="G26" i="2" s="1"/>
  <c r="N192" i="3"/>
  <c r="N191" i="3"/>
  <c r="N190" i="3"/>
  <c r="K189" i="3"/>
  <c r="F25" i="2" s="1"/>
  <c r="G188" i="3"/>
  <c r="L189" i="3" s="1"/>
  <c r="G25" i="2" s="1"/>
  <c r="N187" i="3"/>
  <c r="N189" i="3" s="1"/>
  <c r="M185" i="3"/>
  <c r="H24" i="2" s="1"/>
  <c r="K185" i="3"/>
  <c r="F24" i="2" s="1"/>
  <c r="G184" i="3"/>
  <c r="L185" i="3" s="1"/>
  <c r="G24" i="2" s="1"/>
  <c r="N183" i="3"/>
  <c r="N185" i="3" s="1"/>
  <c r="M182" i="3"/>
  <c r="H23" i="2" s="1"/>
  <c r="K182" i="3"/>
  <c r="F23" i="2" s="1"/>
  <c r="G180" i="3"/>
  <c r="G181" i="3" s="1"/>
  <c r="L182" i="3" s="1"/>
  <c r="G23" i="2" s="1"/>
  <c r="M178" i="3"/>
  <c r="H22" i="2" s="1"/>
  <c r="K178" i="3"/>
  <c r="F22" i="2" s="1"/>
  <c r="G177" i="3"/>
  <c r="L178" i="3" s="1"/>
  <c r="G22" i="2" s="1"/>
  <c r="N176" i="3"/>
  <c r="N178" i="3" s="1"/>
  <c r="M175" i="3"/>
  <c r="H21" i="2" s="1"/>
  <c r="K175" i="3"/>
  <c r="F21" i="2" s="1"/>
  <c r="G174" i="3"/>
  <c r="L175" i="3" s="1"/>
  <c r="G21" i="2" s="1"/>
  <c r="N173" i="3"/>
  <c r="N175" i="3" s="1"/>
  <c r="M170" i="3"/>
  <c r="H17" i="2" s="1"/>
  <c r="K170" i="3"/>
  <c r="F17" i="2" s="1"/>
  <c r="F168" i="3"/>
  <c r="G168" i="3" s="1"/>
  <c r="N168" i="3" s="1"/>
  <c r="N167" i="3"/>
  <c r="F166" i="3"/>
  <c r="G166" i="3" s="1"/>
  <c r="N166" i="3" s="1"/>
  <c r="F165" i="3"/>
  <c r="G165" i="3" s="1"/>
  <c r="N165" i="3" s="1"/>
  <c r="F164" i="3"/>
  <c r="G164" i="3" s="1"/>
  <c r="N164" i="3" s="1"/>
  <c r="F163" i="3"/>
  <c r="G163" i="3" s="1"/>
  <c r="N163" i="3" s="1"/>
  <c r="F162" i="3"/>
  <c r="G162" i="3" s="1"/>
  <c r="N162" i="3" s="1"/>
  <c r="F161" i="3"/>
  <c r="G161" i="3" s="1"/>
  <c r="N161" i="3" s="1"/>
  <c r="F160" i="3"/>
  <c r="G160" i="3" s="1"/>
  <c r="N160" i="3" s="1"/>
  <c r="F159" i="3"/>
  <c r="G159" i="3" s="1"/>
  <c r="N159" i="3" s="1"/>
  <c r="F158" i="3"/>
  <c r="G158" i="3" s="1"/>
  <c r="N158" i="3" s="1"/>
  <c r="F157" i="3"/>
  <c r="G157" i="3" s="1"/>
  <c r="N157" i="3" s="1"/>
  <c r="F156" i="3"/>
  <c r="G156" i="3" s="1"/>
  <c r="K154" i="3"/>
  <c r="F16" i="2" s="1"/>
  <c r="M151" i="3"/>
  <c r="H15" i="2"/>
  <c r="K146" i="3"/>
  <c r="F15" i="2" s="1"/>
  <c r="N142" i="3"/>
  <c r="A141" i="3"/>
  <c r="F141" i="3" s="1"/>
  <c r="A140" i="3"/>
  <c r="F140" i="3" s="1"/>
  <c r="G140" i="3" s="1"/>
  <c r="N140" i="3" s="1"/>
  <c r="A139" i="3"/>
  <c r="F139" i="3" s="1"/>
  <c r="A138" i="3"/>
  <c r="F138" i="3" s="1"/>
  <c r="A136" i="3"/>
  <c r="F136" i="3" s="1"/>
  <c r="A135" i="3"/>
  <c r="F135" i="3" s="1"/>
  <c r="A134" i="3"/>
  <c r="F134" i="3" s="1"/>
  <c r="G134" i="3" s="1"/>
  <c r="N134" i="3" s="1"/>
  <c r="A133" i="3"/>
  <c r="F133" i="3" s="1"/>
  <c r="A132" i="3"/>
  <c r="F132" i="3" s="1"/>
  <c r="A131" i="3"/>
  <c r="F131" i="3" s="1"/>
  <c r="G131" i="3" s="1"/>
  <c r="N131" i="3" s="1"/>
  <c r="K128" i="3"/>
  <c r="F14" i="2" s="1"/>
  <c r="K124" i="3"/>
  <c r="F13" i="2" s="1"/>
  <c r="N122" i="3"/>
  <c r="F121" i="3"/>
  <c r="E121" i="3"/>
  <c r="D121" i="3"/>
  <c r="N120" i="3"/>
  <c r="N119" i="3"/>
  <c r="N118" i="3"/>
  <c r="N117" i="3"/>
  <c r="N116" i="3"/>
  <c r="N115" i="3"/>
  <c r="N114" i="3"/>
  <c r="N113" i="3"/>
  <c r="N112" i="3"/>
  <c r="N111" i="3"/>
  <c r="N110" i="3"/>
  <c r="G109" i="3"/>
  <c r="G121" i="3" s="1"/>
  <c r="N108" i="3"/>
  <c r="N107" i="3"/>
  <c r="K105" i="3"/>
  <c r="F12" i="2" s="1"/>
  <c r="N103" i="3"/>
  <c r="N102" i="3"/>
  <c r="G101" i="3"/>
  <c r="N101" i="3" s="1"/>
  <c r="G100" i="3"/>
  <c r="G99" i="3"/>
  <c r="N99" i="3" s="1"/>
  <c r="G98" i="3"/>
  <c r="N98" i="3" s="1"/>
  <c r="G97" i="3"/>
  <c r="N97" i="3" s="1"/>
  <c r="G96" i="3"/>
  <c r="N96" i="3" s="1"/>
  <c r="N93" i="3"/>
  <c r="N92" i="3"/>
  <c r="G89" i="3"/>
  <c r="G88" i="3"/>
  <c r="N88" i="3" s="1"/>
  <c r="K85" i="3"/>
  <c r="F11" i="2" s="1"/>
  <c r="G81" i="3"/>
  <c r="E81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N69" i="3" s="1"/>
  <c r="G67" i="3"/>
  <c r="M67" i="3" s="1"/>
  <c r="N67" i="3" s="1"/>
  <c r="E67" i="3"/>
  <c r="G66" i="3"/>
  <c r="M66" i="3" s="1"/>
  <c r="N66" i="3" s="1"/>
  <c r="E66" i="3"/>
  <c r="M58" i="3"/>
  <c r="N58" i="3" s="1"/>
  <c r="E58" i="3"/>
  <c r="G56" i="3"/>
  <c r="M56" i="3" s="1"/>
  <c r="E56" i="3"/>
  <c r="G55" i="3"/>
  <c r="M55" i="3" s="1"/>
  <c r="N55" i="3" s="1"/>
  <c r="E55" i="3"/>
  <c r="G54" i="3"/>
  <c r="M54" i="3" s="1"/>
  <c r="E54" i="3"/>
  <c r="G53" i="3"/>
  <c r="M53" i="3" s="1"/>
  <c r="E53" i="3"/>
  <c r="G52" i="3"/>
  <c r="M52" i="3" s="1"/>
  <c r="E52" i="3"/>
  <c r="G51" i="3"/>
  <c r="M51" i="3" s="1"/>
  <c r="E51" i="3"/>
  <c r="G46" i="3"/>
  <c r="M46" i="3" s="1"/>
  <c r="E46" i="3"/>
  <c r="G45" i="3"/>
  <c r="M45" i="3" s="1"/>
  <c r="N45" i="3" s="1"/>
  <c r="E45" i="3"/>
  <c r="G44" i="3"/>
  <c r="M44" i="3" s="1"/>
  <c r="E44" i="3"/>
  <c r="G43" i="3"/>
  <c r="M43" i="3" s="1"/>
  <c r="E43" i="3"/>
  <c r="K39" i="3"/>
  <c r="F10" i="2" s="1"/>
  <c r="K22" i="3"/>
  <c r="F9" i="2" s="1"/>
  <c r="E20" i="3"/>
  <c r="G20" i="3" s="1"/>
  <c r="E19" i="3"/>
  <c r="G19" i="3" s="1"/>
  <c r="D34" i="3" s="1"/>
  <c r="G34" i="3" s="1"/>
  <c r="E18" i="3"/>
  <c r="G18" i="3" s="1"/>
  <c r="D35" i="3" s="1"/>
  <c r="G35" i="3" s="1"/>
  <c r="E17" i="3"/>
  <c r="F94" i="3" s="1"/>
  <c r="G94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F87" i="3" s="1"/>
  <c r="G87" i="3" s="1"/>
  <c r="N1" i="3"/>
  <c r="M1" i="3"/>
  <c r="E64" i="2"/>
  <c r="D64" i="2"/>
  <c r="C64" i="2"/>
  <c r="E55" i="2"/>
  <c r="D55" i="2"/>
  <c r="C55" i="2"/>
  <c r="E43" i="2"/>
  <c r="D43" i="2"/>
  <c r="C43" i="2"/>
  <c r="E18" i="2"/>
  <c r="D18" i="2"/>
  <c r="C18" i="2"/>
  <c r="G30" i="1"/>
  <c r="H30" i="1" s="1"/>
  <c r="F27" i="1"/>
  <c r="C32" i="1" s="1"/>
  <c r="D27" i="1"/>
  <c r="C27" i="1"/>
  <c r="G83" i="3" l="1"/>
  <c r="I48" i="2"/>
  <c r="N47" i="3"/>
  <c r="I36" i="2"/>
  <c r="I27" i="2"/>
  <c r="D28" i="3"/>
  <c r="G28" i="3" s="1"/>
  <c r="N52" i="3"/>
  <c r="N194" i="3"/>
  <c r="M340" i="3"/>
  <c r="I24" i="2"/>
  <c r="N265" i="3"/>
  <c r="N223" i="3"/>
  <c r="N228" i="3"/>
  <c r="N345" i="3"/>
  <c r="N346" i="3" s="1"/>
  <c r="I29" i="2"/>
  <c r="I33" i="2"/>
  <c r="N91" i="3"/>
  <c r="G123" i="3"/>
  <c r="L124" i="3" s="1"/>
  <c r="G13" i="2" s="1"/>
  <c r="I13" i="2" s="1"/>
  <c r="N292" i="3"/>
  <c r="N325" i="3" s="1"/>
  <c r="N327" i="3" s="1"/>
  <c r="G41" i="2"/>
  <c r="I41" i="2" s="1"/>
  <c r="I52" i="2"/>
  <c r="I31" i="2"/>
  <c r="I58" i="2"/>
  <c r="I62" i="2"/>
  <c r="I40" i="2"/>
  <c r="I355" i="3"/>
  <c r="I25" i="2"/>
  <c r="H64" i="2"/>
  <c r="I23" i="2"/>
  <c r="I34" i="2"/>
  <c r="I35" i="2"/>
  <c r="I38" i="2"/>
  <c r="I51" i="2"/>
  <c r="D30" i="3"/>
  <c r="G30" i="3" s="1"/>
  <c r="I49" i="2"/>
  <c r="I50" i="2"/>
  <c r="I21" i="2"/>
  <c r="I32" i="2"/>
  <c r="F64" i="2"/>
  <c r="D37" i="3"/>
  <c r="G37" i="3" s="1"/>
  <c r="N56" i="3"/>
  <c r="N253" i="3"/>
  <c r="N284" i="3"/>
  <c r="K325" i="3"/>
  <c r="K327" i="3" s="1"/>
  <c r="M346" i="3"/>
  <c r="L355" i="3"/>
  <c r="H355" i="3"/>
  <c r="M288" i="3"/>
  <c r="M325" i="3"/>
  <c r="M327" i="3" s="1"/>
  <c r="I30" i="2"/>
  <c r="H42" i="2"/>
  <c r="I42" i="2" s="1"/>
  <c r="D29" i="3"/>
  <c r="G29" i="3" s="1"/>
  <c r="K355" i="3"/>
  <c r="N210" i="3"/>
  <c r="N233" i="3"/>
  <c r="N244" i="3"/>
  <c r="N271" i="3"/>
  <c r="K346" i="3"/>
  <c r="I22" i="2"/>
  <c r="I26" i="2"/>
  <c r="I28" i="2"/>
  <c r="I37" i="2"/>
  <c r="G55" i="2"/>
  <c r="I47" i="2"/>
  <c r="I54" i="2"/>
  <c r="J346" i="3"/>
  <c r="H346" i="3"/>
  <c r="I346" i="3"/>
  <c r="J355" i="3"/>
  <c r="H288" i="3"/>
  <c r="I325" i="3"/>
  <c r="I327" i="3" s="1"/>
  <c r="J325" i="3"/>
  <c r="J327" i="3" s="1"/>
  <c r="F55" i="2"/>
  <c r="I288" i="3"/>
  <c r="H55" i="2"/>
  <c r="D66" i="2"/>
  <c r="I63" i="2"/>
  <c r="I53" i="2"/>
  <c r="J288" i="3"/>
  <c r="H325" i="3"/>
  <c r="H327" i="3" s="1"/>
  <c r="C66" i="2"/>
  <c r="D59" i="2"/>
  <c r="C59" i="2"/>
  <c r="E59" i="2"/>
  <c r="E66" i="2"/>
  <c r="E28" i="1" s="1"/>
  <c r="F43" i="2"/>
  <c r="F18" i="2"/>
  <c r="D27" i="3"/>
  <c r="G27" i="3" s="1"/>
  <c r="M13" i="3"/>
  <c r="M27" i="3" s="1"/>
  <c r="M20" i="3"/>
  <c r="N20" i="3" s="1"/>
  <c r="E137" i="3" s="1"/>
  <c r="G137" i="3" s="1"/>
  <c r="N137" i="3" s="1"/>
  <c r="M14" i="3"/>
  <c r="N14" i="3" s="1"/>
  <c r="E139" i="3" s="1"/>
  <c r="G139" i="3" s="1"/>
  <c r="N139" i="3" s="1"/>
  <c r="D26" i="3"/>
  <c r="G26" i="3" s="1"/>
  <c r="M15" i="3"/>
  <c r="D36" i="3"/>
  <c r="G36" i="3" s="1"/>
  <c r="M18" i="3"/>
  <c r="N18" i="3" s="1"/>
  <c r="E133" i="3" s="1"/>
  <c r="G133" i="3" s="1"/>
  <c r="N133" i="3" s="1"/>
  <c r="N43" i="3"/>
  <c r="E141" i="3" s="1"/>
  <c r="G141" i="3" s="1"/>
  <c r="N141" i="3" s="1"/>
  <c r="M16" i="3"/>
  <c r="D31" i="3"/>
  <c r="G31" i="3" s="1"/>
  <c r="M19" i="3"/>
  <c r="N19" i="3" s="1"/>
  <c r="N44" i="3"/>
  <c r="M28" i="3"/>
  <c r="M12" i="3"/>
  <c r="M25" i="3" s="1"/>
  <c r="G32" i="3"/>
  <c r="N46" i="3"/>
  <c r="E135" i="3" s="1"/>
  <c r="G135" i="3" s="1"/>
  <c r="N135" i="3" s="1"/>
  <c r="M29" i="3"/>
  <c r="N87" i="3"/>
  <c r="G48" i="3"/>
  <c r="N53" i="3"/>
  <c r="M71" i="3"/>
  <c r="N71" i="3" s="1"/>
  <c r="J172" i="3"/>
  <c r="N277" i="3"/>
  <c r="L325" i="3"/>
  <c r="L327" i="3" s="1"/>
  <c r="L346" i="3"/>
  <c r="L340" i="3"/>
  <c r="K172" i="3"/>
  <c r="N355" i="3"/>
  <c r="N51" i="3"/>
  <c r="M70" i="3"/>
  <c r="N70" i="3" s="1"/>
  <c r="H172" i="3"/>
  <c r="N94" i="3"/>
  <c r="G11" i="3"/>
  <c r="G17" i="3"/>
  <c r="N54" i="3"/>
  <c r="G68" i="3"/>
  <c r="G169" i="3"/>
  <c r="L170" i="3" s="1"/>
  <c r="G17" i="2" s="1"/>
  <c r="I17" i="2" s="1"/>
  <c r="N156" i="3"/>
  <c r="N170" i="3" s="1"/>
  <c r="I172" i="3"/>
  <c r="K288" i="3"/>
  <c r="N340" i="3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1" i="3"/>
  <c r="N81" i="3" s="1"/>
  <c r="N89" i="3"/>
  <c r="N95" i="3"/>
  <c r="N100" i="3"/>
  <c r="N109" i="3"/>
  <c r="N124" i="3" s="1"/>
  <c r="H340" i="3"/>
  <c r="G276" i="3"/>
  <c r="L277" i="3" s="1"/>
  <c r="N180" i="3"/>
  <c r="N182" i="3" s="1"/>
  <c r="I46" i="2"/>
  <c r="G64" i="2"/>
  <c r="N85" i="3" l="1"/>
  <c r="I64" i="2"/>
  <c r="J64" i="2" s="1"/>
  <c r="M85" i="3"/>
  <c r="H11" i="2" s="1"/>
  <c r="N29" i="3"/>
  <c r="N28" i="3"/>
  <c r="H43" i="2"/>
  <c r="I357" i="3"/>
  <c r="I358" i="3" s="1"/>
  <c r="N25" i="3"/>
  <c r="I55" i="2"/>
  <c r="J55" i="2" s="1"/>
  <c r="N12" i="3"/>
  <c r="G138" i="3" s="1"/>
  <c r="N138" i="3" s="1"/>
  <c r="L288" i="3"/>
  <c r="G39" i="2"/>
  <c r="N288" i="3"/>
  <c r="N16" i="3"/>
  <c r="M34" i="3"/>
  <c r="N34" i="3" s="1"/>
  <c r="H357" i="3"/>
  <c r="H358" i="3" s="1"/>
  <c r="J357" i="3"/>
  <c r="J358" i="3" s="1"/>
  <c r="F66" i="2"/>
  <c r="C33" i="1" s="1"/>
  <c r="C35" i="1" s="1"/>
  <c r="F59" i="2"/>
  <c r="K357" i="3"/>
  <c r="G84" i="3"/>
  <c r="L85" i="3" s="1"/>
  <c r="G11" i="2" s="1"/>
  <c r="M31" i="3"/>
  <c r="N31" i="3" s="1"/>
  <c r="M30" i="3"/>
  <c r="N30" i="3" s="1"/>
  <c r="M26" i="3"/>
  <c r="N26" i="3" s="1"/>
  <c r="M33" i="3"/>
  <c r="N32" i="3"/>
  <c r="N13" i="3"/>
  <c r="E136" i="3" s="1"/>
  <c r="G136" i="3" s="1"/>
  <c r="N136" i="3" s="1"/>
  <c r="M37" i="3"/>
  <c r="N37" i="3" s="1"/>
  <c r="M36" i="3"/>
  <c r="N36" i="3" s="1"/>
  <c r="N15" i="3"/>
  <c r="E132" i="3" s="1"/>
  <c r="G132" i="3" s="1"/>
  <c r="N132" i="3" s="1"/>
  <c r="D151" i="3"/>
  <c r="G151" i="3" s="1"/>
  <c r="N151" i="3" s="1"/>
  <c r="D33" i="3"/>
  <c r="G33" i="3" s="1"/>
  <c r="M17" i="3"/>
  <c r="G21" i="3"/>
  <c r="M11" i="3"/>
  <c r="D24" i="3"/>
  <c r="G24" i="3" s="1"/>
  <c r="N27" i="3"/>
  <c r="I11" i="2" l="1"/>
  <c r="M24" i="3"/>
  <c r="M22" i="3"/>
  <c r="H9" i="2" s="1"/>
  <c r="N17" i="3"/>
  <c r="M35" i="3"/>
  <c r="N35" i="3" s="1"/>
  <c r="I39" i="2"/>
  <c r="I43" i="2" s="1"/>
  <c r="J43" i="2" s="1"/>
  <c r="G43" i="2"/>
  <c r="K358" i="3"/>
  <c r="G38" i="3"/>
  <c r="D126" i="3" s="1"/>
  <c r="D149" i="3"/>
  <c r="L22" i="3"/>
  <c r="G9" i="2" s="1"/>
  <c r="N105" i="3"/>
  <c r="G104" i="3"/>
  <c r="L105" i="3" s="1"/>
  <c r="G12" i="2" s="1"/>
  <c r="I12" i="2" s="1"/>
  <c r="N11" i="3"/>
  <c r="N33" i="3"/>
  <c r="M39" i="3" l="1"/>
  <c r="G126" i="3"/>
  <c r="H10" i="2"/>
  <c r="M126" i="3"/>
  <c r="N24" i="3"/>
  <c r="N39" i="3" s="1"/>
  <c r="M150" i="3"/>
  <c r="I9" i="2"/>
  <c r="E130" i="3"/>
  <c r="G130" i="3" s="1"/>
  <c r="N22" i="3"/>
  <c r="G127" i="3"/>
  <c r="L128" i="3" s="1"/>
  <c r="G14" i="2" s="1"/>
  <c r="G149" i="3"/>
  <c r="M152" i="3"/>
  <c r="M149" i="3"/>
  <c r="D150" i="3"/>
  <c r="G150" i="3" s="1"/>
  <c r="L39" i="3"/>
  <c r="G10" i="2" s="1"/>
  <c r="I10" i="2" s="1"/>
  <c r="M154" i="3" l="1"/>
  <c r="N150" i="3"/>
  <c r="M128" i="3"/>
  <c r="H14" i="2" s="1"/>
  <c r="I14" i="2" s="1"/>
  <c r="D152" i="3"/>
  <c r="G152" i="3" s="1"/>
  <c r="N152" i="3" s="1"/>
  <c r="N149" i="3"/>
  <c r="G143" i="3"/>
  <c r="N130" i="3"/>
  <c r="N126" i="3"/>
  <c r="N128" i="3" s="1"/>
  <c r="G153" i="3" l="1"/>
  <c r="L154" i="3" s="1"/>
  <c r="G16" i="2" s="1"/>
  <c r="M172" i="3"/>
  <c r="M357" i="3" s="1"/>
  <c r="H16" i="2"/>
  <c r="G144" i="3"/>
  <c r="N144" i="3" s="1"/>
  <c r="N146" i="3" s="1"/>
  <c r="N154" i="3"/>
  <c r="N172" i="3" l="1"/>
  <c r="N357" i="3" s="1"/>
  <c r="I16" i="2"/>
  <c r="H18" i="2"/>
  <c r="G145" i="3"/>
  <c r="H59" i="2" l="1"/>
  <c r="H66" i="2"/>
  <c r="M358" i="3" s="1"/>
  <c r="L146" i="3"/>
  <c r="G172" i="3"/>
  <c r="G357" i="3"/>
  <c r="L172" i="3" l="1"/>
  <c r="L357" i="3" s="1"/>
  <c r="G15" i="2"/>
  <c r="I15" i="2" l="1"/>
  <c r="I18" i="2" s="1"/>
  <c r="G18" i="2"/>
  <c r="G59" i="2" l="1"/>
  <c r="G66" i="2"/>
  <c r="L358" i="3" s="1"/>
  <c r="J18" i="2"/>
  <c r="I66" i="2"/>
  <c r="I59" i="2"/>
  <c r="J59" i="2" s="1"/>
  <c r="C37" i="1" l="1"/>
  <c r="J66" i="2"/>
  <c r="N358" i="3"/>
  <c r="G27" i="1"/>
  <c r="H27" i="1" s="1"/>
  <c r="G29" i="1"/>
  <c r="G31" i="1" s="1"/>
  <c r="H31" i="1" s="1"/>
  <c r="H29" i="1" l="1"/>
  <c r="C36" i="1"/>
  <c r="C39" i="1" s="1"/>
</calcChain>
</file>

<file path=xl/comments1.xml><?xml version="1.0" encoding="utf-8"?>
<comments xmlns="http://schemas.openxmlformats.org/spreadsheetml/2006/main">
  <authors>
    <author/>
  </authors>
  <commentList>
    <comment ref="E32" authorId="0" shapeId="0">
      <text>
        <r>
          <rPr>
            <sz val="10"/>
            <rFont val="Arial"/>
            <family val="2"/>
          </rPr>
          <t xml:space="preserve"> county tax rate x verona eq value </t>
        </r>
      </text>
    </comment>
  </commentList>
</comments>
</file>

<file path=xl/sharedStrings.xml><?xml version="1.0" encoding="utf-8"?>
<sst xmlns="http://schemas.openxmlformats.org/spreadsheetml/2006/main" count="630" uniqueCount="453">
  <si>
    <t>LIBRARY</t>
  </si>
  <si>
    <t>fill in gray areas</t>
  </si>
  <si>
    <t>6/30</t>
  </si>
  <si>
    <t>ADOPTED</t>
  </si>
  <si>
    <t>ACTUAL</t>
  </si>
  <si>
    <t>BUDGET</t>
  </si>
  <si>
    <t>PROJECTED</t>
  </si>
  <si>
    <t>PROPOSED</t>
  </si>
  <si>
    <t>%</t>
  </si>
  <si>
    <t>020-4XXXX</t>
  </si>
  <si>
    <t>INCR (DECR)</t>
  </si>
  <si>
    <t>NOTES</t>
  </si>
  <si>
    <t>REVENUES</t>
  </si>
  <si>
    <t>TAX LEVY OPERATIONS</t>
  </si>
  <si>
    <t>TAX LEVY DEBT SERVICE</t>
  </si>
  <si>
    <t>SOUTH CENTRAL LIBRARY SYSTEM</t>
  </si>
  <si>
    <t>DANE COUNTY</t>
  </si>
  <si>
    <t>DC FACILITY REIMBURSEMENT</t>
  </si>
  <si>
    <t>FINES/FORFEITURES</t>
  </si>
  <si>
    <t>COPIES</t>
  </si>
  <si>
    <t>FAX</t>
  </si>
  <si>
    <t>MISCELLANEOUS</t>
  </si>
  <si>
    <t>INTEREST INCOME</t>
  </si>
  <si>
    <t>RENTS</t>
  </si>
  <si>
    <t>GRANTS AND GIFTS</t>
  </si>
  <si>
    <t>GRANTS AND GIFTS-MCF</t>
  </si>
  <si>
    <t>GRANTS AND GIFTS-LSTA</t>
  </si>
  <si>
    <t>DONATIONS</t>
  </si>
  <si>
    <t>MEMORIALS</t>
  </si>
  <si>
    <t>TRF FROM OTHER FUNDS (APPLY TO DEBT)</t>
  </si>
  <si>
    <t>FUND BALANCE APPLIED</t>
  </si>
  <si>
    <t>TOTAL LIBRARY REVENUES</t>
  </si>
  <si>
    <t>Fund Balance Increased</t>
  </si>
  <si>
    <t>Operating</t>
  </si>
  <si>
    <t>LEVY Increase (Decrease)</t>
  </si>
  <si>
    <t>DEBT</t>
  </si>
  <si>
    <t>Levy Minimum</t>
  </si>
  <si>
    <t>Minimum amount to exempt Verona from library tax is</t>
  </si>
  <si>
    <t xml:space="preserve">   12/31/2016 projected</t>
  </si>
  <si>
    <t>To be updated when information is available</t>
  </si>
  <si>
    <t xml:space="preserve">      Fund Balance</t>
  </si>
  <si>
    <t>VERONA PUBLIC LIBRARY</t>
  </si>
  <si>
    <t>Adjust.</t>
  </si>
  <si>
    <t>Department</t>
  </si>
  <si>
    <t>Increase</t>
  </si>
  <si>
    <t>020-55100</t>
  </si>
  <si>
    <t>Request</t>
  </si>
  <si>
    <t>(Decrease)</t>
  </si>
  <si>
    <t>PERSONNEL SERVICES</t>
  </si>
  <si>
    <t>FULL-TIME WAGES</t>
  </si>
  <si>
    <t>LONGEVITY</t>
  </si>
  <si>
    <t>PART-TIME WAGES</t>
  </si>
  <si>
    <t>HEALTH INSURANCE</t>
  </si>
  <si>
    <t>DENTAL INSURANCE</t>
  </si>
  <si>
    <t>SOCIAL SECURITY</t>
  </si>
  <si>
    <t>LIFE INSURANCE</t>
  </si>
  <si>
    <t>WISCONSIN RETIREMENT</t>
  </si>
  <si>
    <t>TOTAL PERSONNEL SERVICES</t>
  </si>
  <si>
    <t/>
  </si>
  <si>
    <t>OPERATING EXPENDITURES</t>
  </si>
  <si>
    <t>PROFESSIONAL AUDIT</t>
  </si>
  <si>
    <t>050 ATTORNEY</t>
  </si>
  <si>
    <t>UTILITIES</t>
  </si>
  <si>
    <t>PRINTING</t>
  </si>
  <si>
    <t>COMMUNICATIONS</t>
  </si>
  <si>
    <t>REPAIR/MAINTENANCE SERVICES</t>
  </si>
  <si>
    <t>OTHER CONTRACTUAL</t>
  </si>
  <si>
    <t>RECRUITMENT</t>
  </si>
  <si>
    <t>OFFICE SUPPLIES</t>
  </si>
  <si>
    <t>505 COPIER SUPPLIES</t>
  </si>
  <si>
    <t>MEMBERSHIP AND DUES</t>
  </si>
  <si>
    <t>TRAVEL</t>
  </si>
  <si>
    <t>EDUCATION - TRAINING</t>
  </si>
  <si>
    <t>OPERATING SUPPLIES</t>
  </si>
  <si>
    <t>REPAIR/MAINTENANCE SUPPLIES</t>
  </si>
  <si>
    <t>OTHER COMMODITIES</t>
  </si>
  <si>
    <t>DATA PROCESSING/LINK</t>
  </si>
  <si>
    <t>INSURANCE</t>
  </si>
  <si>
    <t>RENTS/LEASES</t>
  </si>
  <si>
    <t>PROGRAMMING</t>
  </si>
  <si>
    <t>GRANT/GIFT EXPENSE</t>
  </si>
  <si>
    <t>SCLS GRANT</t>
  </si>
  <si>
    <t>TOTAL OPERATING EXPENDITURES</t>
  </si>
  <si>
    <t>SUPPLIES AND MATERIALS</t>
  </si>
  <si>
    <t>OFFICE EQUIPMENT</t>
  </si>
  <si>
    <t>501 ADULT BOOKS</t>
  </si>
  <si>
    <t>502 JUVENILE BOOKS</t>
  </si>
  <si>
    <t>503 VIDEO MATERIALS</t>
  </si>
  <si>
    <t>504 AUDIO MATERIALS</t>
  </si>
  <si>
    <t>506 ELECTRONIC MEDIA</t>
  </si>
  <si>
    <t>508 MAGAZINE SUBSCRIPTIONS</t>
  </si>
  <si>
    <t>BUILDING RESERVE CONTRIBUTION</t>
  </si>
  <si>
    <t>EQUIP/FACILITY IMPROVEMENTS</t>
  </si>
  <si>
    <t>TOTAL SUPPLIES AND MATERIALS</t>
  </si>
  <si>
    <t>RESERVE FUNDED EXPENDITURES</t>
  </si>
  <si>
    <t>TOTAL LIBRARY BUDGET</t>
  </si>
  <si>
    <t>DEBT SERVICE</t>
  </si>
  <si>
    <t>PRINCIPAL</t>
  </si>
  <si>
    <t>INTEREST</t>
  </si>
  <si>
    <t>TOTAL DEBT SERVICE</t>
  </si>
  <si>
    <t>TOTAL LIBRARY EXPENDITURES</t>
  </si>
  <si>
    <t>{Print.Use lineitem}</t>
  </si>
  <si>
    <t>{Print.Block "LINE ITEM EXP:A1..K59"}</t>
  </si>
  <si>
    <t>{Print.Top_Margin "0.20 in"}</t>
  </si>
  <si>
    <t>{Print.Bottom_Margin "0.20 in"}</t>
  </si>
  <si>
    <t>{Preview}</t>
  </si>
  <si>
    <t>{Print.Use worksheet}</t>
  </si>
  <si>
    <t>{Print.Block "JUSTIFICATION:A1..N245"}</t>
  </si>
  <si>
    <t>{Print.Scaling "70"}</t>
  </si>
  <si>
    <t>{Print.Print_To_Fit No}</t>
  </si>
  <si>
    <t>{Print.Orientation Landscape}</t>
  </si>
  <si>
    <t>CITY OF VERONA</t>
  </si>
  <si>
    <t>Pages</t>
  </si>
  <si>
    <t xml:space="preserve">   1 - 6</t>
  </si>
  <si>
    <t>Acct No.</t>
  </si>
  <si>
    <t>Description</t>
  </si>
  <si>
    <t>DEPT USE-DATA ENTRY AREA</t>
  </si>
  <si>
    <t>Formula Driven - No Data Entry Required</t>
  </si>
  <si>
    <t>020</t>
  </si>
  <si>
    <t>Year End</t>
  </si>
  <si>
    <t>6 Mos</t>
  </si>
  <si>
    <t>Adopted</t>
  </si>
  <si>
    <t>Dept.</t>
  </si>
  <si>
    <t>Actual</t>
  </si>
  <si>
    <t>Budget</t>
  </si>
  <si>
    <t>Estimate</t>
  </si>
  <si>
    <t>Proposed</t>
  </si>
  <si>
    <t>Comments/Notes</t>
  </si>
  <si>
    <t>Annual</t>
  </si>
  <si>
    <t>Total</t>
  </si>
  <si>
    <t>Employee</t>
  </si>
  <si>
    <t>Hours</t>
  </si>
  <si>
    <t>FTE</t>
  </si>
  <si>
    <t>Salary</t>
  </si>
  <si>
    <t>Wages</t>
  </si>
  <si>
    <t>Full Time Wages</t>
  </si>
  <si>
    <t>Julie Harrison /Assist Library Director</t>
  </si>
  <si>
    <t xml:space="preserve">COLA </t>
  </si>
  <si>
    <t xml:space="preserve">  Subtotal Full Time Wages</t>
  </si>
  <si>
    <t>percent not official</t>
  </si>
  <si>
    <t>Estimated Current Year</t>
  </si>
  <si>
    <t xml:space="preserve">Longevity </t>
  </si>
  <si>
    <t>Long %</t>
  </si>
  <si>
    <t>Proration of Year</t>
  </si>
  <si>
    <t>Long.</t>
  </si>
  <si>
    <t>Sherry Golz-Waldhart/Library Assistant</t>
  </si>
  <si>
    <t>Connie Donkle/Library Assistant</t>
  </si>
  <si>
    <t>Judy Weidman/Library Assistant</t>
  </si>
  <si>
    <t>Margaret Nelson/Library Assistant</t>
  </si>
  <si>
    <t xml:space="preserve">  Subtotal Longevity</t>
  </si>
  <si>
    <t>Part Time Wages</t>
  </si>
  <si>
    <t>Hourly</t>
  </si>
  <si>
    <t>Rate</t>
  </si>
  <si>
    <t>Nonexempt</t>
  </si>
  <si>
    <t xml:space="preserve">   Subtotal Non Exempt</t>
  </si>
  <si>
    <t>Exempt</t>
  </si>
  <si>
    <t>Christopher Brown/Library Assistant</t>
  </si>
  <si>
    <t>Karen Turner/Library Assistant</t>
  </si>
  <si>
    <t>Elizabeth Strutz/Admin Assistant</t>
  </si>
  <si>
    <t>Summer Libr Prgm LTE/</t>
  </si>
  <si>
    <t xml:space="preserve">   Subtotal Exempt</t>
  </si>
  <si>
    <t xml:space="preserve">PAGES </t>
  </si>
  <si>
    <t xml:space="preserve">   Subtotal Pages (Exempt)</t>
  </si>
  <si>
    <t xml:space="preserve">COLA  rate </t>
  </si>
  <si>
    <t xml:space="preserve">  Subtotal Part Time Wages</t>
  </si>
  <si>
    <t>unofficial</t>
  </si>
  <si>
    <t>Health Insurance</t>
  </si>
  <si>
    <t>Month</t>
  </si>
  <si>
    <t>Family</t>
  </si>
  <si>
    <t>Single</t>
  </si>
  <si>
    <t>Trudy Lorandos - Unity UW</t>
  </si>
  <si>
    <t xml:space="preserve">Waived </t>
  </si>
  <si>
    <t>Mark Cullen</t>
  </si>
  <si>
    <t>Eligible</t>
  </si>
  <si>
    <t>Retiree Reserve</t>
  </si>
  <si>
    <t>**</t>
  </si>
  <si>
    <t xml:space="preserve">  Subtotal Health Insurance</t>
  </si>
  <si>
    <t>EE/Child</t>
  </si>
  <si>
    <t>EE/Spouse</t>
  </si>
  <si>
    <t>Dental Insurance</t>
  </si>
  <si>
    <t>Total Dental Plan Premiums</t>
  </si>
  <si>
    <t xml:space="preserve">  Subtotal Dental Insurance</t>
  </si>
  <si>
    <t xml:space="preserve">                ALL COVERAGES</t>
  </si>
  <si>
    <t>Social Security</t>
  </si>
  <si>
    <t>FICA</t>
  </si>
  <si>
    <t>Medicare</t>
  </si>
  <si>
    <t>Total S.S.</t>
  </si>
  <si>
    <t xml:space="preserve">  Subtotal Social Security</t>
  </si>
  <si>
    <t>Life Insurance</t>
  </si>
  <si>
    <t>D.O.B.</t>
  </si>
  <si>
    <t xml:space="preserve"> Wages (000)</t>
  </si>
  <si>
    <t>Mo./$1000</t>
  </si>
  <si>
    <t>waived</t>
  </si>
  <si>
    <t>J. Harrison</t>
  </si>
  <si>
    <t>T. Skov</t>
  </si>
  <si>
    <t>L. Portz</t>
  </si>
  <si>
    <t>T. Lepien</t>
  </si>
  <si>
    <t>C. Donkle</t>
  </si>
  <si>
    <t>Ronda Evenson</t>
  </si>
  <si>
    <t>S.Golz-Waldhart</t>
  </si>
  <si>
    <t>J. Weidman</t>
  </si>
  <si>
    <t xml:space="preserve">   Subtotal Life Insurance</t>
  </si>
  <si>
    <t>Plus Administration Fee</t>
  </si>
  <si>
    <t xml:space="preserve">  Subtotal Life Insurance</t>
  </si>
  <si>
    <t>WRS</t>
  </si>
  <si>
    <t>WI Retire</t>
  </si>
  <si>
    <t>WI Retirement</t>
  </si>
  <si>
    <t>Longevity</t>
  </si>
  <si>
    <t>Less:  WRS Employee Contribution</t>
  </si>
  <si>
    <t xml:space="preserve">  Subtotal WI Retirement</t>
  </si>
  <si>
    <t>PREM HO</t>
  </si>
  <si>
    <t>Income Continuation</t>
  </si>
  <si>
    <t>R. Evenson</t>
  </si>
  <si>
    <t>S. Burkart</t>
  </si>
  <si>
    <t>T.Lorandos</t>
  </si>
  <si>
    <t xml:space="preserve">  Subtotal Income Continuation</t>
  </si>
  <si>
    <t>Professional Svces.</t>
  </si>
  <si>
    <t xml:space="preserve">Professional Audit </t>
  </si>
  <si>
    <t>Annual audit performed by Baker Tilly</t>
  </si>
  <si>
    <t xml:space="preserve">  Subtotal Professional Svces.</t>
  </si>
  <si>
    <t>Legal Fees</t>
  </si>
  <si>
    <t>050</t>
  </si>
  <si>
    <t>Madison Gas</t>
  </si>
  <si>
    <t>Alliant (Elec)</t>
  </si>
  <si>
    <t>Wtr,swr,storm</t>
  </si>
  <si>
    <t>Utilities</t>
  </si>
  <si>
    <t xml:space="preserve">  Subtotal Utilities</t>
  </si>
  <si>
    <t>Printing</t>
  </si>
  <si>
    <t xml:space="preserve">  Subtotal Printing</t>
  </si>
  <si>
    <t>Communications</t>
  </si>
  <si>
    <t>TDS Phone</t>
  </si>
  <si>
    <t>Other</t>
  </si>
  <si>
    <t xml:space="preserve">  Subtotal Communications</t>
  </si>
  <si>
    <t>Repair/Mtce Services</t>
  </si>
  <si>
    <t>floor/carpet cleaning</t>
  </si>
  <si>
    <t>Mechanicals/Electrical/Security/Handyman</t>
  </si>
  <si>
    <t>Window cleaning</t>
  </si>
  <si>
    <t xml:space="preserve">  Subtotal Repair/Mtce Services</t>
  </si>
  <si>
    <t>Other Contractual</t>
  </si>
  <si>
    <t xml:space="preserve">Janitorial Services </t>
  </si>
  <si>
    <t>Hellenbrand water softener</t>
  </si>
  <si>
    <t>Cintas fire monitoring</t>
  </si>
  <si>
    <t>Premium Water</t>
  </si>
  <si>
    <t>Landscaping</t>
  </si>
  <si>
    <t>Cintas floor mats</t>
  </si>
  <si>
    <t>Cintas fire system inspection</t>
  </si>
  <si>
    <t xml:space="preserve">H &amp; H (HVAC) </t>
  </si>
  <si>
    <t>Professional Pest Control</t>
  </si>
  <si>
    <t xml:space="preserve">  Subtotal Other Contractual</t>
  </si>
  <si>
    <t>Recruitment</t>
  </si>
  <si>
    <t>Ads/travel/background checks</t>
  </si>
  <si>
    <t xml:space="preserve">  Subtotal Office Supplies</t>
  </si>
  <si>
    <t>Office Supplies</t>
  </si>
  <si>
    <t>move to 340 cross functional supplies</t>
  </si>
  <si>
    <t>Copier Supplies</t>
  </si>
  <si>
    <t>Copier</t>
  </si>
  <si>
    <t xml:space="preserve">  Subtotal Copier Supplies</t>
  </si>
  <si>
    <t>Memberships/Dues</t>
  </si>
  <si>
    <t>WI Library Association</t>
  </si>
  <si>
    <t>6 Memberships</t>
  </si>
  <si>
    <t>Other/ALA</t>
  </si>
  <si>
    <t>4 ALA/PLA Memberships</t>
  </si>
  <si>
    <t xml:space="preserve">  Subtotal Memberships/Dues</t>
  </si>
  <si>
    <t>Travel</t>
  </si>
  <si>
    <t>Mileage Reimbursement-Airfare</t>
  </si>
  <si>
    <t>Lodging/Meals</t>
  </si>
  <si>
    <t>Parking/Driving Mileage</t>
  </si>
  <si>
    <t xml:space="preserve">  Subtotal Travel</t>
  </si>
  <si>
    <t>Education</t>
  </si>
  <si>
    <t>WLA/WAPL/SCLS</t>
  </si>
  <si>
    <t>ALA</t>
  </si>
  <si>
    <t>Staff Training</t>
  </si>
  <si>
    <t xml:space="preserve">  Subtotal Education</t>
  </si>
  <si>
    <t>Operating Supplies</t>
  </si>
  <si>
    <t>Postage</t>
  </si>
  <si>
    <t>RFID Tags</t>
  </si>
  <si>
    <t>Toner</t>
  </si>
  <si>
    <t xml:space="preserve">  Subtotal Operating Supplies</t>
  </si>
  <si>
    <t>Repair/Mtce Supplies</t>
  </si>
  <si>
    <t>Repair Supplies</t>
  </si>
  <si>
    <t>AED replacement parts</t>
  </si>
  <si>
    <t xml:space="preserve">  Subtotal Repair/Mtce Supplies</t>
  </si>
  <si>
    <t>Other Commodities</t>
  </si>
  <si>
    <t>Refund for returned items</t>
  </si>
  <si>
    <t xml:space="preserve">  Subtotal Data Proc/LINK</t>
  </si>
  <si>
    <t>Data Processing/LINK</t>
  </si>
  <si>
    <t>SCLS/LINK</t>
  </si>
  <si>
    <t>Self-check &amp; RFID Maintenance Fees</t>
  </si>
  <si>
    <t>Evanced Room Reservation Software</t>
  </si>
  <si>
    <t>Bookletters</t>
  </si>
  <si>
    <t>SurveyMonkey</t>
  </si>
  <si>
    <t>Wireless Printing</t>
  </si>
  <si>
    <t>Email Access/Constant Contact</t>
  </si>
  <si>
    <t>includes licensing and delivery service fees</t>
  </si>
  <si>
    <t>Insurance</t>
  </si>
  <si>
    <t>Workers Comp</t>
  </si>
  <si>
    <t>Liability</t>
  </si>
  <si>
    <t>Property Insurance</t>
  </si>
  <si>
    <t xml:space="preserve">  Subtotal Insurance</t>
  </si>
  <si>
    <t>Rents/Leases</t>
  </si>
  <si>
    <t>Gordon Flesch Leases:</t>
  </si>
  <si>
    <t>$ per month</t>
  </si>
  <si>
    <t># of months</t>
  </si>
  <si>
    <t xml:space="preserve">   Copier</t>
  </si>
  <si>
    <t>Maintenance Fee</t>
  </si>
  <si>
    <t>FP Postal Meter Rental</t>
  </si>
  <si>
    <t xml:space="preserve">  Subtotal Rents/Leases</t>
  </si>
  <si>
    <t>Programming</t>
  </si>
  <si>
    <t>Children's</t>
  </si>
  <si>
    <t>Young Adult</t>
  </si>
  <si>
    <t>Adult</t>
  </si>
  <si>
    <t xml:space="preserve">  Subtotal Grants/Gift Exp</t>
  </si>
  <si>
    <t>Grants/Gift Expense</t>
  </si>
  <si>
    <t>Grants/gifts</t>
  </si>
  <si>
    <t>Office Equipment</t>
  </si>
  <si>
    <t xml:space="preserve">laptop lab </t>
  </si>
  <si>
    <t>computer updates</t>
  </si>
  <si>
    <t xml:space="preserve">  Subtotal Office Equipment</t>
  </si>
  <si>
    <t>Operating Equipment</t>
  </si>
  <si>
    <t>Adult Books</t>
  </si>
  <si>
    <t>Books</t>
  </si>
  <si>
    <t xml:space="preserve">  Subtotal Operating Equipment</t>
  </si>
  <si>
    <t>Juvenile Books</t>
  </si>
  <si>
    <t>Video Cassettes/DVD</t>
  </si>
  <si>
    <t>Audio Materials</t>
  </si>
  <si>
    <t>Electronic Media</t>
  </si>
  <si>
    <t>SCLS Database subscription costs/e-content</t>
  </si>
  <si>
    <t>increased costs of Overdrive, Flipster, and electronic database subscriptions.</t>
  </si>
  <si>
    <t>Magazine Subscriptions</t>
  </si>
  <si>
    <t>Periodicals</t>
  </si>
  <si>
    <t>Building Reserve</t>
  </si>
  <si>
    <t xml:space="preserve">    Contribution</t>
  </si>
  <si>
    <r>
      <t>Replacement Reserve contribution</t>
    </r>
    <r>
      <rPr>
        <sz val="10"/>
        <color rgb="FFFFFFFF"/>
        <rFont val="Arial"/>
        <family val="2"/>
      </rPr>
      <t xml:space="preserve"> door computer/entrymat/light bulbs/parkinglot/etc.</t>
    </r>
  </si>
  <si>
    <t xml:space="preserve">  Subtotal Building Improvement</t>
  </si>
  <si>
    <t>Operating Equip/Facility</t>
  </si>
  <si>
    <t xml:space="preserve">Library Office Space Remodel </t>
  </si>
  <si>
    <t>Subtotal Operating Equipment</t>
  </si>
  <si>
    <t>TOTAL CAPITAL OUTLAY</t>
  </si>
  <si>
    <t>55101   815</t>
  </si>
  <si>
    <t xml:space="preserve">  Subtotal MCF Grant Funded</t>
  </si>
  <si>
    <t>Epic Grant Funded</t>
  </si>
  <si>
    <t xml:space="preserve">  Subtotal Epic Grant Funded</t>
  </si>
  <si>
    <t>LSTA Grant Funded</t>
  </si>
  <si>
    <t xml:space="preserve">  Subtotal LSTA Grant Funded</t>
  </si>
  <si>
    <t>Subtotal Operating Equipment Grant Funded</t>
  </si>
  <si>
    <t>55102  815</t>
  </si>
  <si>
    <t>Library General Construction from RESERVES</t>
  </si>
  <si>
    <t xml:space="preserve">  Subtotal Library General Bldg</t>
  </si>
  <si>
    <t>Subtotal Operating Equipment Grant / Reserve Funded</t>
  </si>
  <si>
    <t>Debt Service</t>
  </si>
  <si>
    <t>Principal</t>
  </si>
  <si>
    <t xml:space="preserve">  Subtotal Debt Principal</t>
  </si>
  <si>
    <t>Interest</t>
  </si>
  <si>
    <t xml:space="preserve">  Subtotal Debt Interest</t>
  </si>
  <si>
    <t>TOTAL LIBRARY</t>
  </si>
  <si>
    <t>PROPOSED 2018 BUDGET</t>
  </si>
  <si>
    <t>UC CLAIMS</t>
  </si>
  <si>
    <t>RESERVE EXPENDITURES</t>
  </si>
  <si>
    <t>2017 projected expend</t>
  </si>
  <si>
    <t>2017 projected revenue</t>
  </si>
  <si>
    <t xml:space="preserve">12/31/16 Fund Bal </t>
  </si>
  <si>
    <t>2018 proposed revenue</t>
  </si>
  <si>
    <t>2018 proposed expenditures</t>
  </si>
  <si>
    <t xml:space="preserve">   12/31/2018 projected</t>
  </si>
  <si>
    <t>2018 BUDGET PROPOSAL</t>
  </si>
  <si>
    <t>Mary Ostrander /Youth Svces Librarian</t>
  </si>
  <si>
    <t>Ronda Evenson - Unity UW</t>
  </si>
  <si>
    <r>
      <t xml:space="preserve">balance </t>
    </r>
    <r>
      <rPr>
        <sz val="9"/>
        <rFont val="Arial"/>
        <family val="2"/>
      </rPr>
      <t xml:space="preserve">12/31/16 </t>
    </r>
    <r>
      <rPr>
        <sz val="10"/>
        <rFont val="Arial"/>
        <family val="2"/>
      </rPr>
      <t>$27,000</t>
    </r>
  </si>
  <si>
    <t>*expected, not approved</t>
  </si>
  <si>
    <t>Library Assistant LTE</t>
  </si>
  <si>
    <t>Youth Services Library Assistant</t>
  </si>
  <si>
    <t>New position</t>
  </si>
  <si>
    <t>New postion</t>
  </si>
  <si>
    <t>Page 1</t>
  </si>
  <si>
    <t>Decreased from 480 hours</t>
  </si>
  <si>
    <t>E. Cobb</t>
  </si>
  <si>
    <t>Movie Licenses/ASL interpreter/Displays</t>
  </si>
  <si>
    <t>Increase of $1500 for ASL interpreters</t>
  </si>
  <si>
    <t>4% increase</t>
  </si>
  <si>
    <t>Emma Cobb/Head of Reference</t>
  </si>
  <si>
    <t>Lorandos, Trudy/Adult Program Coordinator</t>
  </si>
  <si>
    <t>Ronda Evenson/Head of Circulation</t>
  </si>
  <si>
    <t>Theresa Skov/Head of Tech Services</t>
  </si>
  <si>
    <t xml:space="preserve">Ronda Evenson/Head of Circulation </t>
  </si>
  <si>
    <t>decrease of $9200, no additional laptops needed in 2018</t>
  </si>
  <si>
    <t>increase of $5000 for 10 circulating wifi hotspots, grant funded in 2017</t>
  </si>
  <si>
    <t xml:space="preserve">Ahern Fire Sprinkler Inspection </t>
  </si>
  <si>
    <t>5% estimated increase cost due to proposed Sunday hours offset by LED lightbulb project</t>
  </si>
  <si>
    <t>increase of $2240 to add cleaning service for proposed open Sundays</t>
  </si>
  <si>
    <t>5% increase for expected building use increase with proposed Sunday hours</t>
  </si>
  <si>
    <t>Book/AV processing</t>
  </si>
  <si>
    <t>Janitorial/maintenance supplies</t>
  </si>
  <si>
    <t>Office supplies</t>
  </si>
  <si>
    <t>Office equipment</t>
  </si>
  <si>
    <t>Library cards</t>
  </si>
  <si>
    <t>5.5% increase in fees from SCLS</t>
  </si>
  <si>
    <t>Website</t>
  </si>
  <si>
    <t>average 11 hours per week for 38 weeks (not June, July, Aug)</t>
  </si>
  <si>
    <t>Morgan Sandler</t>
  </si>
  <si>
    <t>Stacey Burkart/Library Director</t>
  </si>
  <si>
    <t>Marisa Gehrke/Community Engagement</t>
  </si>
  <si>
    <t>Julie Harrison/Assist Library Director</t>
  </si>
  <si>
    <t>Tonja Lepien/Reference Librarian</t>
  </si>
  <si>
    <t>Mary Ostrander/Youth Svces Librarian</t>
  </si>
  <si>
    <t>Leah Portz/Youth Services Librarian</t>
  </si>
  <si>
    <t>Mark Cullen/Reference Librarian</t>
  </si>
  <si>
    <t>Tonja Lepien/ Reference Librarian</t>
  </si>
  <si>
    <t>Stacey Burkart - Unity UW</t>
  </si>
  <si>
    <t>Emma Cobb - Unity UW</t>
  </si>
  <si>
    <t>Judy Weidman - Unity UW</t>
  </si>
  <si>
    <t>Mary Ostrander</t>
  </si>
  <si>
    <t>Marissa Gehrke- Unity UW</t>
  </si>
  <si>
    <t>Connie Donkle - UW Health</t>
  </si>
  <si>
    <t xml:space="preserve">Theresa Skov </t>
  </si>
  <si>
    <t>Leah Portz - Unity UW</t>
  </si>
  <si>
    <t xml:space="preserve">Tonja Lepien - Unity UW </t>
  </si>
  <si>
    <t>Sherry Golz-Waldhart</t>
  </si>
  <si>
    <t>Elizabeth Strutz</t>
  </si>
  <si>
    <t xml:space="preserve">Julie Harrison </t>
  </si>
  <si>
    <t>Stacey Burkart</t>
  </si>
  <si>
    <t>Emma Cobb</t>
  </si>
  <si>
    <t>Trudy Lorandos</t>
  </si>
  <si>
    <t>Judy Weidman  (.6 FTE)</t>
  </si>
  <si>
    <t>Connie Donkle (.5 FTE)</t>
  </si>
  <si>
    <t>Sherry Golz-Waldhart (.5 FTE)</t>
  </si>
  <si>
    <t>Theresa Skov</t>
  </si>
  <si>
    <t>Leah Portz</t>
  </si>
  <si>
    <t>Tonja Lepien</t>
  </si>
  <si>
    <t>Marissa Gehrke</t>
  </si>
  <si>
    <t>Elizabeth Strutz (.5FTE)</t>
  </si>
  <si>
    <t>Julie Harrison</t>
  </si>
  <si>
    <t>Connie Donkle</t>
  </si>
  <si>
    <t>Judy Weidman</t>
  </si>
  <si>
    <t>Mia Imperl/Library Assistant</t>
  </si>
  <si>
    <t>Kris Becker/Library Assistant</t>
  </si>
  <si>
    <t>Michael Richardson/Library Assistant</t>
  </si>
  <si>
    <t>Chirstina Makos/Library Assistant</t>
  </si>
  <si>
    <t>Sarah Sandler/Library Assistant</t>
  </si>
  <si>
    <t>Jana Schroeer</t>
  </si>
  <si>
    <t>Kathleen Ochowski</t>
  </si>
  <si>
    <t>Alaina Schroeder</t>
  </si>
  <si>
    <t>Rajeswari Kandasamy</t>
  </si>
  <si>
    <t>Lisa Pelletier</t>
  </si>
  <si>
    <t>Kara Van Roy</t>
  </si>
  <si>
    <t>Cortney Warschauer</t>
  </si>
  <si>
    <t>Kayleen Finseth</t>
  </si>
  <si>
    <t>Sophia Lepien</t>
  </si>
  <si>
    <t>Luke Klasinski</t>
  </si>
  <si>
    <t>Marilou Adams</t>
  </si>
  <si>
    <t>PLA conference  Philadelphia</t>
  </si>
  <si>
    <t>DVDs/Blu-ray/Wii/Streaming video devices</t>
  </si>
  <si>
    <t>Kiosk</t>
  </si>
  <si>
    <t>LED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</si>
</sst>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[$$-409]\ #,##0"/>
    <numFmt numFmtId="165" formatCode="[$$-409]\ #,##0.00"/>
    <numFmt numFmtId="166" formatCode="mm/dd/yy;@"/>
    <numFmt numFmtId="167" formatCode="&quot;$&quot;#,##0"/>
    <numFmt numFmtId="168" formatCode="0.000%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i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8000"/>
      <name val="Arial"/>
      <family val="2"/>
    </font>
    <font>
      <sz val="10"/>
      <color rgb="FFFFFF00"/>
      <name val="Arial"/>
      <family val="2"/>
    </font>
    <font>
      <b/>
      <i/>
      <sz val="8"/>
      <color rgb="FF800000"/>
      <name val="Arial"/>
      <family val="2"/>
    </font>
    <font>
      <b/>
      <sz val="8"/>
      <color rgb="FF9F0000"/>
      <name val="Arial"/>
      <family val="2"/>
    </font>
    <font>
      <b/>
      <i/>
      <sz val="8"/>
      <color rgb="FF9F0000"/>
      <name val="Arial"/>
      <family val="2"/>
    </font>
    <font>
      <b/>
      <sz val="10"/>
      <color rgb="FF9F0000"/>
      <name val="Arial"/>
      <family val="2"/>
    </font>
    <font>
      <sz val="9"/>
      <name val="Arial"/>
      <family val="2"/>
    </font>
    <font>
      <b/>
      <i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sz val="10"/>
      <name val="Arial"/>
      <family val="2"/>
    </font>
    <font>
      <b/>
      <i/>
      <sz val="12"/>
      <color rgb="FF0000FF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b/>
      <i/>
      <sz val="9"/>
      <color rgb="FF008000"/>
      <name val="Arial"/>
      <family val="2"/>
    </font>
    <font>
      <b/>
      <i/>
      <sz val="8"/>
      <name val="Arial"/>
      <family val="2"/>
    </font>
    <font>
      <sz val="10"/>
      <color rgb="FF0000FF"/>
      <name val="Arial"/>
      <family val="2"/>
    </font>
    <font>
      <sz val="10"/>
      <name val="BinnerD"/>
    </font>
    <font>
      <i/>
      <sz val="10"/>
      <name val="Arial"/>
      <family val="2"/>
    </font>
    <font>
      <sz val="10"/>
      <color rgb="FFFF0000"/>
      <name val="Arial"/>
      <family val="2"/>
    </font>
    <font>
      <b/>
      <i/>
      <sz val="8"/>
      <color rgb="FF0000FF"/>
      <name val="Arial"/>
      <family val="2"/>
    </font>
    <font>
      <b/>
      <i/>
      <sz val="10"/>
      <color rgb="FF800080"/>
      <name val="Arial"/>
      <family val="2"/>
    </font>
    <font>
      <u/>
      <sz val="10"/>
      <name val="Arial"/>
      <family val="2"/>
    </font>
    <font>
      <u/>
      <sz val="8"/>
      <name val="Arial"/>
      <family val="2"/>
    </font>
    <font>
      <i/>
      <sz val="9"/>
      <name val="Arial"/>
      <family val="2"/>
    </font>
    <font>
      <b/>
      <i/>
      <u/>
      <sz val="10"/>
      <name val="Arial"/>
      <family val="2"/>
    </font>
    <font>
      <i/>
      <sz val="8"/>
      <color rgb="FF800080"/>
      <name val="Arial"/>
      <family val="2"/>
    </font>
    <font>
      <b/>
      <i/>
      <sz val="8"/>
      <color rgb="FF800080"/>
      <name val="Arial"/>
      <family val="2"/>
    </font>
    <font>
      <sz val="10"/>
      <color rgb="FF800000"/>
      <name val="Arial"/>
      <family val="2"/>
    </font>
    <font>
      <b/>
      <sz val="10"/>
      <color rgb="FF0000FF"/>
      <name val="Arial"/>
      <family val="2"/>
    </font>
    <font>
      <i/>
      <sz val="10"/>
      <color rgb="FF963634"/>
      <name val="Arial"/>
      <family val="2"/>
    </font>
    <font>
      <i/>
      <sz val="10"/>
      <color rgb="FF800000"/>
      <name val="Arial"/>
      <family val="2"/>
    </font>
    <font>
      <b/>
      <sz val="8"/>
      <name val="Arial"/>
      <family val="2"/>
    </font>
    <font>
      <u/>
      <sz val="10"/>
      <color rgb="FFFFFFFF"/>
      <name val="Arial"/>
      <family val="2"/>
    </font>
    <font>
      <u/>
      <sz val="9"/>
      <name val="Arial"/>
      <family val="2"/>
    </font>
    <font>
      <sz val="10"/>
      <color rgb="FFFFFFFF"/>
      <name val="Arial"/>
      <family val="2"/>
    </font>
    <font>
      <b/>
      <sz val="10"/>
      <color rgb="FFFF800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i/>
      <sz val="8"/>
      <color rgb="FF804040"/>
      <name val="Arial"/>
      <family val="2"/>
    </font>
    <font>
      <sz val="8"/>
      <color rgb="FF804040"/>
      <name val="Arial"/>
      <family val="2"/>
    </font>
    <font>
      <b/>
      <i/>
      <sz val="8"/>
      <color rgb="FF804040"/>
      <name val="Arial"/>
      <family val="2"/>
    </font>
    <font>
      <b/>
      <sz val="8"/>
      <color rgb="FF80404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FD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FFCC"/>
        <bgColor rgb="FF000000"/>
      </patternFill>
    </fill>
    <fill>
      <patternFill patternType="solid">
        <fgColor rgb="FFDFEFFF"/>
        <bgColor rgb="FFFFFFFF"/>
      </patternFill>
    </fill>
    <fill>
      <patternFill patternType="solid">
        <fgColor rgb="FFB6E088"/>
        <bgColor rgb="FFFFFFFF"/>
      </patternFill>
    </fill>
    <fill>
      <patternFill patternType="solid">
        <fgColor rgb="FFDAEFC3"/>
        <bgColor rgb="FF000000"/>
      </patternFill>
    </fill>
    <fill>
      <patternFill patternType="solid">
        <fgColor theme="3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/>
      <right/>
      <top style="double">
        <color indexed="9"/>
      </top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3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7" fillId="0" borderId="0"/>
    <xf numFmtId="0" fontId="7" fillId="0" borderId="0"/>
    <xf numFmtId="0" fontId="4" fillId="0" borderId="0"/>
    <xf numFmtId="3" fontId="4" fillId="0" borderId="0"/>
    <xf numFmtId="164" fontId="4" fillId="0" borderId="0"/>
    <xf numFmtId="14" fontId="4" fillId="0" borderId="0"/>
    <xf numFmtId="2" fontId="4" fillId="0" borderId="0"/>
    <xf numFmtId="0" fontId="54" fillId="0" borderId="0"/>
    <xf numFmtId="0" fontId="55" fillId="0" borderId="0"/>
    <xf numFmtId="0" fontId="4" fillId="0" borderId="76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76">
    <xf numFmtId="0" fontId="0" fillId="0" borderId="0" xfId="0"/>
    <xf numFmtId="0" fontId="3" fillId="0" borderId="2" xfId="0" applyFont="1" applyFill="1" applyBorder="1"/>
    <xf numFmtId="0" fontId="4" fillId="0" borderId="3" xfId="0" applyFont="1" applyFill="1" applyBorder="1"/>
    <xf numFmtId="0" fontId="3" fillId="0" borderId="3" xfId="0" applyFont="1" applyFill="1" applyBorder="1"/>
    <xf numFmtId="0" fontId="5" fillId="0" borderId="3" xfId="0" applyFont="1" applyFill="1" applyBorder="1"/>
    <xf numFmtId="0" fontId="4" fillId="0" borderId="4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5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4" fillId="0" borderId="6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5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4" fillId="0" borderId="7" xfId="0" applyFont="1" applyFill="1" applyBorder="1"/>
    <xf numFmtId="0" fontId="6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5" xfId="0" applyFont="1" applyFill="1" applyBorder="1"/>
    <xf numFmtId="164" fontId="7" fillId="0" borderId="0" xfId="4" applyNumberFormat="1" applyFont="1" applyFill="1" applyBorder="1"/>
    <xf numFmtId="164" fontId="4" fillId="0" borderId="0" xfId="4" applyNumberFormat="1" applyFont="1" applyFill="1" applyBorder="1"/>
    <xf numFmtId="3" fontId="7" fillId="0" borderId="6" xfId="4" applyFont="1" applyFill="1" applyBorder="1"/>
    <xf numFmtId="3" fontId="4" fillId="0" borderId="0" xfId="4" applyFont="1" applyFill="1" applyBorder="1" applyAlignment="1">
      <alignment horizontal="center"/>
    </xf>
    <xf numFmtId="3" fontId="7" fillId="0" borderId="0" xfId="4" applyFont="1" applyFill="1" applyBorder="1"/>
    <xf numFmtId="0" fontId="7" fillId="0" borderId="5" xfId="0" applyFont="1" applyFill="1" applyBorder="1"/>
    <xf numFmtId="0" fontId="7" fillId="0" borderId="0" xfId="0" applyFont="1" applyFill="1" applyBorder="1"/>
    <xf numFmtId="42" fontId="7" fillId="0" borderId="0" xfId="4" applyNumberFormat="1" applyFont="1" applyFill="1" applyBorder="1"/>
    <xf numFmtId="10" fontId="9" fillId="0" borderId="6" xfId="2" applyNumberFormat="1" applyFont="1" applyFill="1" applyBorder="1"/>
    <xf numFmtId="3" fontId="7" fillId="0" borderId="0" xfId="4" applyFont="1" applyFill="1" applyBorder="1" applyAlignment="1">
      <alignment horizontal="center"/>
    </xf>
    <xf numFmtId="41" fontId="7" fillId="0" borderId="0" xfId="4" applyNumberFormat="1" applyFont="1" applyFill="1" applyBorder="1"/>
    <xf numFmtId="41" fontId="7" fillId="0" borderId="0" xfId="4" applyNumberFormat="1" applyFont="1" applyFill="1" applyBorder="1" applyProtection="1"/>
    <xf numFmtId="10" fontId="7" fillId="0" borderId="6" xfId="2" applyNumberFormat="1" applyFont="1" applyFill="1" applyBorder="1"/>
    <xf numFmtId="3" fontId="10" fillId="0" borderId="0" xfId="4" applyFont="1" applyFill="1" applyBorder="1" applyAlignment="1">
      <alignment horizontal="center"/>
    </xf>
    <xf numFmtId="41" fontId="7" fillId="3" borderId="0" xfId="4" applyNumberFormat="1" applyFont="1" applyFill="1" applyBorder="1" applyProtection="1"/>
    <xf numFmtId="3" fontId="7" fillId="0" borderId="0" xfId="4" applyFont="1" applyFill="1" applyBorder="1" applyAlignment="1" applyProtection="1">
      <alignment horizontal="center"/>
    </xf>
    <xf numFmtId="3" fontId="11" fillId="0" borderId="0" xfId="4" applyFont="1" applyFill="1" applyBorder="1" applyAlignment="1">
      <alignment horizontal="center"/>
    </xf>
    <xf numFmtId="0" fontId="11" fillId="0" borderId="0" xfId="0" applyFont="1" applyFill="1" applyBorder="1"/>
    <xf numFmtId="10" fontId="5" fillId="0" borderId="0" xfId="2" applyNumberFormat="1" applyFont="1" applyFill="1" applyBorder="1"/>
    <xf numFmtId="0" fontId="4" fillId="0" borderId="0" xfId="0" applyFont="1" applyFill="1" applyBorder="1" applyAlignment="1">
      <alignment wrapText="1"/>
    </xf>
    <xf numFmtId="0" fontId="4" fillId="4" borderId="5" xfId="0" applyFont="1" applyFill="1" applyBorder="1"/>
    <xf numFmtId="0" fontId="4" fillId="4" borderId="0" xfId="0" applyFont="1" applyFill="1" applyBorder="1"/>
    <xf numFmtId="41" fontId="7" fillId="4" borderId="0" xfId="4" applyNumberFormat="1" applyFont="1" applyFill="1" applyBorder="1"/>
    <xf numFmtId="10" fontId="13" fillId="4" borderId="6" xfId="4" applyNumberFormat="1" applyFont="1" applyFill="1" applyBorder="1"/>
    <xf numFmtId="3" fontId="7" fillId="4" borderId="0" xfId="4" applyFont="1" applyFill="1" applyBorder="1" applyAlignment="1">
      <alignment horizontal="center"/>
    </xf>
    <xf numFmtId="0" fontId="7" fillId="4" borderId="0" xfId="2" applyNumberFormat="1" applyFont="1" applyFill="1" applyBorder="1"/>
    <xf numFmtId="0" fontId="4" fillId="4" borderId="0" xfId="0" applyFont="1" applyFill="1" applyBorder="1" applyAlignment="1">
      <alignment wrapText="1"/>
    </xf>
    <xf numFmtId="0" fontId="5" fillId="0" borderId="7" xfId="0" applyFont="1" applyFill="1" applyBorder="1"/>
    <xf numFmtId="0" fontId="4" fillId="0" borderId="8" xfId="0" applyFont="1" applyFill="1" applyBorder="1"/>
    <xf numFmtId="42" fontId="5" fillId="0" borderId="8" xfId="0" applyNumberFormat="1" applyFont="1" applyFill="1" applyBorder="1"/>
    <xf numFmtId="10" fontId="5" fillId="0" borderId="9" xfId="0" applyNumberFormat="1" applyFont="1" applyFill="1" applyBorder="1"/>
    <xf numFmtId="0" fontId="26" fillId="5" borderId="14" xfId="0" applyFont="1" applyFill="1" applyBorder="1"/>
    <xf numFmtId="0" fontId="4" fillId="5" borderId="15" xfId="0" applyFont="1" applyFill="1" applyBorder="1"/>
    <xf numFmtId="0" fontId="4" fillId="5" borderId="16" xfId="0" applyFont="1" applyFill="1" applyBorder="1"/>
    <xf numFmtId="22" fontId="28" fillId="0" borderId="0" xfId="0" applyNumberFormat="1" applyFont="1" applyFill="1" applyBorder="1"/>
    <xf numFmtId="0" fontId="4" fillId="2" borderId="0" xfId="0" applyFont="1" applyFill="1" applyBorder="1"/>
    <xf numFmtId="0" fontId="5" fillId="0" borderId="19" xfId="0" applyFont="1" applyFill="1" applyBorder="1"/>
    <xf numFmtId="3" fontId="4" fillId="0" borderId="0" xfId="0" applyNumberFormat="1" applyFont="1" applyFill="1" applyBorder="1"/>
    <xf numFmtId="0" fontId="4" fillId="0" borderId="20" xfId="0" applyFont="1" applyFill="1" applyBorder="1"/>
    <xf numFmtId="0" fontId="7" fillId="0" borderId="20" xfId="2" applyNumberFormat="1" applyFont="1" applyFill="1" applyBorder="1"/>
    <xf numFmtId="0" fontId="4" fillId="0" borderId="19" xfId="0" applyFont="1" applyFill="1" applyBorder="1"/>
    <xf numFmtId="42" fontId="4" fillId="0" borderId="0" xfId="0" applyNumberFormat="1" applyFont="1" applyFill="1" applyBorder="1"/>
    <xf numFmtId="0" fontId="4" fillId="0" borderId="0" xfId="0" applyFont="1" applyFill="1" applyBorder="1" applyAlignment="1" applyProtection="1">
      <alignment horizontal="center"/>
    </xf>
    <xf numFmtId="41" fontId="4" fillId="0" borderId="0" xfId="0" applyNumberFormat="1" applyFont="1" applyFill="1" applyBorder="1"/>
    <xf numFmtId="42" fontId="4" fillId="0" borderId="0" xfId="0" applyNumberFormat="1" applyFont="1" applyFill="1" applyBorder="1" applyProtection="1"/>
    <xf numFmtId="42" fontId="5" fillId="0" borderId="0" xfId="0" applyNumberFormat="1" applyFont="1" applyFill="1" applyBorder="1"/>
    <xf numFmtId="10" fontId="5" fillId="0" borderId="20" xfId="0" applyNumberFormat="1" applyFont="1" applyFill="1" applyBorder="1"/>
    <xf numFmtId="10" fontId="29" fillId="0" borderId="20" xfId="0" applyNumberFormat="1" applyFont="1" applyFill="1" applyBorder="1"/>
    <xf numFmtId="0" fontId="30" fillId="0" borderId="0" xfId="0" applyFont="1" applyFill="1" applyBorder="1" applyAlignment="1" applyProtection="1">
      <alignment horizontal="center"/>
    </xf>
    <xf numFmtId="3" fontId="4" fillId="0" borderId="0" xfId="0" applyNumberFormat="1" applyFont="1" applyFill="1" applyBorder="1" applyAlignment="1" applyProtection="1">
      <alignment horizontal="center"/>
    </xf>
    <xf numFmtId="0" fontId="5" fillId="0" borderId="21" xfId="0" applyFont="1" applyFill="1" applyBorder="1"/>
    <xf numFmtId="0" fontId="5" fillId="0" borderId="22" xfId="0" applyFont="1" applyFill="1" applyBorder="1"/>
    <xf numFmtId="42" fontId="5" fillId="0" borderId="22" xfId="0" applyNumberFormat="1" applyFont="1" applyFill="1" applyBorder="1"/>
    <xf numFmtId="10" fontId="5" fillId="0" borderId="23" xfId="0" applyNumberFormat="1" applyFont="1" applyFill="1" applyBorder="1"/>
    <xf numFmtId="0" fontId="28" fillId="0" borderId="0" xfId="0" applyFont="1" applyFill="1" applyBorder="1"/>
    <xf numFmtId="164" fontId="30" fillId="6" borderId="0" xfId="0" applyNumberFormat="1" applyFont="1" applyFill="1" applyBorder="1"/>
    <xf numFmtId="0" fontId="4" fillId="6" borderId="0" xfId="0" applyFont="1" applyFill="1" applyBorder="1"/>
    <xf numFmtId="0" fontId="5" fillId="6" borderId="0" xfId="0" applyFont="1" applyFill="1" applyBorder="1" applyAlignment="1">
      <alignment horizontal="right"/>
    </xf>
    <xf numFmtId="22" fontId="28" fillId="6" borderId="0" xfId="0" applyNumberFormat="1" applyFont="1" applyFill="1" applyBorder="1"/>
    <xf numFmtId="0" fontId="6" fillId="6" borderId="24" xfId="0" applyFont="1" applyFill="1" applyBorder="1" applyAlignment="1">
      <alignment horizontal="center"/>
    </xf>
    <xf numFmtId="0" fontId="4" fillId="6" borderId="28" xfId="0" applyFont="1" applyFill="1" applyBorder="1"/>
    <xf numFmtId="0" fontId="4" fillId="6" borderId="29" xfId="0" applyFont="1" applyFill="1" applyBorder="1"/>
    <xf numFmtId="0" fontId="4" fillId="6" borderId="30" xfId="0" applyFont="1" applyFill="1" applyBorder="1"/>
    <xf numFmtId="0" fontId="4" fillId="6" borderId="24" xfId="0" applyFont="1" applyFill="1" applyBorder="1"/>
    <xf numFmtId="0" fontId="4" fillId="6" borderId="31" xfId="0" applyFont="1" applyFill="1" applyBorder="1"/>
    <xf numFmtId="0" fontId="5" fillId="6" borderId="28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1" xfId="0" applyFont="1" applyFill="1" applyBorder="1"/>
    <xf numFmtId="0" fontId="4" fillId="0" borderId="28" xfId="0" applyFont="1" applyFill="1" applyBorder="1"/>
    <xf numFmtId="0" fontId="6" fillId="0" borderId="0" xfId="0" applyFont="1" applyFill="1" applyBorder="1" applyAlignment="1">
      <alignment horizontal="center"/>
    </xf>
    <xf numFmtId="0" fontId="4" fillId="0" borderId="33" xfId="0" applyFont="1" applyFill="1" applyBorder="1"/>
    <xf numFmtId="0" fontId="5" fillId="0" borderId="28" xfId="0" applyFont="1" applyFill="1" applyBorder="1"/>
    <xf numFmtId="0" fontId="4" fillId="0" borderId="0" xfId="0" applyFont="1" applyFill="1" applyBorder="1" applyAlignment="1">
      <alignment horizontal="right"/>
    </xf>
    <xf numFmtId="2" fontId="4" fillId="0" borderId="0" xfId="0" applyNumberFormat="1" applyFont="1" applyFill="1" applyBorder="1"/>
    <xf numFmtId="4" fontId="4" fillId="0" borderId="0" xfId="0" applyNumberFormat="1" applyFont="1" applyFill="1" applyBorder="1"/>
    <xf numFmtId="3" fontId="4" fillId="0" borderId="28" xfId="0" applyNumberFormat="1" applyFont="1" applyFill="1" applyBorder="1"/>
    <xf numFmtId="3" fontId="4" fillId="0" borderId="33" xfId="0" applyNumberFormat="1" applyFont="1" applyFill="1" applyBorder="1"/>
    <xf numFmtId="3" fontId="29" fillId="0" borderId="33" xfId="0" applyNumberFormat="1" applyFont="1" applyFill="1" applyBorder="1"/>
    <xf numFmtId="3" fontId="7" fillId="0" borderId="0" xfId="0" applyNumberFormat="1" applyFont="1" applyFill="1" applyBorder="1"/>
    <xf numFmtId="3" fontId="7" fillId="0" borderId="33" xfId="4" applyFont="1" applyFill="1" applyBorder="1"/>
    <xf numFmtId="3" fontId="29" fillId="0" borderId="28" xfId="0" applyNumberFormat="1" applyFont="1" applyFill="1" applyBorder="1"/>
    <xf numFmtId="3" fontId="4" fillId="0" borderId="34" xfId="0" applyNumberFormat="1" applyFont="1" applyFill="1" applyBorder="1"/>
    <xf numFmtId="0" fontId="6" fillId="0" borderId="31" xfId="0" applyFont="1" applyFill="1" applyBorder="1"/>
    <xf numFmtId="164" fontId="6" fillId="0" borderId="28" xfId="0" applyNumberFormat="1" applyFont="1" applyFill="1" applyBorder="1"/>
    <xf numFmtId="3" fontId="33" fillId="0" borderId="33" xfId="0" applyNumberFormat="1" applyFont="1" applyFill="1" applyBorder="1"/>
    <xf numFmtId="3" fontId="33" fillId="0" borderId="28" xfId="0" applyNumberFormat="1" applyFont="1" applyFill="1" applyBorder="1"/>
    <xf numFmtId="3" fontId="27" fillId="0" borderId="35" xfId="0" applyNumberFormat="1" applyFont="1" applyFill="1" applyBorder="1"/>
    <xf numFmtId="3" fontId="27" fillId="0" borderId="36" xfId="0" applyNumberFormat="1" applyFont="1" applyFill="1" applyBorder="1"/>
    <xf numFmtId="0" fontId="33" fillId="0" borderId="0" xfId="0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center"/>
    </xf>
    <xf numFmtId="3" fontId="33" fillId="0" borderId="28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10" fontId="4" fillId="0" borderId="0" xfId="0" applyNumberFormat="1" applyFont="1" applyFill="1" applyBorder="1"/>
    <xf numFmtId="4" fontId="11" fillId="0" borderId="0" xfId="0" applyNumberFormat="1" applyFont="1" applyFill="1" applyBorder="1"/>
    <xf numFmtId="0" fontId="18" fillId="0" borderId="31" xfId="0" applyFont="1" applyFill="1" applyBorder="1"/>
    <xf numFmtId="0" fontId="7" fillId="0" borderId="31" xfId="0" applyFont="1" applyFill="1" applyBorder="1"/>
    <xf numFmtId="3" fontId="7" fillId="0" borderId="28" xfId="0" applyNumberFormat="1" applyFont="1" applyFill="1" applyBorder="1"/>
    <xf numFmtId="164" fontId="5" fillId="0" borderId="28" xfId="0" applyNumberFormat="1" applyFont="1" applyFill="1" applyBorder="1"/>
    <xf numFmtId="0" fontId="36" fillId="0" borderId="31" xfId="0" applyFont="1" applyFill="1" applyBorder="1"/>
    <xf numFmtId="2" fontId="4" fillId="4" borderId="0" xfId="0" applyNumberFormat="1" applyFont="1" applyFill="1" applyBorder="1"/>
    <xf numFmtId="164" fontId="4" fillId="0" borderId="28" xfId="0" applyNumberFormat="1" applyFont="1" applyFill="1" applyBorder="1"/>
    <xf numFmtId="4" fontId="27" fillId="0" borderId="0" xfId="1" applyNumberFormat="1" applyFont="1" applyFill="1" applyBorder="1"/>
    <xf numFmtId="4" fontId="7" fillId="0" borderId="0" xfId="1" applyNumberFormat="1" applyFont="1" applyFill="1" applyBorder="1"/>
    <xf numFmtId="0" fontId="33" fillId="0" borderId="31" xfId="0" applyFont="1" applyFill="1" applyBorder="1"/>
    <xf numFmtId="0" fontId="4" fillId="0" borderId="31" xfId="0" applyFont="1" applyFill="1" applyBorder="1" applyProtection="1"/>
    <xf numFmtId="4" fontId="7" fillId="0" borderId="0" xfId="1" applyNumberFormat="1" applyFont="1" applyFill="1" applyBorder="1" applyProtection="1"/>
    <xf numFmtId="0" fontId="39" fillId="0" borderId="28" xfId="0" applyFont="1" applyFill="1" applyBorder="1"/>
    <xf numFmtId="3" fontId="33" fillId="0" borderId="0" xfId="0" applyNumberFormat="1" applyFont="1" applyFill="1" applyBorder="1" applyAlignment="1">
      <alignment horizontal="center"/>
    </xf>
    <xf numFmtId="39" fontId="4" fillId="0" borderId="0" xfId="0" applyNumberFormat="1" applyFont="1" applyFill="1" applyBorder="1"/>
    <xf numFmtId="3" fontId="7" fillId="0" borderId="28" xfId="4" applyFont="1" applyFill="1" applyBorder="1"/>
    <xf numFmtId="0" fontId="29" fillId="0" borderId="0" xfId="4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right"/>
    </xf>
    <xf numFmtId="3" fontId="42" fillId="0" borderId="0" xfId="4" applyFont="1" applyFill="1" applyBorder="1"/>
    <xf numFmtId="3" fontId="11" fillId="0" borderId="0" xfId="4" applyFont="1" applyFill="1" applyBorder="1"/>
    <xf numFmtId="3" fontId="7" fillId="0" borderId="0" xfId="0" applyNumberFormat="1" applyFont="1" applyFill="1" applyBorder="1" applyAlignment="1">
      <alignment horizontal="right"/>
    </xf>
    <xf numFmtId="10" fontId="31" fillId="0" borderId="0" xfId="2" applyNumberFormat="1" applyFont="1" applyFill="1" applyBorder="1" applyAlignment="1">
      <alignment horizontal="center"/>
    </xf>
    <xf numFmtId="3" fontId="12" fillId="0" borderId="28" xfId="0" applyNumberFormat="1" applyFont="1" applyFill="1" applyBorder="1"/>
    <xf numFmtId="167" fontId="5" fillId="0" borderId="0" xfId="0" applyNumberFormat="1" applyFont="1" applyFill="1" applyBorder="1" applyAlignment="1">
      <alignment horizontal="right"/>
    </xf>
    <xf numFmtId="0" fontId="32" fillId="0" borderId="28" xfId="0" applyFont="1" applyFill="1" applyBorder="1"/>
    <xf numFmtId="0" fontId="43" fillId="0" borderId="0" xfId="0" applyFont="1" applyFill="1" applyBorder="1"/>
    <xf numFmtId="164" fontId="33" fillId="0" borderId="0" xfId="0" applyNumberFormat="1" applyFont="1" applyFill="1" applyBorder="1" applyAlignment="1">
      <alignment horizontal="center"/>
    </xf>
    <xf numFmtId="164" fontId="33" fillId="0" borderId="28" xfId="0" applyNumberFormat="1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42" fontId="4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Border="1"/>
    <xf numFmtId="3" fontId="4" fillId="0" borderId="0" xfId="0" applyNumberFormat="1" applyFont="1" applyFill="1" applyBorder="1" applyAlignment="1"/>
    <xf numFmtId="4" fontId="4" fillId="0" borderId="28" xfId="0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0" fontId="40" fillId="0" borderId="31" xfId="0" applyFont="1" applyFill="1" applyBorder="1"/>
    <xf numFmtId="0" fontId="5" fillId="0" borderId="39" xfId="0" applyFont="1" applyFill="1" applyBorder="1"/>
    <xf numFmtId="0" fontId="40" fillId="0" borderId="38" xfId="0" applyFont="1" applyFill="1" applyBorder="1"/>
    <xf numFmtId="0" fontId="4" fillId="0" borderId="40" xfId="0" applyFont="1" applyFill="1" applyBorder="1"/>
    <xf numFmtId="2" fontId="4" fillId="0" borderId="40" xfId="0" applyNumberFormat="1" applyFont="1" applyFill="1" applyBorder="1"/>
    <xf numFmtId="3" fontId="4" fillId="0" borderId="40" xfId="0" applyNumberFormat="1" applyFont="1" applyFill="1" applyBorder="1"/>
    <xf numFmtId="164" fontId="27" fillId="0" borderId="39" xfId="0" applyNumberFormat="1" applyFont="1" applyFill="1" applyBorder="1"/>
    <xf numFmtId="164" fontId="27" fillId="0" borderId="36" xfId="0" applyNumberFormat="1" applyFont="1" applyFill="1" applyBorder="1"/>
    <xf numFmtId="164" fontId="9" fillId="0" borderId="0" xfId="0" applyNumberFormat="1" applyFont="1" applyFill="1" applyBorder="1"/>
    <xf numFmtId="164" fontId="11" fillId="0" borderId="0" xfId="0" applyNumberFormat="1" applyFont="1" applyFill="1" applyBorder="1"/>
    <xf numFmtId="3" fontId="29" fillId="0" borderId="0" xfId="0" applyNumberFormat="1" applyFont="1" applyFill="1" applyBorder="1"/>
    <xf numFmtId="164" fontId="7" fillId="0" borderId="0" xfId="3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0" fontId="48" fillId="0" borderId="0" xfId="0" applyFont="1" applyFill="1" applyBorder="1"/>
    <xf numFmtId="3" fontId="11" fillId="0" borderId="0" xfId="0" applyNumberFormat="1" applyFont="1" applyFill="1" applyBorder="1"/>
    <xf numFmtId="164" fontId="48" fillId="0" borderId="0" xfId="0" applyNumberFormat="1" applyFont="1" applyFill="1" applyBorder="1" applyAlignment="1" applyProtection="1">
      <alignment horizontal="right"/>
    </xf>
    <xf numFmtId="2" fontId="43" fillId="0" borderId="0" xfId="0" applyNumberFormat="1" applyFont="1" applyFill="1" applyBorder="1"/>
    <xf numFmtId="0" fontId="6" fillId="0" borderId="0" xfId="0" applyFont="1" applyFill="1" applyBorder="1"/>
    <xf numFmtId="0" fontId="38" fillId="0" borderId="0" xfId="0" applyFont="1" applyFill="1" applyBorder="1"/>
    <xf numFmtId="42" fontId="29" fillId="0" borderId="0" xfId="0" applyNumberFormat="1" applyFont="1" applyFill="1" applyBorder="1"/>
    <xf numFmtId="41" fontId="29" fillId="0" borderId="0" xfId="0" applyNumberFormat="1" applyFont="1" applyFill="1" applyBorder="1"/>
    <xf numFmtId="42" fontId="7" fillId="0" borderId="0" xfId="0" applyNumberFormat="1" applyFont="1" applyFill="1" applyBorder="1"/>
    <xf numFmtId="0" fontId="7" fillId="0" borderId="0" xfId="0" applyFont="1" applyFill="1" applyBorder="1" applyProtection="1"/>
    <xf numFmtId="2" fontId="4" fillId="0" borderId="0" xfId="0" applyNumberFormat="1" applyFont="1" applyFill="1" applyBorder="1" applyProtection="1"/>
    <xf numFmtId="3" fontId="4" fillId="0" borderId="39" xfId="0" applyNumberFormat="1" applyFont="1" applyFill="1" applyBorder="1"/>
    <xf numFmtId="0" fontId="5" fillId="0" borderId="41" xfId="0" applyFont="1" applyFill="1" applyBorder="1" applyAlignment="1">
      <alignment horizontal="center"/>
    </xf>
    <xf numFmtId="0" fontId="5" fillId="0" borderId="42" xfId="0" applyFont="1" applyFill="1" applyBorder="1"/>
    <xf numFmtId="164" fontId="4" fillId="0" borderId="44" xfId="0" applyNumberFormat="1" applyFont="1" applyFill="1" applyBorder="1"/>
    <xf numFmtId="168" fontId="50" fillId="0" borderId="44" xfId="0" applyNumberFormat="1" applyFont="1" applyFill="1" applyBorder="1"/>
    <xf numFmtId="3" fontId="51" fillId="0" borderId="44" xfId="0" applyNumberFormat="1" applyFont="1" applyFill="1" applyBorder="1"/>
    <xf numFmtId="3" fontId="4" fillId="0" borderId="42" xfId="0" applyNumberFormat="1" applyFont="1" applyFill="1" applyBorder="1"/>
    <xf numFmtId="3" fontId="4" fillId="0" borderId="45" xfId="0" applyNumberFormat="1" applyFont="1" applyFill="1" applyBorder="1"/>
    <xf numFmtId="3" fontId="4" fillId="0" borderId="44" xfId="0" applyNumberFormat="1" applyFont="1" applyFill="1" applyBorder="1"/>
    <xf numFmtId="0" fontId="4" fillId="0" borderId="46" xfId="0" applyFont="1" applyFill="1" applyBorder="1"/>
    <xf numFmtId="168" fontId="50" fillId="0" borderId="0" xfId="0" applyNumberFormat="1" applyFont="1" applyFill="1" applyBorder="1"/>
    <xf numFmtId="3" fontId="51" fillId="0" borderId="0" xfId="0" applyNumberFormat="1" applyFont="1" applyFill="1" applyBorder="1"/>
    <xf numFmtId="5" fontId="50" fillId="0" borderId="0" xfId="0" applyNumberFormat="1" applyFont="1" applyFill="1" applyBorder="1"/>
    <xf numFmtId="0" fontId="5" fillId="0" borderId="46" xfId="0" applyFont="1" applyFill="1" applyBorder="1" applyAlignment="1">
      <alignment horizontal="center"/>
    </xf>
    <xf numFmtId="3" fontId="52" fillId="0" borderId="0" xfId="0" applyNumberFormat="1" applyFont="1" applyFill="1" applyBorder="1"/>
    <xf numFmtId="168" fontId="52" fillId="0" borderId="0" xfId="0" applyNumberFormat="1" applyFont="1" applyFill="1" applyBorder="1"/>
    <xf numFmtId="3" fontId="50" fillId="0" borderId="0" xfId="0" applyNumberFormat="1" applyFont="1" applyFill="1" applyBorder="1"/>
    <xf numFmtId="0" fontId="52" fillId="0" borderId="0" xfId="0" applyFont="1" applyFill="1" applyBorder="1"/>
    <xf numFmtId="2" fontId="52" fillId="0" borderId="0" xfId="0" applyNumberFormat="1" applyFont="1" applyFill="1" applyBorder="1"/>
    <xf numFmtId="0" fontId="4" fillId="0" borderId="47" xfId="0" applyFont="1" applyFill="1" applyBorder="1"/>
    <xf numFmtId="0" fontId="4" fillId="0" borderId="39" xfId="0" applyFont="1" applyFill="1" applyBorder="1"/>
    <xf numFmtId="0" fontId="27" fillId="0" borderId="38" xfId="0" applyFont="1" applyFill="1" applyBorder="1"/>
    <xf numFmtId="164" fontId="4" fillId="0" borderId="39" xfId="0" applyNumberFormat="1" applyFont="1" applyFill="1" applyBorder="1"/>
    <xf numFmtId="164" fontId="27" fillId="0" borderId="48" xfId="0" applyNumberFormat="1" applyFont="1" applyFill="1" applyBorder="1"/>
    <xf numFmtId="0" fontId="5" fillId="0" borderId="47" xfId="0" applyFont="1" applyFill="1" applyBorder="1" applyAlignment="1">
      <alignment horizontal="center"/>
    </xf>
    <xf numFmtId="0" fontId="5" fillId="0" borderId="46" xfId="0" applyFont="1" applyFill="1" applyBorder="1" applyAlignment="1">
      <alignment horizontal="right"/>
    </xf>
    <xf numFmtId="0" fontId="5" fillId="0" borderId="46" xfId="0" applyFont="1" applyFill="1" applyBorder="1"/>
    <xf numFmtId="2" fontId="33" fillId="0" borderId="28" xfId="0" applyNumberFormat="1" applyFont="1" applyFill="1" applyBorder="1" applyAlignment="1">
      <alignment horizontal="center"/>
    </xf>
    <xf numFmtId="0" fontId="4" fillId="0" borderId="49" xfId="0" applyFont="1" applyFill="1" applyBorder="1"/>
    <xf numFmtId="0" fontId="4" fillId="0" borderId="50" xfId="0" applyFont="1" applyFill="1" applyBorder="1"/>
    <xf numFmtId="0" fontId="11" fillId="0" borderId="50" xfId="0" applyFont="1" applyFill="1" applyBorder="1"/>
    <xf numFmtId="0" fontId="11" fillId="0" borderId="51" xfId="0" applyFont="1" applyFill="1" applyBorder="1"/>
    <xf numFmtId="41" fontId="4" fillId="0" borderId="0" xfId="4" applyNumberFormat="1" applyFont="1" applyFill="1" applyBorder="1"/>
    <xf numFmtId="4" fontId="4" fillId="0" borderId="0" xfId="1" applyNumberFormat="1" applyFont="1" applyFill="1" applyBorder="1"/>
    <xf numFmtId="4" fontId="4" fillId="4" borderId="0" xfId="0" applyNumberFormat="1" applyFont="1" applyFill="1" applyBorder="1"/>
    <xf numFmtId="3" fontId="4" fillId="0" borderId="0" xfId="1" applyNumberFormat="1" applyFont="1" applyFill="1" applyBorder="1"/>
    <xf numFmtId="10" fontId="4" fillId="0" borderId="0" xfId="2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center"/>
    </xf>
    <xf numFmtId="0" fontId="4" fillId="7" borderId="4" xfId="0" applyFont="1" applyFill="1" applyBorder="1"/>
    <xf numFmtId="0" fontId="4" fillId="7" borderId="6" xfId="0" applyFont="1" applyFill="1" applyBorder="1"/>
    <xf numFmtId="0" fontId="3" fillId="7" borderId="9" xfId="0" applyFont="1" applyFill="1" applyBorder="1"/>
    <xf numFmtId="0" fontId="5" fillId="6" borderId="41" xfId="0" applyFont="1" applyFill="1" applyBorder="1"/>
    <xf numFmtId="0" fontId="4" fillId="6" borderId="44" xfId="0" applyFont="1" applyFill="1" applyBorder="1"/>
    <xf numFmtId="18" fontId="5" fillId="6" borderId="44" xfId="0" applyNumberFormat="1" applyFont="1" applyFill="1" applyBorder="1"/>
    <xf numFmtId="166" fontId="5" fillId="6" borderId="53" xfId="0" applyNumberFormat="1" applyFont="1" applyFill="1" applyBorder="1"/>
    <xf numFmtId="0" fontId="5" fillId="6" borderId="46" xfId="0" applyFont="1" applyFill="1" applyBorder="1"/>
    <xf numFmtId="49" fontId="5" fillId="6" borderId="34" xfId="0" applyNumberFormat="1" applyFont="1" applyFill="1" applyBorder="1" applyAlignment="1">
      <alignment horizontal="center"/>
    </xf>
    <xf numFmtId="0" fontId="28" fillId="6" borderId="34" xfId="0" applyFont="1" applyFill="1" applyBorder="1"/>
    <xf numFmtId="0" fontId="6" fillId="6" borderId="54" xfId="0" applyFont="1" applyFill="1" applyBorder="1" applyAlignment="1">
      <alignment horizontal="center"/>
    </xf>
    <xf numFmtId="1" fontId="5" fillId="6" borderId="46" xfId="0" applyNumberFormat="1" applyFont="1" applyFill="1" applyBorder="1" applyAlignment="1">
      <alignment horizontal="center"/>
    </xf>
    <xf numFmtId="0" fontId="5" fillId="6" borderId="34" xfId="0" applyFont="1" applyFill="1" applyBorder="1"/>
    <xf numFmtId="0" fontId="5" fillId="6" borderId="46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4" fillId="6" borderId="56" xfId="0" applyFont="1" applyFill="1" applyBorder="1"/>
    <xf numFmtId="0" fontId="4" fillId="6" borderId="57" xfId="0" applyFont="1" applyFill="1" applyBorder="1"/>
    <xf numFmtId="0" fontId="4" fillId="6" borderId="50" xfId="0" applyFont="1" applyFill="1" applyBorder="1"/>
    <xf numFmtId="0" fontId="5" fillId="6" borderId="56" xfId="0" applyFont="1" applyFill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164" fontId="30" fillId="0" borderId="61" xfId="0" applyNumberFormat="1" applyFont="1" applyFill="1" applyBorder="1"/>
    <xf numFmtId="0" fontId="4" fillId="0" borderId="53" xfId="0" applyFont="1" applyFill="1" applyBorder="1"/>
    <xf numFmtId="0" fontId="4" fillId="0" borderId="34" xfId="0" applyFont="1" applyFill="1" applyBorder="1"/>
    <xf numFmtId="0" fontId="5" fillId="0" borderId="34" xfId="0" applyFont="1" applyFill="1" applyBorder="1"/>
    <xf numFmtId="10" fontId="4" fillId="0" borderId="46" xfId="0" applyNumberFormat="1" applyFont="1" applyFill="1" applyBorder="1"/>
    <xf numFmtId="0" fontId="5" fillId="0" borderId="34" xfId="0" applyFont="1" applyFill="1" applyBorder="1" applyAlignment="1">
      <alignment horizontal="right"/>
    </xf>
    <xf numFmtId="10" fontId="4" fillId="0" borderId="46" xfId="0" applyNumberFormat="1" applyFont="1" applyFill="1" applyBorder="1" applyProtection="1"/>
    <xf numFmtId="0" fontId="4" fillId="0" borderId="34" xfId="0" applyFont="1" applyFill="1" applyBorder="1" applyAlignment="1">
      <alignment horizontal="right"/>
    </xf>
    <xf numFmtId="0" fontId="43" fillId="0" borderId="34" xfId="0" applyFont="1" applyFill="1" applyBorder="1" applyAlignment="1">
      <alignment horizontal="right"/>
    </xf>
    <xf numFmtId="10" fontId="18" fillId="0" borderId="34" xfId="2" applyNumberFormat="1" applyFont="1" applyFill="1" applyBorder="1" applyAlignment="1">
      <alignment horizontal="center"/>
    </xf>
    <xf numFmtId="0" fontId="11" fillId="0" borderId="28" xfId="0" applyFont="1" applyFill="1" applyBorder="1" applyAlignment="1">
      <alignment horizontal="left"/>
    </xf>
    <xf numFmtId="0" fontId="18" fillId="0" borderId="28" xfId="0" applyFont="1" applyFill="1" applyBorder="1" applyAlignment="1">
      <alignment horizontal="right"/>
    </xf>
    <xf numFmtId="10" fontId="11" fillId="0" borderId="28" xfId="2" applyNumberFormat="1" applyFont="1" applyFill="1" applyBorder="1" applyAlignment="1">
      <alignment horizontal="right"/>
    </xf>
    <xf numFmtId="0" fontId="11" fillId="0" borderId="28" xfId="0" applyFont="1" applyFill="1" applyBorder="1" applyAlignment="1">
      <alignment horizontal="right"/>
    </xf>
    <xf numFmtId="10" fontId="4" fillId="0" borderId="28" xfId="2" applyNumberFormat="1" applyFont="1" applyFill="1" applyBorder="1" applyAlignment="1">
      <alignment horizontal="right"/>
    </xf>
    <xf numFmtId="0" fontId="11" fillId="0" borderId="28" xfId="0" applyFont="1" applyFill="1" applyBorder="1"/>
    <xf numFmtId="3" fontId="4" fillId="0" borderId="0" xfId="4" applyFont="1" applyFill="1" applyBorder="1"/>
    <xf numFmtId="39" fontId="4" fillId="0" borderId="0" xfId="1" applyNumberFormat="1" applyFont="1" applyFill="1" applyBorder="1"/>
    <xf numFmtId="0" fontId="4" fillId="0" borderId="0" xfId="4" applyNumberFormat="1" applyFont="1" applyFill="1" applyBorder="1" applyAlignment="1">
      <alignment horizontal="center"/>
    </xf>
    <xf numFmtId="39" fontId="4" fillId="0" borderId="0" xfId="0" applyNumberFormat="1" applyFont="1" applyFill="1" applyBorder="1" applyAlignment="1">
      <alignment horizontal="right"/>
    </xf>
    <xf numFmtId="7" fontId="4" fillId="0" borderId="28" xfId="0" applyNumberFormat="1" applyFont="1" applyFill="1" applyBorder="1"/>
    <xf numFmtId="7" fontId="4" fillId="0" borderId="0" xfId="4" applyNumberFormat="1" applyFont="1" applyFill="1" applyBorder="1"/>
    <xf numFmtId="5" fontId="4" fillId="0" borderId="0" xfId="0" applyNumberFormat="1" applyFont="1" applyFill="1" applyBorder="1" applyAlignment="1">
      <alignment horizontal="right"/>
    </xf>
    <xf numFmtId="0" fontId="18" fillId="0" borderId="28" xfId="0" applyFont="1" applyFill="1" applyBorder="1"/>
    <xf numFmtId="166" fontId="4" fillId="0" borderId="0" xfId="0" applyNumberFormat="1" applyFont="1" applyFill="1" applyBorder="1" applyAlignment="1">
      <alignment horizontal="right"/>
    </xf>
    <xf numFmtId="0" fontId="30" fillId="0" borderId="32" xfId="0" applyFont="1" applyFill="1" applyBorder="1"/>
    <xf numFmtId="0" fontId="30" fillId="0" borderId="0" xfId="0" applyFont="1" applyFill="1" applyBorder="1"/>
    <xf numFmtId="2" fontId="30" fillId="0" borderId="0" xfId="0" applyNumberFormat="1" applyFont="1" applyFill="1" applyBorder="1"/>
    <xf numFmtId="3" fontId="30" fillId="0" borderId="0" xfId="0" applyNumberFormat="1" applyFont="1" applyFill="1" applyBorder="1"/>
    <xf numFmtId="0" fontId="4" fillId="0" borderId="42" xfId="0" applyFont="1" applyFill="1" applyBorder="1"/>
    <xf numFmtId="0" fontId="4" fillId="0" borderId="43" xfId="0" applyFont="1" applyFill="1" applyBorder="1"/>
    <xf numFmtId="0" fontId="4" fillId="0" borderId="44" xfId="0" applyFont="1" applyFill="1" applyBorder="1"/>
    <xf numFmtId="0" fontId="5" fillId="0" borderId="44" xfId="0" applyFont="1" applyFill="1" applyBorder="1" applyAlignment="1">
      <alignment horizontal="center"/>
    </xf>
    <xf numFmtId="0" fontId="5" fillId="0" borderId="53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164" fontId="4" fillId="0" borderId="34" xfId="0" applyNumberFormat="1" applyFont="1" applyFill="1" applyBorder="1"/>
    <xf numFmtId="3" fontId="7" fillId="0" borderId="34" xfId="0" applyNumberFormat="1" applyFont="1" applyFill="1" applyBorder="1"/>
    <xf numFmtId="164" fontId="6" fillId="0" borderId="34" xfId="0" applyNumberFormat="1" applyFont="1" applyFill="1" applyBorder="1"/>
    <xf numFmtId="0" fontId="4" fillId="0" borderId="56" xfId="0" applyFont="1" applyFill="1" applyBorder="1"/>
    <xf numFmtId="0" fontId="30" fillId="0" borderId="62" xfId="0" applyFont="1" applyFill="1" applyBorder="1"/>
    <xf numFmtId="0" fontId="30" fillId="0" borderId="50" xfId="0" applyFont="1" applyFill="1" applyBorder="1"/>
    <xf numFmtId="2" fontId="30" fillId="0" borderId="50" xfId="0" applyNumberFormat="1" applyFont="1" applyFill="1" applyBorder="1"/>
    <xf numFmtId="1" fontId="33" fillId="0" borderId="50" xfId="0" applyNumberFormat="1" applyFont="1" applyFill="1" applyBorder="1" applyAlignment="1">
      <alignment horizontal="center"/>
    </xf>
    <xf numFmtId="164" fontId="30" fillId="0" borderId="51" xfId="6" applyFont="1" applyFill="1" applyBorder="1"/>
    <xf numFmtId="0" fontId="6" fillId="0" borderId="44" xfId="0" applyFont="1" applyFill="1" applyBorder="1" applyAlignment="1">
      <alignment horizontal="center"/>
    </xf>
    <xf numFmtId="2" fontId="6" fillId="0" borderId="44" xfId="0" applyNumberFormat="1" applyFont="1" applyFill="1" applyBorder="1" applyAlignment="1">
      <alignment horizontal="center"/>
    </xf>
    <xf numFmtId="3" fontId="4" fillId="0" borderId="44" xfId="0" applyNumberFormat="1" applyFont="1" applyFill="1" applyBorder="1" applyAlignment="1">
      <alignment horizontal="center"/>
    </xf>
    <xf numFmtId="3" fontId="6" fillId="0" borderId="53" xfId="0" applyNumberFormat="1" applyFont="1" applyFill="1" applyBorder="1" applyAlignment="1">
      <alignment horizontal="center"/>
    </xf>
    <xf numFmtId="164" fontId="33" fillId="0" borderId="34" xfId="0" applyNumberFormat="1" applyFont="1" applyFill="1" applyBorder="1"/>
    <xf numFmtId="3" fontId="30" fillId="0" borderId="50" xfId="0" applyNumberFormat="1" applyFont="1" applyFill="1" applyBorder="1"/>
    <xf numFmtId="0" fontId="4" fillId="0" borderId="46" xfId="0" applyFont="1" applyFill="1" applyBorder="1" applyAlignment="1">
      <alignment horizontal="left"/>
    </xf>
    <xf numFmtId="10" fontId="4" fillId="0" borderId="34" xfId="0" applyNumberFormat="1" applyFont="1" applyFill="1" applyBorder="1"/>
    <xf numFmtId="0" fontId="18" fillId="0" borderId="49" xfId="0" applyFont="1" applyFill="1" applyBorder="1"/>
    <xf numFmtId="0" fontId="30" fillId="0" borderId="63" xfId="0" applyFont="1" applyFill="1" applyBorder="1"/>
    <xf numFmtId="3" fontId="30" fillId="0" borderId="64" xfId="0" applyNumberFormat="1" applyFont="1" applyFill="1" applyBorder="1" applyProtection="1"/>
    <xf numFmtId="0" fontId="33" fillId="0" borderId="44" xfId="0" applyFont="1" applyFill="1" applyBorder="1" applyAlignment="1">
      <alignment horizontal="center"/>
    </xf>
    <xf numFmtId="2" fontId="33" fillId="0" borderId="44" xfId="0" applyNumberFormat="1" applyFont="1" applyFill="1" applyBorder="1" applyAlignment="1">
      <alignment horizontal="center"/>
    </xf>
    <xf numFmtId="3" fontId="34" fillId="0" borderId="44" xfId="0" applyNumberFormat="1" applyFont="1" applyFill="1" applyBorder="1" applyAlignment="1">
      <alignment horizontal="center"/>
    </xf>
    <xf numFmtId="3" fontId="33" fillId="0" borderId="53" xfId="0" applyNumberFormat="1" applyFont="1" applyFill="1" applyBorder="1" applyAlignment="1">
      <alignment horizontal="center"/>
    </xf>
    <xf numFmtId="3" fontId="33" fillId="0" borderId="34" xfId="0" applyNumberFormat="1" applyFont="1" applyFill="1" applyBorder="1"/>
    <xf numFmtId="164" fontId="5" fillId="0" borderId="34" xfId="0" applyNumberFormat="1" applyFont="1" applyFill="1" applyBorder="1"/>
    <xf numFmtId="9" fontId="18" fillId="0" borderId="46" xfId="0" applyNumberFormat="1" applyFont="1" applyFill="1" applyBorder="1"/>
    <xf numFmtId="9" fontId="18" fillId="0" borderId="46" xfId="0" applyNumberFormat="1" applyFont="1" applyFill="1" applyBorder="1" applyProtection="1"/>
    <xf numFmtId="10" fontId="4" fillId="0" borderId="46" xfId="2" applyNumberFormat="1" applyFont="1" applyFill="1" applyBorder="1" applyAlignment="1">
      <alignment horizontal="right"/>
    </xf>
    <xf numFmtId="9" fontId="37" fillId="0" borderId="46" xfId="0" applyNumberFormat="1" applyFont="1" applyFill="1" applyBorder="1"/>
    <xf numFmtId="10" fontId="4" fillId="0" borderId="28" xfId="0" applyNumberFormat="1" applyFont="1" applyFill="1" applyBorder="1"/>
    <xf numFmtId="0" fontId="49" fillId="0" borderId="49" xfId="0" applyFont="1" applyFill="1" applyBorder="1"/>
    <xf numFmtId="3" fontId="7" fillId="0" borderId="34" xfId="4" applyFont="1" applyFill="1" applyBorder="1"/>
    <xf numFmtId="3" fontId="33" fillId="0" borderId="44" xfId="0" applyNumberFormat="1" applyFont="1" applyFill="1" applyBorder="1" applyAlignment="1">
      <alignment horizontal="center"/>
    </xf>
    <xf numFmtId="0" fontId="35" fillId="0" borderId="46" xfId="0" applyFont="1" applyFill="1" applyBorder="1" applyAlignment="1">
      <alignment horizontal="right"/>
    </xf>
    <xf numFmtId="0" fontId="4" fillId="0" borderId="4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left"/>
    </xf>
    <xf numFmtId="3" fontId="4" fillId="0" borderId="34" xfId="4" applyFont="1" applyFill="1" applyBorder="1"/>
    <xf numFmtId="3" fontId="7" fillId="0" borderId="46" xfId="4" applyFont="1" applyFill="1" applyBorder="1"/>
    <xf numFmtId="0" fontId="25" fillId="0" borderId="56" xfId="0" applyFont="1" applyFill="1" applyBorder="1"/>
    <xf numFmtId="3" fontId="7" fillId="0" borderId="57" xfId="4" applyFont="1" applyFill="1" applyBorder="1"/>
    <xf numFmtId="0" fontId="4" fillId="0" borderId="41" xfId="0" applyFont="1" applyFill="1" applyBorder="1"/>
    <xf numFmtId="0" fontId="6" fillId="0" borderId="53" xfId="0" applyFont="1" applyFill="1" applyBorder="1" applyAlignment="1">
      <alignment horizontal="center"/>
    </xf>
    <xf numFmtId="0" fontId="41" fillId="0" borderId="46" xfId="0" applyFont="1" applyFill="1" applyBorder="1"/>
    <xf numFmtId="0" fontId="7" fillId="0" borderId="46" xfId="0" applyFont="1" applyFill="1" applyBorder="1"/>
    <xf numFmtId="167" fontId="5" fillId="0" borderId="34" xfId="0" applyNumberFormat="1" applyFont="1" applyFill="1" applyBorder="1" applyAlignment="1">
      <alignment horizontal="right"/>
    </xf>
    <xf numFmtId="14" fontId="4" fillId="0" borderId="43" xfId="0" applyNumberFormat="1" applyFont="1" applyFill="1" applyBorder="1" applyAlignment="1">
      <alignment horizontal="left"/>
    </xf>
    <xf numFmtId="0" fontId="44" fillId="0" borderId="44" xfId="0" applyFont="1" applyFill="1" applyBorder="1" applyAlignment="1">
      <alignment horizontal="center"/>
    </xf>
    <xf numFmtId="2" fontId="45" fillId="0" borderId="44" xfId="0" applyNumberFormat="1" applyFont="1" applyFill="1" applyBorder="1" applyAlignment="1">
      <alignment horizontal="center"/>
    </xf>
    <xf numFmtId="3" fontId="33" fillId="0" borderId="34" xfId="4" applyFont="1" applyFill="1" applyBorder="1"/>
    <xf numFmtId="164" fontId="6" fillId="0" borderId="0" xfId="0" applyNumberFormat="1" applyFont="1" applyFill="1" applyBorder="1"/>
    <xf numFmtId="164" fontId="30" fillId="0" borderId="0" xfId="6" applyFont="1" applyFill="1" applyBorder="1"/>
    <xf numFmtId="0" fontId="5" fillId="0" borderId="44" xfId="0" applyFont="1" applyFill="1" applyBorder="1"/>
    <xf numFmtId="164" fontId="9" fillId="0" borderId="44" xfId="0" applyNumberFormat="1" applyFont="1" applyFill="1" applyBorder="1"/>
    <xf numFmtId="168" fontId="4" fillId="0" borderId="44" xfId="0" applyNumberFormat="1" applyFont="1" applyFill="1" applyBorder="1"/>
    <xf numFmtId="164" fontId="4" fillId="0" borderId="53" xfId="0" applyNumberFormat="1" applyFont="1" applyFill="1" applyBorder="1"/>
    <xf numFmtId="49" fontId="5" fillId="0" borderId="46" xfId="0" applyNumberFormat="1" applyFont="1" applyFill="1" applyBorder="1" applyAlignment="1">
      <alignment horizontal="right"/>
    </xf>
    <xf numFmtId="0" fontId="21" fillId="0" borderId="44" xfId="0" applyFont="1" applyFill="1" applyBorder="1"/>
    <xf numFmtId="0" fontId="47" fillId="0" borderId="46" xfId="0" applyFont="1" applyFill="1" applyBorder="1"/>
    <xf numFmtId="0" fontId="47" fillId="0" borderId="49" xfId="0" applyFont="1" applyFill="1" applyBorder="1"/>
    <xf numFmtId="0" fontId="30" fillId="0" borderId="65" xfId="0" applyFont="1" applyFill="1" applyBorder="1"/>
    <xf numFmtId="3" fontId="4" fillId="0" borderId="52" xfId="0" applyNumberFormat="1" applyFont="1" applyFill="1" applyBorder="1" applyAlignment="1">
      <alignment horizontal="right"/>
    </xf>
    <xf numFmtId="3" fontId="4" fillId="0" borderId="52" xfId="0" applyNumberFormat="1" applyFont="1" applyFill="1" applyBorder="1"/>
    <xf numFmtId="3" fontId="30" fillId="0" borderId="14" xfId="4" applyFont="1" applyFill="1" applyBorder="1"/>
    <xf numFmtId="3" fontId="30" fillId="0" borderId="16" xfId="4" applyFont="1" applyFill="1" applyBorder="1"/>
    <xf numFmtId="3" fontId="30" fillId="0" borderId="52" xfId="4" applyFont="1" applyFill="1" applyBorder="1"/>
    <xf numFmtId="164" fontId="4" fillId="0" borderId="52" xfId="0" applyNumberFormat="1" applyFont="1" applyFill="1" applyBorder="1"/>
    <xf numFmtId="0" fontId="21" fillId="0" borderId="44" xfId="0" applyFont="1" applyFill="1" applyBorder="1" applyAlignment="1">
      <alignment horizontal="center"/>
    </xf>
    <xf numFmtId="0" fontId="30" fillId="0" borderId="56" xfId="0" applyFont="1" applyFill="1" applyBorder="1"/>
    <xf numFmtId="3" fontId="30" fillId="0" borderId="50" xfId="4" applyFont="1" applyFill="1" applyBorder="1"/>
    <xf numFmtId="3" fontId="4" fillId="0" borderId="16" xfId="0" applyNumberFormat="1" applyFont="1" applyFill="1" applyBorder="1"/>
    <xf numFmtId="164" fontId="4" fillId="0" borderId="58" xfId="0" applyNumberFormat="1" applyFont="1" applyFill="1" applyBorder="1"/>
    <xf numFmtId="3" fontId="4" fillId="0" borderId="60" xfId="0" applyNumberFormat="1" applyFont="1" applyFill="1" applyBorder="1"/>
    <xf numFmtId="3" fontId="4" fillId="0" borderId="58" xfId="0" applyNumberFormat="1" applyFont="1" applyFill="1" applyBorder="1"/>
    <xf numFmtId="3" fontId="4" fillId="0" borderId="59" xfId="0" applyNumberFormat="1" applyFont="1" applyFill="1" applyBorder="1"/>
    <xf numFmtId="2" fontId="4" fillId="0" borderId="50" xfId="0" applyNumberFormat="1" applyFont="1" applyFill="1" applyBorder="1"/>
    <xf numFmtId="3" fontId="4" fillId="0" borderId="50" xfId="0" applyNumberFormat="1" applyFont="1" applyFill="1" applyBorder="1"/>
    <xf numFmtId="164" fontId="29" fillId="0" borderId="44" xfId="0" applyNumberFormat="1" applyFont="1" applyFill="1" applyBorder="1"/>
    <xf numFmtId="3" fontId="7" fillId="0" borderId="52" xfId="4" applyFont="1" applyFill="1" applyBorder="1"/>
    <xf numFmtId="164" fontId="7" fillId="0" borderId="57" xfId="3" applyNumberFormat="1" applyFont="1" applyFill="1" applyBorder="1"/>
    <xf numFmtId="5" fontId="4" fillId="0" borderId="52" xfId="0" applyNumberFormat="1" applyFont="1" applyFill="1" applyBorder="1"/>
    <xf numFmtId="37" fontId="4" fillId="0" borderId="52" xfId="0" applyNumberFormat="1" applyFont="1" applyFill="1" applyBorder="1"/>
    <xf numFmtId="164" fontId="48" fillId="0" borderId="44" xfId="0" applyNumberFormat="1" applyFont="1" applyFill="1" applyBorder="1" applyAlignment="1">
      <alignment horizontal="right"/>
    </xf>
    <xf numFmtId="0" fontId="48" fillId="0" borderId="44" xfId="0" applyFont="1" applyFill="1" applyBorder="1"/>
    <xf numFmtId="3" fontId="11" fillId="0" borderId="44" xfId="0" applyNumberFormat="1" applyFont="1" applyFill="1" applyBorder="1"/>
    <xf numFmtId="164" fontId="4" fillId="0" borderId="52" xfId="0" applyNumberFormat="1" applyFont="1" applyFill="1" applyBorder="1" applyProtection="1"/>
    <xf numFmtId="3" fontId="4" fillId="0" borderId="52" xfId="0" applyNumberFormat="1" applyFont="1" applyFill="1" applyBorder="1" applyProtection="1"/>
    <xf numFmtId="0" fontId="4" fillId="0" borderId="14" xfId="0" applyFont="1" applyFill="1" applyBorder="1"/>
    <xf numFmtId="2" fontId="4" fillId="0" borderId="16" xfId="0" applyNumberFormat="1" applyFont="1" applyFill="1" applyBorder="1"/>
    <xf numFmtId="3" fontId="33" fillId="0" borderId="52" xfId="0" applyNumberFormat="1" applyFont="1" applyFill="1" applyBorder="1"/>
    <xf numFmtId="164" fontId="7" fillId="0" borderId="34" xfId="6" applyFont="1" applyFill="1" applyBorder="1"/>
    <xf numFmtId="3" fontId="49" fillId="0" borderId="50" xfId="0" applyNumberFormat="1" applyFont="1" applyFill="1" applyBorder="1"/>
    <xf numFmtId="2" fontId="4" fillId="0" borderId="44" xfId="0" applyNumberFormat="1" applyFont="1" applyFill="1" applyBorder="1"/>
    <xf numFmtId="3" fontId="49" fillId="0" borderId="44" xfId="0" applyNumberFormat="1" applyFont="1" applyFill="1" applyBorder="1"/>
    <xf numFmtId="164" fontId="30" fillId="0" borderId="64" xfId="0" applyNumberFormat="1" applyFont="1" applyFill="1" applyBorder="1"/>
    <xf numFmtId="0" fontId="7" fillId="0" borderId="44" xfId="0" applyFont="1" applyFill="1" applyBorder="1"/>
    <xf numFmtId="5" fontId="52" fillId="0" borderId="50" xfId="0" applyNumberFormat="1" applyFont="1" applyFill="1" applyBorder="1"/>
    <xf numFmtId="2" fontId="53" fillId="0" borderId="50" xfId="0" applyNumberFormat="1" applyFont="1" applyFill="1" applyBorder="1"/>
    <xf numFmtId="3" fontId="51" fillId="0" borderId="50" xfId="0" applyNumberFormat="1" applyFont="1" applyFill="1" applyBorder="1"/>
    <xf numFmtId="0" fontId="17" fillId="0" borderId="43" xfId="0" applyFont="1" applyFill="1" applyBorder="1" applyAlignment="1">
      <alignment horizontal="right"/>
    </xf>
    <xf numFmtId="164" fontId="15" fillId="0" borderId="44" xfId="0" applyNumberFormat="1" applyFont="1" applyFill="1" applyBorder="1"/>
    <xf numFmtId="0" fontId="4" fillId="0" borderId="66" xfId="0" applyFont="1" applyFill="1" applyBorder="1"/>
    <xf numFmtId="0" fontId="27" fillId="0" borderId="67" xfId="0" applyFont="1" applyFill="1" applyBorder="1"/>
    <xf numFmtId="0" fontId="4" fillId="0" borderId="15" xfId="0" applyFont="1" applyFill="1" applyBorder="1"/>
    <xf numFmtId="2" fontId="4" fillId="0" borderId="15" xfId="0" applyNumberFormat="1" applyFont="1" applyFill="1" applyBorder="1"/>
    <xf numFmtId="3" fontId="4" fillId="0" borderId="15" xfId="0" applyNumberFormat="1" applyFont="1" applyFill="1" applyBorder="1"/>
    <xf numFmtId="164" fontId="4" fillId="0" borderId="16" xfId="0" applyNumberFormat="1" applyFont="1" applyFill="1" applyBorder="1"/>
    <xf numFmtId="0" fontId="5" fillId="0" borderId="41" xfId="0" applyFont="1" applyFill="1" applyBorder="1" applyAlignment="1">
      <alignment horizontal="right"/>
    </xf>
    <xf numFmtId="164" fontId="30" fillId="0" borderId="56" xfId="6" applyFont="1" applyFill="1" applyBorder="1"/>
    <xf numFmtId="37" fontId="4" fillId="0" borderId="60" xfId="0" applyNumberFormat="1" applyFont="1" applyFill="1" applyBorder="1"/>
    <xf numFmtId="164" fontId="30" fillId="0" borderId="32" xfId="0" applyNumberFormat="1" applyFont="1" applyFill="1" applyBorder="1"/>
    <xf numFmtId="164" fontId="4" fillId="0" borderId="14" xfId="0" applyNumberFormat="1" applyFont="1" applyFill="1" applyBorder="1"/>
    <xf numFmtId="0" fontId="4" fillId="8" borderId="6" xfId="0" applyFont="1" applyFill="1" applyBorder="1"/>
    <xf numFmtId="164" fontId="30" fillId="0" borderId="44" xfId="6" applyFont="1" applyFill="1" applyBorder="1"/>
    <xf numFmtId="3" fontId="27" fillId="0" borderId="58" xfId="0" applyNumberFormat="1" applyFont="1" applyFill="1" applyBorder="1"/>
    <xf numFmtId="3" fontId="33" fillId="0" borderId="60" xfId="0" applyNumberFormat="1" applyFont="1" applyFill="1" applyBorder="1"/>
    <xf numFmtId="3" fontId="27" fillId="0" borderId="68" xfId="0" applyNumberFormat="1" applyFont="1" applyFill="1" applyBorder="1"/>
    <xf numFmtId="3" fontId="27" fillId="0" borderId="69" xfId="0" applyNumberFormat="1" applyFont="1" applyFill="1" applyBorder="1"/>
    <xf numFmtId="3" fontId="27" fillId="0" borderId="56" xfId="0" applyNumberFormat="1" applyFont="1" applyFill="1" applyBorder="1"/>
    <xf numFmtId="3" fontId="27" fillId="0" borderId="51" xfId="0" applyNumberFormat="1" applyFont="1" applyFill="1" applyBorder="1"/>
    <xf numFmtId="3" fontId="27" fillId="0" borderId="70" xfId="0" applyNumberFormat="1" applyFont="1" applyFill="1" applyBorder="1"/>
    <xf numFmtId="3" fontId="27" fillId="0" borderId="71" xfId="0" applyNumberFormat="1" applyFont="1" applyFill="1" applyBorder="1"/>
    <xf numFmtId="3" fontId="27" fillId="0" borderId="66" xfId="0" applyNumberFormat="1" applyFont="1" applyFill="1" applyBorder="1"/>
    <xf numFmtId="3" fontId="27" fillId="0" borderId="16" xfId="0" applyNumberFormat="1" applyFont="1" applyFill="1" applyBorder="1"/>
    <xf numFmtId="3" fontId="27" fillId="0" borderId="72" xfId="0" applyNumberFormat="1" applyFont="1" applyFill="1" applyBorder="1"/>
    <xf numFmtId="0" fontId="4" fillId="8" borderId="9" xfId="0" applyFont="1" applyFill="1" applyBorder="1"/>
    <xf numFmtId="0" fontId="4" fillId="8" borderId="4" xfId="0" applyFont="1" applyFill="1" applyBorder="1"/>
    <xf numFmtId="0" fontId="7" fillId="8" borderId="6" xfId="0" applyFont="1" applyFill="1" applyBorder="1"/>
    <xf numFmtId="3" fontId="7" fillId="8" borderId="6" xfId="4" applyFont="1" applyFill="1" applyBorder="1"/>
    <xf numFmtId="3" fontId="29" fillId="8" borderId="6" xfId="4" applyFont="1" applyFill="1" applyBorder="1"/>
    <xf numFmtId="0" fontId="5" fillId="8" borderId="6" xfId="0" applyFont="1" applyFill="1" applyBorder="1"/>
    <xf numFmtId="164" fontId="27" fillId="0" borderId="73" xfId="0" applyNumberFormat="1" applyFont="1" applyFill="1" applyBorder="1"/>
    <xf numFmtId="0" fontId="4" fillId="0" borderId="37" xfId="0" applyFont="1" applyFill="1" applyBorder="1"/>
    <xf numFmtId="164" fontId="27" fillId="0" borderId="74" xfId="0" applyNumberFormat="1" applyFont="1" applyFill="1" applyBorder="1"/>
    <xf numFmtId="3" fontId="4" fillId="0" borderId="53" xfId="0" applyNumberFormat="1" applyFont="1" applyFill="1" applyBorder="1"/>
    <xf numFmtId="164" fontId="27" fillId="0" borderId="75" xfId="0" applyNumberFormat="1" applyFont="1" applyFill="1" applyBorder="1"/>
    <xf numFmtId="3" fontId="27" fillId="0" borderId="73" xfId="0" applyNumberFormat="1" applyFont="1" applyFill="1" applyBorder="1"/>
    <xf numFmtId="0" fontId="5" fillId="0" borderId="49" xfId="0" applyFont="1" applyFill="1" applyBorder="1" applyAlignment="1">
      <alignment horizontal="center"/>
    </xf>
    <xf numFmtId="0" fontId="5" fillId="0" borderId="56" xfId="0" applyFont="1" applyFill="1" applyBorder="1"/>
    <xf numFmtId="0" fontId="40" fillId="0" borderId="69" xfId="0" applyFont="1" applyFill="1" applyBorder="1"/>
    <xf numFmtId="2" fontId="4" fillId="0" borderId="56" xfId="0" applyNumberFormat="1" applyFont="1" applyFill="1" applyBorder="1"/>
    <xf numFmtId="3" fontId="4" fillId="0" borderId="56" xfId="0" applyNumberFormat="1" applyFont="1" applyFill="1" applyBorder="1"/>
    <xf numFmtId="164" fontId="7" fillId="0" borderId="56" xfId="6" applyFont="1" applyFill="1" applyBorder="1"/>
    <xf numFmtId="164" fontId="27" fillId="0" borderId="63" xfId="0" applyNumberFormat="1" applyFont="1" applyFill="1" applyBorder="1"/>
    <xf numFmtId="164" fontId="27" fillId="0" borderId="64" xfId="0" applyNumberFormat="1" applyFont="1" applyFill="1" applyBorder="1"/>
    <xf numFmtId="0" fontId="29" fillId="0" borderId="46" xfId="0" applyFont="1" applyFill="1" applyBorder="1" applyAlignment="1"/>
    <xf numFmtId="14" fontId="29" fillId="0" borderId="28" xfId="0" applyNumberFormat="1" applyFont="1" applyFill="1" applyBorder="1" applyAlignment="1"/>
    <xf numFmtId="0" fontId="29" fillId="0" borderId="0" xfId="0" applyFont="1" applyFill="1" applyBorder="1" applyAlignment="1"/>
    <xf numFmtId="14" fontId="29" fillId="0" borderId="34" xfId="16" applyNumberFormat="1" applyFont="1" applyBorder="1" applyAlignment="1"/>
    <xf numFmtId="166" fontId="56" fillId="0" borderId="0" xfId="0" applyNumberFormat="1" applyFont="1" applyFill="1" applyBorder="1" applyAlignment="1">
      <alignment horizontal="right"/>
    </xf>
    <xf numFmtId="166" fontId="56" fillId="0" borderId="0" xfId="0" applyNumberFormat="1" applyFont="1" applyFill="1" applyBorder="1"/>
    <xf numFmtId="1" fontId="56" fillId="0" borderId="46" xfId="1" applyNumberFormat="1" applyFont="1" applyFill="1" applyBorder="1"/>
    <xf numFmtId="10" fontId="18" fillId="0" borderId="0" xfId="2" applyNumberFormat="1" applyFont="1" applyFill="1" applyBorder="1" applyAlignment="1">
      <alignment horizontal="right"/>
    </xf>
    <xf numFmtId="0" fontId="4" fillId="0" borderId="0" xfId="7" applyFont="1" applyFill="1" applyBorder="1"/>
    <xf numFmtId="10" fontId="4" fillId="9" borderId="0" xfId="2" applyNumberFormat="1" applyFont="1" applyFill="1" applyBorder="1" applyAlignment="1">
      <alignment horizontal="right"/>
    </xf>
    <xf numFmtId="0" fontId="4" fillId="9" borderId="0" xfId="0" applyFont="1" applyFill="1" applyBorder="1"/>
    <xf numFmtId="2" fontId="4" fillId="9" borderId="0" xfId="0" applyNumberFormat="1" applyFont="1" applyFill="1" applyBorder="1"/>
    <xf numFmtId="4" fontId="4" fillId="9" borderId="0" xfId="1" applyNumberFormat="1" applyFont="1" applyFill="1" applyBorder="1"/>
    <xf numFmtId="3" fontId="4" fillId="9" borderId="34" xfId="0" applyNumberFormat="1" applyFont="1" applyFill="1" applyBorder="1"/>
    <xf numFmtId="0" fontId="4" fillId="9" borderId="28" xfId="0" applyFont="1" applyFill="1" applyBorder="1" applyAlignment="1">
      <alignment horizontal="right"/>
    </xf>
    <xf numFmtId="0" fontId="4" fillId="9" borderId="31" xfId="0" applyFont="1" applyFill="1" applyBorder="1" applyProtection="1"/>
    <xf numFmtId="3" fontId="7" fillId="9" borderId="0" xfId="4" applyFont="1" applyFill="1" applyBorder="1"/>
    <xf numFmtId="4" fontId="7" fillId="9" borderId="0" xfId="1" applyNumberFormat="1" applyFont="1" applyFill="1" applyBorder="1" applyProtection="1"/>
    <xf numFmtId="3" fontId="7" fillId="9" borderId="34" xfId="0" applyNumberFormat="1" applyFont="1" applyFill="1" applyBorder="1"/>
    <xf numFmtId="3" fontId="4" fillId="8" borderId="6" xfId="4" applyFont="1" applyFill="1" applyBorder="1"/>
    <xf numFmtId="42" fontId="7" fillId="0" borderId="0" xfId="5" quotePrefix="1" applyNumberFormat="1" applyFont="1" applyFill="1" applyBorder="1" applyAlignment="1" applyProtection="1"/>
    <xf numFmtId="3" fontId="10" fillId="0" borderId="0" xfId="0" applyNumberFormat="1" applyFont="1" applyFill="1" applyBorder="1"/>
    <xf numFmtId="41" fontId="12" fillId="0" borderId="0" xfId="4" applyNumberFormat="1" applyFont="1" applyFill="1" applyBorder="1"/>
    <xf numFmtId="3" fontId="16" fillId="0" borderId="0" xfId="4" applyFont="1" applyFill="1" applyBorder="1" applyAlignment="1">
      <alignment horizontal="right"/>
    </xf>
    <xf numFmtId="42" fontId="17" fillId="0" borderId="0" xfId="0" applyNumberFormat="1" applyFont="1" applyFill="1" applyBorder="1"/>
    <xf numFmtId="22" fontId="20" fillId="0" borderId="0" xfId="0" applyNumberFormat="1" applyFont="1" applyFill="1" applyBorder="1"/>
    <xf numFmtId="0" fontId="22" fillId="0" borderId="0" xfId="0" applyFont="1" applyFill="1" applyBorder="1"/>
    <xf numFmtId="0" fontId="24" fillId="0" borderId="0" xfId="0" applyFont="1" applyFill="1" applyBorder="1"/>
    <xf numFmtId="42" fontId="23" fillId="0" borderId="12" xfId="0" applyNumberFormat="1" applyFont="1" applyFill="1" applyBorder="1"/>
    <xf numFmtId="0" fontId="27" fillId="0" borderId="0" xfId="0" applyFont="1" applyFill="1" applyBorder="1"/>
    <xf numFmtId="37" fontId="4" fillId="0" borderId="0" xfId="0" applyNumberFormat="1" applyFont="1" applyFill="1" applyBorder="1"/>
    <xf numFmtId="3" fontId="14" fillId="0" borderId="0" xfId="4" applyFont="1" applyFill="1" applyBorder="1" applyAlignment="1">
      <alignment horizontal="right"/>
    </xf>
    <xf numFmtId="0" fontId="15" fillId="0" borderId="0" xfId="0" applyFont="1" applyFill="1" applyBorder="1"/>
    <xf numFmtId="10" fontId="17" fillId="0" borderId="6" xfId="0" applyNumberFormat="1" applyFont="1" applyFill="1" applyBorder="1"/>
    <xf numFmtId="0" fontId="18" fillId="0" borderId="0" xfId="0" applyFont="1" applyFill="1" applyBorder="1"/>
    <xf numFmtId="41" fontId="7" fillId="0" borderId="0" xfId="6" applyNumberFormat="1" applyFont="1" applyFill="1" applyBorder="1"/>
    <xf numFmtId="165" fontId="4" fillId="0" borderId="0" xfId="0" applyNumberFormat="1" applyFont="1" applyFill="1" applyBorder="1"/>
    <xf numFmtId="0" fontId="19" fillId="0" borderId="0" xfId="0" applyFont="1" applyFill="1" applyBorder="1"/>
    <xf numFmtId="10" fontId="5" fillId="0" borderId="6" xfId="0" applyNumberFormat="1" applyFont="1" applyFill="1" applyBorder="1"/>
    <xf numFmtId="0" fontId="21" fillId="0" borderId="0" xfId="0" applyFont="1" applyFill="1" applyBorder="1"/>
    <xf numFmtId="0" fontId="22" fillId="0" borderId="6" xfId="0" applyFont="1" applyFill="1" applyBorder="1"/>
    <xf numFmtId="0" fontId="23" fillId="0" borderId="0" xfId="0" applyFont="1" applyFill="1" applyBorder="1"/>
    <xf numFmtId="0" fontId="24" fillId="0" borderId="6" xfId="0" applyFont="1" applyFill="1" applyBorder="1"/>
    <xf numFmtId="41" fontId="6" fillId="0" borderId="11" xfId="4" applyNumberFormat="1" applyFont="1" applyFill="1" applyBorder="1"/>
    <xf numFmtId="42" fontId="5" fillId="0" borderId="17" xfId="6" applyNumberFormat="1" applyFont="1" applyFill="1" applyBorder="1"/>
    <xf numFmtId="0" fontId="27" fillId="0" borderId="6" xfId="0" applyFont="1" applyFill="1" applyBorder="1"/>
    <xf numFmtId="41" fontId="5" fillId="0" borderId="0" xfId="6" applyNumberFormat="1" applyFont="1" applyFill="1" applyBorder="1"/>
    <xf numFmtId="0" fontId="5" fillId="0" borderId="8" xfId="0" applyFont="1" applyFill="1" applyBorder="1"/>
    <xf numFmtId="42" fontId="5" fillId="0" borderId="18" xfId="0" applyNumberFormat="1" applyFont="1" applyFill="1" applyBorder="1"/>
    <xf numFmtId="0" fontId="4" fillId="0" borderId="9" xfId="0" applyFont="1" applyFill="1" applyBorder="1"/>
    <xf numFmtId="3" fontId="7" fillId="0" borderId="59" xfId="4" applyFont="1" applyFill="1" applyBorder="1"/>
    <xf numFmtId="42" fontId="23" fillId="0" borderId="13" xfId="0" applyNumberFormat="1" applyFont="1" applyFill="1" applyBorder="1"/>
    <xf numFmtId="0" fontId="5" fillId="6" borderId="25" xfId="0" applyFont="1" applyFill="1" applyBorder="1" applyAlignment="1">
      <alignment horizontal="center"/>
    </xf>
    <xf numFmtId="0" fontId="4" fillId="6" borderId="26" xfId="0" applyFont="1" applyFill="1" applyBorder="1" applyAlignment="1"/>
    <xf numFmtId="0" fontId="4" fillId="6" borderId="27" xfId="0" applyFont="1" applyFill="1" applyBorder="1" applyAlignment="1">
      <alignment horizontal="center"/>
    </xf>
    <xf numFmtId="0" fontId="4" fillId="6" borderId="30" xfId="0" applyFont="1" applyFill="1" applyBorder="1" applyAlignment="1"/>
    <xf numFmtId="0" fontId="4" fillId="6" borderId="55" xfId="0" applyFont="1" applyFill="1" applyBorder="1" applyAlignment="1"/>
  </cellXfs>
  <cellStyles count="18">
    <cellStyle name="Comma" xfId="1" builtinId="3"/>
    <cellStyle name="Comma 2" xfId="16"/>
    <cellStyle name="Comma 3" xfId="17"/>
    <cellStyle name="Comma0" xfId="4"/>
    <cellStyle name="Comma0 2" xfId="9"/>
    <cellStyle name="Currency0" xfId="6"/>
    <cellStyle name="Currency0 2" xfId="10"/>
    <cellStyle name="Date" xfId="11"/>
    <cellStyle name="Fixed" xfId="12"/>
    <cellStyle name="Heading 1 2" xfId="13"/>
    <cellStyle name="Heading 2 2" xfId="14"/>
    <cellStyle name="Hyperlink" xfId="5" builtinId="8"/>
    <cellStyle name="Normal" xfId="0" builtinId="0"/>
    <cellStyle name="Normal 2" xfId="8"/>
    <cellStyle name="Normal_JUSTIFICATION" xfId="7"/>
    <cellStyle name="Percent" xfId="2" builtinId="5"/>
    <cellStyle name="Total" xfId="3" builtinId="25"/>
    <cellStyle name="Tot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V40"/>
  <sheetViews>
    <sheetView tabSelected="1" workbookViewId="0"/>
  </sheetViews>
  <sheetFormatPr defaultRowHeight="12.75"/>
  <cols>
    <col min="1" max="1" width="11" style="7" customWidth="1"/>
    <col min="2" max="2" width="32.5703125" style="7" customWidth="1"/>
    <col min="3" max="6" width="14.7109375" style="7" customWidth="1"/>
    <col min="7" max="7" width="15.5703125" style="7" customWidth="1"/>
    <col min="8" max="8" width="12.7109375" style="7" customWidth="1"/>
    <col min="9" max="9" width="24.85546875" style="6" customWidth="1"/>
    <col min="10" max="10" width="9.7109375" style="7" bestFit="1" customWidth="1"/>
    <col min="11" max="11" width="50.42578125" style="7" customWidth="1"/>
    <col min="12" max="16384" width="9.140625" style="7"/>
  </cols>
  <sheetData>
    <row r="1" spans="1:11" ht="18" customHeight="1">
      <c r="A1" s="1" t="s">
        <v>0</v>
      </c>
      <c r="B1" s="2"/>
      <c r="C1" s="3"/>
      <c r="D1" s="2"/>
      <c r="E1" s="4"/>
      <c r="F1" s="2"/>
      <c r="G1" s="2"/>
      <c r="H1" s="5"/>
    </row>
    <row r="2" spans="1:11" ht="18" customHeight="1">
      <c r="A2" s="8" t="s">
        <v>355</v>
      </c>
      <c r="C2" s="9"/>
      <c r="E2" s="10"/>
      <c r="H2" s="11"/>
      <c r="I2" s="12" t="s">
        <v>1</v>
      </c>
    </row>
    <row r="3" spans="1:11">
      <c r="A3" s="13"/>
      <c r="H3" s="11"/>
    </row>
    <row r="4" spans="1:11" ht="18" customHeight="1">
      <c r="A4" s="13"/>
      <c r="B4" s="14"/>
      <c r="C4" s="14"/>
      <c r="D4" s="14" t="s">
        <v>2</v>
      </c>
      <c r="E4" s="14" t="s">
        <v>3</v>
      </c>
      <c r="F4" s="14"/>
      <c r="G4" s="14"/>
      <c r="H4" s="15"/>
    </row>
    <row r="5" spans="1:11" ht="18" customHeight="1" thickBot="1">
      <c r="A5" s="13"/>
      <c r="B5" s="14"/>
      <c r="C5" s="16" t="s">
        <v>4</v>
      </c>
      <c r="D5" s="14" t="s">
        <v>4</v>
      </c>
      <c r="E5" s="14" t="s">
        <v>5</v>
      </c>
      <c r="F5" s="14" t="s">
        <v>6</v>
      </c>
      <c r="G5" s="14" t="s">
        <v>7</v>
      </c>
      <c r="H5" s="15" t="s">
        <v>8</v>
      </c>
    </row>
    <row r="6" spans="1:11" ht="18" customHeight="1" thickBot="1">
      <c r="A6" s="17" t="s">
        <v>9</v>
      </c>
      <c r="B6" s="18"/>
      <c r="C6" s="19">
        <v>2016</v>
      </c>
      <c r="D6" s="19">
        <v>2017</v>
      </c>
      <c r="E6" s="19">
        <v>2017</v>
      </c>
      <c r="F6" s="19">
        <v>2017</v>
      </c>
      <c r="G6" s="19">
        <v>2018</v>
      </c>
      <c r="H6" s="20" t="s">
        <v>10</v>
      </c>
      <c r="I6" s="21" t="s">
        <v>11</v>
      </c>
    </row>
    <row r="7" spans="1:11">
      <c r="A7" s="22"/>
      <c r="B7" s="2"/>
      <c r="C7" s="2"/>
      <c r="D7" s="2"/>
      <c r="E7" s="2"/>
      <c r="F7" s="2"/>
      <c r="G7" s="2"/>
      <c r="H7" s="5"/>
    </row>
    <row r="8" spans="1:11" ht="18" customHeight="1">
      <c r="A8" s="23" t="s">
        <v>12</v>
      </c>
      <c r="C8" s="24"/>
      <c r="D8" s="24"/>
      <c r="E8" s="25"/>
      <c r="F8" s="24"/>
      <c r="G8" s="24"/>
      <c r="H8" s="26"/>
      <c r="I8" s="27"/>
      <c r="J8" s="28"/>
    </row>
    <row r="9" spans="1:11" ht="18" customHeight="1">
      <c r="A9" s="29">
        <v>41110</v>
      </c>
      <c r="B9" s="30" t="s">
        <v>13</v>
      </c>
      <c r="C9" s="31">
        <v>830065</v>
      </c>
      <c r="D9" s="31">
        <v>830065</v>
      </c>
      <c r="E9" s="31">
        <v>830065</v>
      </c>
      <c r="F9" s="31">
        <v>830065</v>
      </c>
      <c r="G9" s="439">
        <f>760748+13100+18236</f>
        <v>792084</v>
      </c>
      <c r="H9" s="32"/>
      <c r="I9" s="33"/>
      <c r="J9" s="28"/>
      <c r="K9" s="28"/>
    </row>
    <row r="10" spans="1:11" ht="18" customHeight="1">
      <c r="A10" s="29">
        <v>41110</v>
      </c>
      <c r="B10" s="30" t="s">
        <v>14</v>
      </c>
      <c r="C10" s="34">
        <v>386201</v>
      </c>
      <c r="D10" s="34">
        <v>306771</v>
      </c>
      <c r="E10" s="34">
        <v>306771</v>
      </c>
      <c r="F10" s="34">
        <v>306771</v>
      </c>
      <c r="G10" s="34">
        <f>382858-55000</f>
        <v>327858</v>
      </c>
      <c r="H10" s="32"/>
      <c r="I10" s="33"/>
      <c r="J10" s="28"/>
      <c r="K10" s="28"/>
    </row>
    <row r="11" spans="1:11" ht="18" customHeight="1">
      <c r="A11" s="13">
        <v>43570</v>
      </c>
      <c r="B11" s="7" t="s">
        <v>15</v>
      </c>
      <c r="C11" s="208">
        <v>1625</v>
      </c>
      <c r="D11" s="34">
        <v>0</v>
      </c>
      <c r="E11" s="35">
        <v>1625</v>
      </c>
      <c r="F11" s="35">
        <v>1625</v>
      </c>
      <c r="G11" s="35">
        <v>1625</v>
      </c>
      <c r="H11" s="36"/>
      <c r="I11" s="37"/>
      <c r="J11" s="38"/>
      <c r="K11" s="28"/>
    </row>
    <row r="12" spans="1:11" ht="18" customHeight="1">
      <c r="A12" s="13">
        <v>43720</v>
      </c>
      <c r="B12" s="7" t="s">
        <v>16</v>
      </c>
      <c r="C12" s="34">
        <v>519952</v>
      </c>
      <c r="D12" s="34">
        <v>567974</v>
      </c>
      <c r="E12" s="35">
        <v>567974</v>
      </c>
      <c r="F12" s="35">
        <v>567974</v>
      </c>
      <c r="G12" s="440">
        <v>610606</v>
      </c>
      <c r="H12" s="36"/>
      <c r="I12" s="27" t="s">
        <v>368</v>
      </c>
      <c r="J12" s="38"/>
    </row>
    <row r="13" spans="1:11" ht="18" customHeight="1">
      <c r="A13" s="13">
        <v>43722</v>
      </c>
      <c r="B13" s="7" t="s">
        <v>17</v>
      </c>
      <c r="C13" s="34">
        <v>127199</v>
      </c>
      <c r="D13" s="34">
        <v>154862</v>
      </c>
      <c r="E13" s="35">
        <v>154862</v>
      </c>
      <c r="F13" s="35">
        <v>154862</v>
      </c>
      <c r="G13" s="440">
        <v>189043</v>
      </c>
      <c r="H13" s="36"/>
      <c r="I13" s="39" t="s">
        <v>368</v>
      </c>
      <c r="J13" s="38"/>
    </row>
    <row r="14" spans="1:11" ht="18" customHeight="1">
      <c r="A14" s="13">
        <v>45140</v>
      </c>
      <c r="B14" s="7" t="s">
        <v>18</v>
      </c>
      <c r="C14" s="34">
        <v>29763</v>
      </c>
      <c r="D14" s="34">
        <v>16272</v>
      </c>
      <c r="E14" s="35">
        <v>31159</v>
      </c>
      <c r="F14" s="35">
        <v>32544</v>
      </c>
      <c r="G14" s="35">
        <v>32500</v>
      </c>
      <c r="H14" s="36"/>
      <c r="I14" s="33"/>
      <c r="J14" s="38"/>
    </row>
    <row r="15" spans="1:11" ht="18" customHeight="1">
      <c r="A15" s="13">
        <v>46193</v>
      </c>
      <c r="B15" s="7" t="s">
        <v>19</v>
      </c>
      <c r="C15" s="34">
        <v>6111</v>
      </c>
      <c r="D15" s="34">
        <v>3062</v>
      </c>
      <c r="E15" s="35">
        <v>3316</v>
      </c>
      <c r="F15" s="35">
        <v>6124</v>
      </c>
      <c r="G15" s="35">
        <v>6100</v>
      </c>
      <c r="H15" s="36"/>
      <c r="I15" s="33"/>
      <c r="J15" s="38"/>
    </row>
    <row r="16" spans="1:11" ht="18" customHeight="1">
      <c r="A16" s="13">
        <v>46194</v>
      </c>
      <c r="B16" s="7" t="s">
        <v>20</v>
      </c>
      <c r="C16" s="34">
        <v>898</v>
      </c>
      <c r="D16" s="34">
        <v>409</v>
      </c>
      <c r="E16" s="35">
        <v>1030</v>
      </c>
      <c r="F16" s="35">
        <v>818</v>
      </c>
      <c r="G16" s="35">
        <v>800</v>
      </c>
      <c r="H16" s="36"/>
      <c r="I16" s="33"/>
      <c r="J16" s="38"/>
    </row>
    <row r="17" spans="1:256" ht="18" customHeight="1">
      <c r="A17" s="13">
        <v>46910</v>
      </c>
      <c r="B17" s="7" t="s">
        <v>21</v>
      </c>
      <c r="C17" s="34">
        <v>13260</v>
      </c>
      <c r="D17" s="34">
        <v>12897</v>
      </c>
      <c r="E17" s="35">
        <v>12569</v>
      </c>
      <c r="F17" s="35">
        <v>16047</v>
      </c>
      <c r="G17" s="35">
        <v>15854</v>
      </c>
      <c r="H17" s="36"/>
      <c r="I17" s="33"/>
      <c r="J17" s="38"/>
    </row>
    <row r="18" spans="1:256" ht="18" hidden="1" customHeight="1">
      <c r="A18" s="13">
        <v>48110</v>
      </c>
      <c r="B18" s="7" t="s">
        <v>22</v>
      </c>
      <c r="C18" s="34">
        <v>0</v>
      </c>
      <c r="D18" s="34">
        <v>0</v>
      </c>
      <c r="E18" s="35"/>
      <c r="F18" s="35">
        <v>0</v>
      </c>
      <c r="G18" s="35"/>
      <c r="H18" s="36"/>
      <c r="I18" s="33"/>
      <c r="J18" s="38"/>
    </row>
    <row r="19" spans="1:256" ht="18" hidden="1" customHeight="1">
      <c r="A19" s="13">
        <v>48200</v>
      </c>
      <c r="B19" s="7" t="s">
        <v>23</v>
      </c>
      <c r="C19" s="34">
        <v>0</v>
      </c>
      <c r="D19" s="34">
        <v>0</v>
      </c>
      <c r="E19" s="35">
        <v>0</v>
      </c>
      <c r="F19" s="35">
        <v>0</v>
      </c>
      <c r="G19" s="35">
        <v>0</v>
      </c>
      <c r="H19" s="36"/>
      <c r="I19" s="40"/>
      <c r="J19" s="38"/>
    </row>
    <row r="20" spans="1:256" ht="18" customHeight="1">
      <c r="A20" s="13">
        <v>48500</v>
      </c>
      <c r="B20" s="7" t="s">
        <v>24</v>
      </c>
      <c r="C20" s="34">
        <v>0</v>
      </c>
      <c r="D20" s="34">
        <v>0</v>
      </c>
      <c r="E20" s="35">
        <v>0</v>
      </c>
      <c r="F20" s="35">
        <v>0</v>
      </c>
      <c r="G20" s="35">
        <v>0</v>
      </c>
      <c r="H20" s="36"/>
      <c r="I20" s="33"/>
      <c r="J20" s="38"/>
    </row>
    <row r="21" spans="1:256" ht="18" hidden="1" customHeight="1">
      <c r="A21" s="13">
        <v>48501</v>
      </c>
      <c r="B21" s="7" t="s">
        <v>25</v>
      </c>
      <c r="C21" s="34">
        <v>0</v>
      </c>
      <c r="D21" s="34">
        <v>0</v>
      </c>
      <c r="E21" s="35">
        <v>0</v>
      </c>
      <c r="F21" s="35"/>
      <c r="G21" s="35">
        <v>0</v>
      </c>
      <c r="H21" s="36"/>
      <c r="I21" s="33"/>
      <c r="J21" s="38"/>
    </row>
    <row r="22" spans="1:256" ht="18" hidden="1" customHeight="1">
      <c r="A22" s="13">
        <v>48503</v>
      </c>
      <c r="B22" s="7" t="s">
        <v>26</v>
      </c>
      <c r="C22" s="34">
        <v>0</v>
      </c>
      <c r="D22" s="34">
        <v>0</v>
      </c>
      <c r="E22" s="35">
        <v>0</v>
      </c>
      <c r="F22" s="35">
        <v>0</v>
      </c>
      <c r="G22" s="35">
        <v>0</v>
      </c>
      <c r="H22" s="36"/>
      <c r="I22" s="33"/>
      <c r="J22" s="38"/>
    </row>
    <row r="23" spans="1:256" ht="18" customHeight="1">
      <c r="A23" s="13">
        <v>48902</v>
      </c>
      <c r="B23" s="7" t="s">
        <v>27</v>
      </c>
      <c r="C23" s="34">
        <v>76509</v>
      </c>
      <c r="D23" s="34">
        <v>21379</v>
      </c>
      <c r="E23" s="35">
        <v>35000</v>
      </c>
      <c r="F23" s="35">
        <v>31379</v>
      </c>
      <c r="G23" s="35">
        <v>35000</v>
      </c>
      <c r="H23" s="36"/>
      <c r="I23" s="33"/>
      <c r="J23" s="38"/>
    </row>
    <row r="24" spans="1:256" ht="18" customHeight="1">
      <c r="A24" s="13">
        <v>48903</v>
      </c>
      <c r="B24" s="7" t="s">
        <v>28</v>
      </c>
      <c r="C24" s="34">
        <v>0</v>
      </c>
      <c r="D24" s="34">
        <v>0</v>
      </c>
      <c r="E24" s="35">
        <v>0</v>
      </c>
      <c r="F24" s="35">
        <v>0</v>
      </c>
      <c r="G24" s="35">
        <v>0</v>
      </c>
      <c r="H24" s="36"/>
      <c r="I24" s="33"/>
      <c r="J24" s="38"/>
    </row>
    <row r="25" spans="1:256" ht="18" customHeight="1">
      <c r="A25" s="13">
        <v>49200</v>
      </c>
      <c r="B25" s="41" t="s">
        <v>29</v>
      </c>
      <c r="C25" s="34">
        <v>75000</v>
      </c>
      <c r="D25" s="34">
        <v>55000</v>
      </c>
      <c r="E25" s="34">
        <v>55000</v>
      </c>
      <c r="F25" s="34">
        <v>55000</v>
      </c>
      <c r="G25" s="34">
        <v>55000</v>
      </c>
      <c r="H25" s="36"/>
      <c r="I25" s="33"/>
      <c r="J25" s="42"/>
      <c r="K25" s="43"/>
    </row>
    <row r="26" spans="1:256" ht="18" hidden="1" customHeight="1">
      <c r="A26" s="44">
        <v>49300</v>
      </c>
      <c r="B26" s="45" t="s">
        <v>30</v>
      </c>
      <c r="C26" s="34">
        <v>0</v>
      </c>
      <c r="D26" s="34">
        <v>0</v>
      </c>
      <c r="E26" s="46">
        <v>0</v>
      </c>
      <c r="F26" s="441">
        <v>0</v>
      </c>
      <c r="G26" s="441">
        <v>0</v>
      </c>
      <c r="H26" s="47"/>
      <c r="I26" s="48"/>
      <c r="J26" s="49"/>
      <c r="K26" s="50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</row>
    <row r="27" spans="1:256" ht="18" customHeight="1" thickBot="1">
      <c r="A27" s="51" t="s">
        <v>31</v>
      </c>
      <c r="B27" s="52"/>
      <c r="C27" s="53">
        <f>SUM(C9:C26)</f>
        <v>2066583</v>
      </c>
      <c r="D27" s="53">
        <f>SUM(D9:D26)</f>
        <v>1968691</v>
      </c>
      <c r="E27" s="53">
        <v>1999371</v>
      </c>
      <c r="F27" s="53">
        <f>SUM(F9:F26)</f>
        <v>2003209</v>
      </c>
      <c r="G27" s="53">
        <f>SUM(G9:G26)</f>
        <v>2066470</v>
      </c>
      <c r="H27" s="54">
        <f>ROUND((G27-E27)/E27,6)</f>
        <v>3.356E-2</v>
      </c>
      <c r="I27" s="33"/>
      <c r="K27" s="43"/>
    </row>
    <row r="28" spans="1:256">
      <c r="A28" s="13"/>
      <c r="B28" s="7" t="s">
        <v>32</v>
      </c>
      <c r="E28" s="449">
        <f>+E27-'LINE ITEM EXP'!E66</f>
        <v>-0.42599999997764826</v>
      </c>
      <c r="H28" s="11"/>
      <c r="K28" s="43"/>
    </row>
    <row r="29" spans="1:256">
      <c r="A29" s="13"/>
      <c r="D29" s="450" t="s">
        <v>33</v>
      </c>
      <c r="E29" s="451" t="s">
        <v>34</v>
      </c>
      <c r="F29" s="442"/>
      <c r="G29" s="443">
        <f>+G9-E9</f>
        <v>-37981</v>
      </c>
      <c r="H29" s="452">
        <f>ROUND((G29/($E9)),4)</f>
        <v>-4.58E-2</v>
      </c>
      <c r="K29" s="43"/>
    </row>
    <row r="30" spans="1:256">
      <c r="A30" s="13"/>
      <c r="B30" s="10" t="s">
        <v>360</v>
      </c>
      <c r="C30" s="69">
        <v>406780</v>
      </c>
      <c r="D30" s="450" t="s">
        <v>35</v>
      </c>
      <c r="E30" s="451" t="s">
        <v>34</v>
      </c>
      <c r="F30" s="442"/>
      <c r="G30" s="443">
        <f>+G10-E10</f>
        <v>21087</v>
      </c>
      <c r="H30" s="452">
        <f>ROUND((G30/($E10)),4)</f>
        <v>6.8699999999999997E-2</v>
      </c>
      <c r="K30" s="43"/>
    </row>
    <row r="31" spans="1:256">
      <c r="A31" s="13"/>
      <c r="B31" s="453"/>
      <c r="C31" s="454"/>
      <c r="D31" s="455"/>
      <c r="E31" s="456"/>
      <c r="F31" s="444"/>
      <c r="G31" s="69">
        <f>SUM(G29:G30)</f>
        <v>-16894</v>
      </c>
      <c r="H31" s="457">
        <f>ROUND((G31/($E$9)),4)</f>
        <v>-2.0400000000000001E-2</v>
      </c>
      <c r="K31" s="43"/>
    </row>
    <row r="32" spans="1:256" ht="15">
      <c r="A32" s="13"/>
      <c r="B32" s="7" t="s">
        <v>359</v>
      </c>
      <c r="C32" s="34">
        <f>F27</f>
        <v>2003209</v>
      </c>
      <c r="E32" s="458" t="s">
        <v>36</v>
      </c>
      <c r="F32" s="445"/>
      <c r="G32" s="445"/>
      <c r="H32" s="459"/>
      <c r="K32" s="43"/>
    </row>
    <row r="33" spans="1:13" ht="15.75" thickBot="1">
      <c r="A33" s="13"/>
      <c r="B33" s="7" t="s">
        <v>358</v>
      </c>
      <c r="C33" s="34">
        <f>-'LINE ITEM EXP'!F66</f>
        <v>-1797681.1600000001</v>
      </c>
      <c r="E33" s="460" t="s">
        <v>37</v>
      </c>
      <c r="F33" s="446"/>
      <c r="G33" s="446"/>
      <c r="H33" s="461"/>
    </row>
    <row r="34" spans="1:13" ht="14.25" thickTop="1" thickBot="1">
      <c r="A34" s="13"/>
      <c r="B34" s="10" t="s">
        <v>38</v>
      </c>
      <c r="C34" s="462"/>
      <c r="E34" s="447">
        <v>604901</v>
      </c>
      <c r="F34" s="447">
        <v>643291</v>
      </c>
      <c r="G34" s="447">
        <v>827339</v>
      </c>
      <c r="H34" s="470">
        <v>1101693</v>
      </c>
      <c r="J34" s="55" t="s">
        <v>39</v>
      </c>
      <c r="K34" s="56"/>
      <c r="L34" s="56"/>
      <c r="M34" s="57"/>
    </row>
    <row r="35" spans="1:13" ht="14.25" thickTop="1" thickBot="1">
      <c r="A35" s="13"/>
      <c r="B35" s="10" t="s">
        <v>40</v>
      </c>
      <c r="C35" s="463">
        <f>SUM(C30:C34)</f>
        <v>612307.83999999985</v>
      </c>
      <c r="E35" s="448">
        <v>2015</v>
      </c>
      <c r="F35" s="448">
        <v>2016</v>
      </c>
      <c r="G35" s="448">
        <v>2017</v>
      </c>
      <c r="H35" s="464">
        <v>2018</v>
      </c>
    </row>
    <row r="36" spans="1:13" ht="13.5" thickTop="1">
      <c r="A36" s="13"/>
      <c r="B36" s="10" t="s">
        <v>361</v>
      </c>
      <c r="C36" s="465">
        <f>+G27</f>
        <v>2066470</v>
      </c>
      <c r="E36" s="448"/>
      <c r="F36" s="448"/>
      <c r="G36" s="448"/>
      <c r="H36" s="464"/>
    </row>
    <row r="37" spans="1:13">
      <c r="A37" s="13"/>
      <c r="B37" s="10" t="s">
        <v>362</v>
      </c>
      <c r="C37" s="465">
        <f>+'LINE ITEM EXP'!I66</f>
        <v>2169470</v>
      </c>
      <c r="E37" s="448"/>
      <c r="F37" s="448"/>
      <c r="G37" s="448"/>
      <c r="H37" s="464"/>
    </row>
    <row r="38" spans="1:13">
      <c r="A38" s="13"/>
      <c r="B38" s="10" t="s">
        <v>363</v>
      </c>
      <c r="C38" s="465"/>
      <c r="E38" s="448"/>
      <c r="F38" s="448"/>
      <c r="G38" s="448"/>
      <c r="H38" s="464"/>
    </row>
    <row r="39" spans="1:13" ht="13.5" thickBot="1">
      <c r="A39" s="17"/>
      <c r="B39" s="466" t="s">
        <v>40</v>
      </c>
      <c r="C39" s="467">
        <f>+C35+C36-C37</f>
        <v>509307.83999999985</v>
      </c>
      <c r="D39" s="52"/>
      <c r="E39" s="52"/>
      <c r="F39" s="52"/>
      <c r="G39" s="52"/>
      <c r="H39" s="468"/>
    </row>
    <row r="40" spans="1:13">
      <c r="A40" s="58"/>
    </row>
  </sheetData>
  <protectedRanges>
    <protectedRange sqref="I6:Q42" name="Range2"/>
    <protectedRange sqref="H34" name="Range3"/>
    <protectedRange sqref="F11:G24" name="Range4"/>
  </protectedRanges>
  <pageMargins left="0.7" right="0.7" top="0.75" bottom="0.75" header="0.3" footer="0.3"/>
  <pageSetup scale="6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125"/>
  <sheetViews>
    <sheetView topLeftCell="A47" workbookViewId="0"/>
  </sheetViews>
  <sheetFormatPr defaultRowHeight="12.75"/>
  <cols>
    <col min="1" max="1" width="11" style="7" customWidth="1"/>
    <col min="2" max="2" width="34.140625" style="7" customWidth="1"/>
    <col min="3" max="6" width="14.7109375" style="7" customWidth="1"/>
    <col min="7" max="8" width="12.7109375" style="7" hidden="1" customWidth="1"/>
    <col min="9" max="9" width="15.5703125" style="7" customWidth="1"/>
    <col min="10" max="10" width="12.7109375" style="7" customWidth="1"/>
    <col min="11" max="11" width="7.28515625" style="6" customWidth="1"/>
    <col min="12" max="12" width="9.7109375" style="7" bestFit="1" customWidth="1"/>
    <col min="13" max="16384" width="9.140625" style="7"/>
  </cols>
  <sheetData>
    <row r="1" spans="1:256" ht="18" customHeight="1">
      <c r="A1" s="1" t="s">
        <v>41</v>
      </c>
      <c r="B1" s="2"/>
      <c r="C1" s="3"/>
      <c r="D1" s="4"/>
      <c r="E1" s="2"/>
      <c r="F1" s="2"/>
      <c r="G1" s="2"/>
      <c r="H1" s="2"/>
      <c r="I1" s="2"/>
      <c r="J1" s="5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59"/>
      <c r="IR1" s="59"/>
      <c r="IS1" s="59"/>
      <c r="IT1" s="59"/>
      <c r="IU1" s="59"/>
      <c r="IV1" s="59"/>
    </row>
    <row r="2" spans="1:256" ht="18" customHeight="1">
      <c r="A2" s="8" t="s">
        <v>355</v>
      </c>
      <c r="C2" s="9"/>
      <c r="J2" s="11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</row>
    <row r="3" spans="1:256">
      <c r="A3" s="13"/>
      <c r="J3" s="11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</row>
    <row r="4" spans="1:256" ht="18" customHeight="1">
      <c r="A4" s="13"/>
      <c r="C4" s="14"/>
      <c r="D4" s="16" t="s">
        <v>2</v>
      </c>
      <c r="E4" s="14" t="s">
        <v>3</v>
      </c>
      <c r="F4" s="14"/>
      <c r="G4" s="14">
        <v>2017</v>
      </c>
      <c r="H4" s="14" t="s">
        <v>42</v>
      </c>
      <c r="I4" s="14"/>
      <c r="J4" s="15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  <c r="IO4" s="59"/>
      <c r="IP4" s="59"/>
      <c r="IQ4" s="59"/>
      <c r="IR4" s="59"/>
      <c r="IS4" s="59"/>
      <c r="IT4" s="59"/>
      <c r="IU4" s="59"/>
      <c r="IV4" s="59"/>
    </row>
    <row r="5" spans="1:256" ht="18" customHeight="1" thickBot="1">
      <c r="A5" s="13"/>
      <c r="C5" s="14" t="s">
        <v>4</v>
      </c>
      <c r="D5" s="16" t="s">
        <v>4</v>
      </c>
      <c r="E5" s="14" t="s">
        <v>5</v>
      </c>
      <c r="F5" s="14" t="s">
        <v>6</v>
      </c>
      <c r="G5" s="14" t="s">
        <v>43</v>
      </c>
      <c r="H5" s="14" t="s">
        <v>44</v>
      </c>
      <c r="I5" s="14" t="s">
        <v>7</v>
      </c>
      <c r="J5" s="15" t="s">
        <v>8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  <c r="IH5" s="59"/>
      <c r="II5" s="59"/>
      <c r="IJ5" s="59"/>
      <c r="IK5" s="59"/>
      <c r="IL5" s="59"/>
      <c r="IM5" s="59"/>
      <c r="IN5" s="59"/>
      <c r="IO5" s="59"/>
      <c r="IP5" s="59"/>
      <c r="IQ5" s="59"/>
      <c r="IR5" s="59"/>
      <c r="IS5" s="59"/>
      <c r="IT5" s="59"/>
      <c r="IU5" s="59"/>
      <c r="IV5" s="59"/>
    </row>
    <row r="6" spans="1:256" ht="18" customHeight="1" thickBot="1">
      <c r="A6" s="51" t="s">
        <v>45</v>
      </c>
      <c r="B6" s="52"/>
      <c r="C6" s="19">
        <v>2016</v>
      </c>
      <c r="D6" s="19">
        <v>2017</v>
      </c>
      <c r="E6" s="19">
        <v>2017</v>
      </c>
      <c r="F6" s="19">
        <v>2017</v>
      </c>
      <c r="G6" s="19" t="s">
        <v>46</v>
      </c>
      <c r="H6" s="19" t="s">
        <v>47</v>
      </c>
      <c r="I6" s="19">
        <v>2018</v>
      </c>
      <c r="J6" s="20" t="s">
        <v>10</v>
      </c>
      <c r="K6" s="21" t="s">
        <v>11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  <c r="IN6" s="59"/>
      <c r="IO6" s="59"/>
      <c r="IP6" s="59"/>
      <c r="IQ6" s="59"/>
      <c r="IR6" s="59"/>
      <c r="IS6" s="59"/>
      <c r="IT6" s="59"/>
      <c r="IU6" s="59"/>
      <c r="IV6" s="59"/>
    </row>
    <row r="7" spans="1:256">
      <c r="A7" s="60"/>
      <c r="D7" s="61"/>
      <c r="E7" s="61"/>
      <c r="J7" s="62"/>
    </row>
    <row r="8" spans="1:256" ht="18" customHeight="1">
      <c r="A8" s="60" t="s">
        <v>48</v>
      </c>
      <c r="B8" s="10"/>
      <c r="C8" s="28"/>
      <c r="D8" s="28"/>
      <c r="E8" s="28"/>
      <c r="F8" s="28"/>
      <c r="G8" s="28"/>
      <c r="H8" s="28"/>
      <c r="I8" s="28"/>
      <c r="J8" s="63"/>
    </row>
    <row r="9" spans="1:256" ht="18" customHeight="1">
      <c r="A9" s="64">
        <v>110</v>
      </c>
      <c r="B9" s="7" t="s">
        <v>49</v>
      </c>
      <c r="C9" s="65">
        <v>475796</v>
      </c>
      <c r="D9" s="65">
        <v>225948</v>
      </c>
      <c r="E9" s="65">
        <v>531276</v>
      </c>
      <c r="F9" s="65">
        <f>JUSTIFICATION!K22</f>
        <v>465000</v>
      </c>
      <c r="G9" s="65">
        <f>JUSTIFICATION!L22</f>
        <v>534455</v>
      </c>
      <c r="H9" s="65">
        <f>JUSTIFICATION!M22</f>
        <v>26395</v>
      </c>
      <c r="I9" s="65">
        <f t="shared" ref="I9:I17" si="0">G9+H9</f>
        <v>560850</v>
      </c>
      <c r="J9" s="62"/>
      <c r="K9" s="66">
        <v>20</v>
      </c>
      <c r="L9" s="65"/>
    </row>
    <row r="10" spans="1:256" ht="18" customHeight="1">
      <c r="A10" s="64">
        <v>111</v>
      </c>
      <c r="B10" s="7" t="s">
        <v>50</v>
      </c>
      <c r="C10" s="67">
        <v>7577</v>
      </c>
      <c r="D10" s="67">
        <v>3720</v>
      </c>
      <c r="E10" s="67">
        <v>8672</v>
      </c>
      <c r="F10" s="67">
        <f>JUSTIFICATION!K39</f>
        <v>7440</v>
      </c>
      <c r="G10" s="67">
        <f>JUSTIFICATION!L39</f>
        <v>8271</v>
      </c>
      <c r="H10" s="67">
        <f>JUSTIFICATION!M39</f>
        <v>489</v>
      </c>
      <c r="I10" s="67">
        <f t="shared" si="0"/>
        <v>8760</v>
      </c>
      <c r="J10" s="62"/>
      <c r="K10" s="66">
        <v>21</v>
      </c>
      <c r="L10" s="68"/>
    </row>
    <row r="11" spans="1:256" ht="18" customHeight="1">
      <c r="A11" s="64">
        <v>120</v>
      </c>
      <c r="B11" s="7" t="s">
        <v>51</v>
      </c>
      <c r="C11" s="67">
        <v>234125</v>
      </c>
      <c r="D11" s="67">
        <v>140437</v>
      </c>
      <c r="E11" s="67">
        <v>291418</v>
      </c>
      <c r="F11" s="67">
        <f>JUSTIFICATION!K85</f>
        <v>281000</v>
      </c>
      <c r="G11" s="67">
        <f>JUSTIFICATION!L85</f>
        <v>344178</v>
      </c>
      <c r="H11" s="67">
        <f>JUSTIFICATION!M85</f>
        <v>11549</v>
      </c>
      <c r="I11" s="67">
        <f t="shared" si="0"/>
        <v>355727</v>
      </c>
      <c r="J11" s="62"/>
      <c r="K11" s="66">
        <v>22</v>
      </c>
      <c r="L11" s="68"/>
    </row>
    <row r="12" spans="1:256" ht="18" customHeight="1">
      <c r="A12" s="64">
        <v>130</v>
      </c>
      <c r="B12" s="7" t="s">
        <v>52</v>
      </c>
      <c r="C12" s="67">
        <v>78197</v>
      </c>
      <c r="D12" s="67">
        <v>29786</v>
      </c>
      <c r="E12" s="67">
        <v>98467.425999999992</v>
      </c>
      <c r="F12" s="67">
        <f>JUSTIFICATION!K105</f>
        <v>59572</v>
      </c>
      <c r="G12" s="67">
        <f>JUSTIFICATION!L105</f>
        <v>96243</v>
      </c>
      <c r="H12" s="67">
        <f>JUSTIFICATION!M105</f>
        <v>0</v>
      </c>
      <c r="I12" s="67">
        <f t="shared" si="0"/>
        <v>96243</v>
      </c>
      <c r="J12" s="62"/>
      <c r="K12" s="66">
        <v>23</v>
      </c>
      <c r="L12" s="68"/>
    </row>
    <row r="13" spans="1:256" ht="18" customHeight="1">
      <c r="A13" s="64">
        <v>131</v>
      </c>
      <c r="B13" s="7" t="s">
        <v>53</v>
      </c>
      <c r="C13" s="67">
        <v>7697</v>
      </c>
      <c r="D13" s="67">
        <v>3510</v>
      </c>
      <c r="E13" s="67">
        <v>11342</v>
      </c>
      <c r="F13" s="67">
        <f>JUSTIFICATION!K124</f>
        <v>7020</v>
      </c>
      <c r="G13" s="67">
        <f>JUSTIFICATION!L124</f>
        <v>8891</v>
      </c>
      <c r="H13" s="67">
        <f>JUSTIFICATION!M124</f>
        <v>0</v>
      </c>
      <c r="I13" s="67">
        <f t="shared" si="0"/>
        <v>8891</v>
      </c>
      <c r="J13" s="62"/>
      <c r="K13" s="66">
        <v>24</v>
      </c>
      <c r="L13" s="68"/>
    </row>
    <row r="14" spans="1:256" ht="18" customHeight="1">
      <c r="A14" s="64">
        <v>132</v>
      </c>
      <c r="B14" s="7" t="s">
        <v>54</v>
      </c>
      <c r="C14" s="67">
        <v>52772</v>
      </c>
      <c r="D14" s="67">
        <v>27105</v>
      </c>
      <c r="E14" s="67">
        <v>63600</v>
      </c>
      <c r="F14" s="67">
        <f>JUSTIFICATION!K128</f>
        <v>57638.159999999996</v>
      </c>
      <c r="G14" s="67">
        <f>JUSTIFICATION!L128</f>
        <v>67848</v>
      </c>
      <c r="H14" s="67">
        <f>JUSTIFICATION!M128</f>
        <v>2940</v>
      </c>
      <c r="I14" s="67">
        <f t="shared" si="0"/>
        <v>70788</v>
      </c>
      <c r="J14" s="62"/>
      <c r="K14" s="66">
        <v>25</v>
      </c>
      <c r="L14" s="68"/>
    </row>
    <row r="15" spans="1:256" ht="18" customHeight="1">
      <c r="A15" s="64">
        <v>133</v>
      </c>
      <c r="B15" s="7" t="s">
        <v>55</v>
      </c>
      <c r="C15" s="67">
        <v>953</v>
      </c>
      <c r="D15" s="67">
        <v>422</v>
      </c>
      <c r="E15" s="67">
        <v>1240</v>
      </c>
      <c r="F15" s="67">
        <f>JUSTIFICATION!K146</f>
        <v>844</v>
      </c>
      <c r="G15" s="67">
        <f>JUSTIFICATION!L146</f>
        <v>995</v>
      </c>
      <c r="H15" s="67">
        <f>JUSTIFICATION!M146</f>
        <v>0</v>
      </c>
      <c r="I15" s="67">
        <f t="shared" si="0"/>
        <v>995</v>
      </c>
      <c r="J15" s="62"/>
      <c r="K15" s="66">
        <v>26</v>
      </c>
      <c r="L15" s="68"/>
    </row>
    <row r="16" spans="1:256" ht="18" customHeight="1">
      <c r="A16" s="64">
        <v>134</v>
      </c>
      <c r="B16" s="7" t="s">
        <v>56</v>
      </c>
      <c r="C16" s="67">
        <v>37007</v>
      </c>
      <c r="D16" s="67">
        <v>18763</v>
      </c>
      <c r="E16" s="67">
        <v>44762</v>
      </c>
      <c r="F16" s="67">
        <f>JUSTIFICATION!K154</f>
        <v>37526</v>
      </c>
      <c r="G16" s="67">
        <f>JUSTIFICATION!L154</f>
        <v>42811</v>
      </c>
      <c r="H16" s="67">
        <f>JUSTIFICATION!M154</f>
        <v>1775</v>
      </c>
      <c r="I16" s="67">
        <f t="shared" si="0"/>
        <v>44586</v>
      </c>
      <c r="J16" s="62"/>
      <c r="K16" s="66">
        <v>27</v>
      </c>
      <c r="L16" s="68"/>
    </row>
    <row r="17" spans="1:12" ht="18" customHeight="1">
      <c r="A17" s="64">
        <v>140</v>
      </c>
      <c r="B17" s="7" t="s">
        <v>356</v>
      </c>
      <c r="C17" s="67">
        <v>2707</v>
      </c>
      <c r="D17" s="67">
        <v>1961</v>
      </c>
      <c r="E17" s="67">
        <v>0</v>
      </c>
      <c r="F17" s="67">
        <f>JUSTIFICATION!K170</f>
        <v>0</v>
      </c>
      <c r="G17" s="67">
        <f>JUSTIFICATION!L170</f>
        <v>0</v>
      </c>
      <c r="H17" s="67">
        <f>JUSTIFICATION!M170</f>
        <v>0</v>
      </c>
      <c r="I17" s="67">
        <f t="shared" si="0"/>
        <v>0</v>
      </c>
      <c r="J17" s="62"/>
      <c r="K17" s="66">
        <v>28</v>
      </c>
      <c r="L17" s="68"/>
    </row>
    <row r="18" spans="1:12" ht="18" customHeight="1">
      <c r="A18" s="64"/>
      <c r="B18" s="10" t="s">
        <v>57</v>
      </c>
      <c r="C18" s="69">
        <f t="shared" ref="C18:I18" si="1">SUM(C9:C17)</f>
        <v>896831</v>
      </c>
      <c r="D18" s="69">
        <f t="shared" si="1"/>
        <v>451652</v>
      </c>
      <c r="E18" s="69">
        <f t="shared" si="1"/>
        <v>1050777.426</v>
      </c>
      <c r="F18" s="69">
        <f t="shared" si="1"/>
        <v>916040.16</v>
      </c>
      <c r="G18" s="69">
        <f t="shared" si="1"/>
        <v>1103692</v>
      </c>
      <c r="H18" s="69">
        <f t="shared" si="1"/>
        <v>43148</v>
      </c>
      <c r="I18" s="69">
        <f t="shared" si="1"/>
        <v>1146840</v>
      </c>
      <c r="J18" s="70">
        <f>ROUND((+I18-E18)/E18,4)</f>
        <v>9.1399999999999995E-2</v>
      </c>
      <c r="K18" s="66">
        <v>29</v>
      </c>
      <c r="L18" s="68"/>
    </row>
    <row r="19" spans="1:12" ht="18" customHeight="1">
      <c r="A19" s="64"/>
      <c r="B19" s="10" t="s">
        <v>58</v>
      </c>
      <c r="C19" s="28"/>
      <c r="D19" s="28"/>
      <c r="E19" s="28"/>
      <c r="F19" s="28"/>
      <c r="G19" s="28"/>
      <c r="H19" s="28"/>
      <c r="I19" s="28"/>
      <c r="J19" s="63"/>
      <c r="K19" s="66"/>
    </row>
    <row r="20" spans="1:12" ht="18" customHeight="1">
      <c r="A20" s="60" t="s">
        <v>59</v>
      </c>
      <c r="B20" s="10"/>
      <c r="C20" s="61"/>
      <c r="D20" s="61"/>
      <c r="E20" s="61"/>
      <c r="F20" s="61"/>
      <c r="G20" s="61"/>
      <c r="J20" s="62"/>
      <c r="K20" s="66"/>
    </row>
    <row r="21" spans="1:12" ht="18" customHeight="1">
      <c r="A21" s="64">
        <v>210</v>
      </c>
      <c r="B21" s="30" t="s">
        <v>60</v>
      </c>
      <c r="C21" s="65">
        <v>1198</v>
      </c>
      <c r="D21" s="65">
        <v>5525</v>
      </c>
      <c r="E21" s="65">
        <v>1700</v>
      </c>
      <c r="F21" s="65">
        <f>+JUSTIFICATION!K175</f>
        <v>1100</v>
      </c>
      <c r="G21" s="65">
        <f>+JUSTIFICATION!L175</f>
        <v>1700</v>
      </c>
      <c r="H21" s="65">
        <f>+JUSTIFICATION!M175</f>
        <v>0</v>
      </c>
      <c r="I21" s="65">
        <f t="shared" ref="I21:I42" si="2">G21+H21</f>
        <v>1700</v>
      </c>
      <c r="J21" s="71"/>
      <c r="K21" s="66">
        <v>30</v>
      </c>
      <c r="L21" s="68"/>
    </row>
    <row r="22" spans="1:12" ht="18" hidden="1" customHeight="1">
      <c r="A22" s="64">
        <v>210</v>
      </c>
      <c r="B22" s="7" t="s">
        <v>61</v>
      </c>
      <c r="C22" s="67">
        <v>0</v>
      </c>
      <c r="D22" s="67">
        <v>0</v>
      </c>
      <c r="E22" s="67">
        <v>0</v>
      </c>
      <c r="F22" s="67">
        <f>JUSTIFICATION!K$178</f>
        <v>5525</v>
      </c>
      <c r="G22" s="67">
        <f>+JUSTIFICATION!L178</f>
        <v>0</v>
      </c>
      <c r="H22" s="67">
        <f>+JUSTIFICATION!M178</f>
        <v>0</v>
      </c>
      <c r="I22" s="67">
        <f>G22+H22</f>
        <v>0</v>
      </c>
      <c r="J22" s="71"/>
      <c r="K22" s="66">
        <v>31</v>
      </c>
      <c r="L22" s="68"/>
    </row>
    <row r="23" spans="1:12" ht="18" customHeight="1">
      <c r="A23" s="64">
        <v>220</v>
      </c>
      <c r="B23" s="7" t="s">
        <v>62</v>
      </c>
      <c r="C23" s="67">
        <v>51043</v>
      </c>
      <c r="D23" s="67">
        <v>26464</v>
      </c>
      <c r="E23" s="67">
        <v>61100</v>
      </c>
      <c r="F23" s="67">
        <f>JUSTIFICATION!K182</f>
        <v>53690</v>
      </c>
      <c r="G23" s="67">
        <f>JUSTIFICATION!L182</f>
        <v>60800</v>
      </c>
      <c r="H23" s="67">
        <f>JUSTIFICATION!M182</f>
        <v>0</v>
      </c>
      <c r="I23" s="67">
        <f t="shared" si="2"/>
        <v>60800</v>
      </c>
      <c r="J23" s="71"/>
      <c r="K23" s="72">
        <v>32</v>
      </c>
      <c r="L23" s="68"/>
    </row>
    <row r="24" spans="1:12" ht="18" hidden="1" customHeight="1">
      <c r="A24" s="64">
        <v>222</v>
      </c>
      <c r="B24" s="7" t="s">
        <v>63</v>
      </c>
      <c r="C24" s="67">
        <v>0</v>
      </c>
      <c r="D24" s="67">
        <v>0</v>
      </c>
      <c r="E24" s="67">
        <v>0</v>
      </c>
      <c r="F24" s="67">
        <f>JUSTIFICATION!K185</f>
        <v>0</v>
      </c>
      <c r="G24" s="67">
        <f>JUSTIFICATION!L185</f>
        <v>0</v>
      </c>
      <c r="H24" s="67">
        <f>JUSTIFICATION!M185</f>
        <v>0</v>
      </c>
      <c r="I24" s="67">
        <f t="shared" si="2"/>
        <v>0</v>
      </c>
      <c r="J24" s="71"/>
      <c r="K24" s="66">
        <v>32</v>
      </c>
      <c r="L24" s="68"/>
    </row>
    <row r="25" spans="1:12" ht="18" customHeight="1">
      <c r="A25" s="64">
        <v>225</v>
      </c>
      <c r="B25" s="7" t="s">
        <v>64</v>
      </c>
      <c r="C25" s="67">
        <v>3686</v>
      </c>
      <c r="D25" s="67">
        <v>4632</v>
      </c>
      <c r="E25" s="67">
        <v>9976</v>
      </c>
      <c r="F25" s="67">
        <f>JUSTIFICATION!K189</f>
        <v>11196</v>
      </c>
      <c r="G25" s="67">
        <f>JUSTIFICATION!L189</f>
        <v>16144</v>
      </c>
      <c r="H25" s="67">
        <f>JUSTIFICATION!M189</f>
        <v>0</v>
      </c>
      <c r="I25" s="67">
        <f t="shared" si="2"/>
        <v>16144</v>
      </c>
      <c r="J25" s="71"/>
      <c r="K25" s="72">
        <v>33</v>
      </c>
      <c r="L25" s="68"/>
    </row>
    <row r="26" spans="1:12" ht="18" customHeight="1">
      <c r="A26" s="64">
        <v>240</v>
      </c>
      <c r="B26" s="7" t="s">
        <v>65</v>
      </c>
      <c r="C26" s="67">
        <v>44216</v>
      </c>
      <c r="D26" s="67">
        <v>6834</v>
      </c>
      <c r="E26" s="67">
        <v>17594</v>
      </c>
      <c r="F26" s="67">
        <f>JUSTIFICATION!K194</f>
        <v>14159</v>
      </c>
      <c r="G26" s="67">
        <f>JUSTIFICATION!L194</f>
        <v>35700</v>
      </c>
      <c r="H26" s="67">
        <f>JUSTIFICATION!M194</f>
        <v>0</v>
      </c>
      <c r="I26" s="67">
        <f t="shared" si="2"/>
        <v>35700</v>
      </c>
      <c r="J26" s="71"/>
      <c r="K26" s="66">
        <v>34</v>
      </c>
      <c r="L26" s="68"/>
    </row>
    <row r="27" spans="1:12" ht="18" customHeight="1">
      <c r="A27" s="64">
        <v>290</v>
      </c>
      <c r="B27" s="7" t="s">
        <v>66</v>
      </c>
      <c r="C27" s="67">
        <v>37687</v>
      </c>
      <c r="D27" s="67">
        <v>18243</v>
      </c>
      <c r="E27" s="67">
        <v>50976</v>
      </c>
      <c r="F27" s="67">
        <f>JUSTIFICATION!K210</f>
        <v>39333</v>
      </c>
      <c r="G27" s="67">
        <f>JUSTIFICATION!L210</f>
        <v>45216</v>
      </c>
      <c r="H27" s="67">
        <f>JUSTIFICATION!M210</f>
        <v>0</v>
      </c>
      <c r="I27" s="67">
        <f t="shared" si="2"/>
        <v>45216</v>
      </c>
      <c r="J27" s="71"/>
      <c r="K27" s="66">
        <v>35</v>
      </c>
      <c r="L27" s="68"/>
    </row>
    <row r="28" spans="1:12" ht="18" customHeight="1">
      <c r="A28" s="64">
        <v>295</v>
      </c>
      <c r="B28" s="7" t="s">
        <v>67</v>
      </c>
      <c r="C28" s="67">
        <v>345</v>
      </c>
      <c r="D28" s="67">
        <v>0</v>
      </c>
      <c r="E28" s="67">
        <v>100</v>
      </c>
      <c r="F28" s="67">
        <f>JUSTIFICATION!K213</f>
        <v>0</v>
      </c>
      <c r="G28" s="67">
        <f>JUSTIFICATION!L213</f>
        <v>100</v>
      </c>
      <c r="H28" s="67">
        <f>JUSTIFICATION!M213</f>
        <v>0</v>
      </c>
      <c r="I28" s="67">
        <f t="shared" si="2"/>
        <v>100</v>
      </c>
      <c r="J28" s="71"/>
      <c r="K28" s="66">
        <v>36</v>
      </c>
      <c r="L28" s="68"/>
    </row>
    <row r="29" spans="1:12" ht="18" customHeight="1">
      <c r="A29" s="64">
        <v>310</v>
      </c>
      <c r="B29" s="7" t="s">
        <v>68</v>
      </c>
      <c r="C29" s="67">
        <v>0</v>
      </c>
      <c r="D29" s="67">
        <v>0</v>
      </c>
      <c r="E29" s="67">
        <v>0</v>
      </c>
      <c r="F29" s="67">
        <f>JUSTIFICATION!K216</f>
        <v>0</v>
      </c>
      <c r="G29" s="67">
        <f>JUSTIFICATION!L216</f>
        <v>0</v>
      </c>
      <c r="H29" s="67">
        <f>JUSTIFICATION!M216</f>
        <v>0</v>
      </c>
      <c r="I29" s="67">
        <f t="shared" si="2"/>
        <v>0</v>
      </c>
      <c r="J29" s="71"/>
      <c r="K29" s="72">
        <v>37</v>
      </c>
      <c r="L29" s="68"/>
    </row>
    <row r="30" spans="1:12" ht="18" hidden="1" customHeight="1">
      <c r="A30" s="64">
        <v>310</v>
      </c>
      <c r="B30" s="7" t="s">
        <v>69</v>
      </c>
      <c r="C30" s="67">
        <v>0</v>
      </c>
      <c r="D30" s="67">
        <v>0</v>
      </c>
      <c r="E30" s="67">
        <v>0</v>
      </c>
      <c r="F30" s="67">
        <f>JUSTIFICATION!K219</f>
        <v>0</v>
      </c>
      <c r="G30" s="67">
        <f>JUSTIFICATION!L219</f>
        <v>0</v>
      </c>
      <c r="H30" s="67">
        <f>JUSTIFICATION!M219</f>
        <v>0</v>
      </c>
      <c r="I30" s="67">
        <f t="shared" si="2"/>
        <v>0</v>
      </c>
      <c r="J30" s="71"/>
      <c r="K30" s="66">
        <v>37</v>
      </c>
      <c r="L30" s="68"/>
    </row>
    <row r="31" spans="1:12" ht="18" customHeight="1">
      <c r="A31" s="64">
        <v>320</v>
      </c>
      <c r="B31" s="7" t="s">
        <v>70</v>
      </c>
      <c r="C31" s="67">
        <v>1108</v>
      </c>
      <c r="D31" s="67">
        <v>20</v>
      </c>
      <c r="E31" s="67">
        <v>1862</v>
      </c>
      <c r="F31" s="67">
        <f>JUSTIFICATION!K223</f>
        <v>1615</v>
      </c>
      <c r="G31" s="67">
        <f>JUSTIFICATION!L223</f>
        <v>1615</v>
      </c>
      <c r="H31" s="67">
        <f>JUSTIFICATION!M223</f>
        <v>0</v>
      </c>
      <c r="I31" s="67">
        <f t="shared" si="2"/>
        <v>1615</v>
      </c>
      <c r="J31" s="71"/>
      <c r="K31" s="66">
        <v>38</v>
      </c>
      <c r="L31" s="68"/>
    </row>
    <row r="32" spans="1:12" ht="18" customHeight="1">
      <c r="A32" s="64">
        <v>330</v>
      </c>
      <c r="B32" s="7" t="s">
        <v>71</v>
      </c>
      <c r="C32" s="67">
        <v>7998</v>
      </c>
      <c r="D32" s="67">
        <v>736</v>
      </c>
      <c r="E32" s="67">
        <v>6675</v>
      </c>
      <c r="F32" s="67">
        <f>JUSTIFICATION!K228</f>
        <v>6389</v>
      </c>
      <c r="G32" s="67">
        <f>JUSTIFICATION!L228</f>
        <v>6600</v>
      </c>
      <c r="H32" s="67">
        <f>JUSTIFICATION!M228</f>
        <v>0</v>
      </c>
      <c r="I32" s="67">
        <f t="shared" si="2"/>
        <v>6600</v>
      </c>
      <c r="J32" s="71"/>
      <c r="K32" s="66">
        <v>39</v>
      </c>
      <c r="L32" s="68"/>
    </row>
    <row r="33" spans="1:12" ht="18" customHeight="1">
      <c r="A33" s="64">
        <v>335</v>
      </c>
      <c r="B33" s="7" t="s">
        <v>72</v>
      </c>
      <c r="C33" s="67">
        <v>4055</v>
      </c>
      <c r="D33" s="67">
        <v>1962</v>
      </c>
      <c r="E33" s="67">
        <v>4030</v>
      </c>
      <c r="F33" s="67">
        <f>JUSTIFICATION!K233</f>
        <v>4040</v>
      </c>
      <c r="G33" s="67">
        <f>JUSTIFICATION!L233</f>
        <v>4030</v>
      </c>
      <c r="H33" s="67">
        <f>JUSTIFICATION!M233</f>
        <v>0</v>
      </c>
      <c r="I33" s="67">
        <f t="shared" si="2"/>
        <v>4030</v>
      </c>
      <c r="J33" s="71"/>
      <c r="K33" s="66">
        <v>40</v>
      </c>
      <c r="L33" s="68"/>
    </row>
    <row r="34" spans="1:12" ht="18" customHeight="1">
      <c r="A34" s="64">
        <v>340</v>
      </c>
      <c r="B34" s="7" t="s">
        <v>73</v>
      </c>
      <c r="C34" s="67">
        <v>25953</v>
      </c>
      <c r="D34" s="67">
        <v>18873</v>
      </c>
      <c r="E34" s="67">
        <v>29980</v>
      </c>
      <c r="F34" s="67">
        <f>JUSTIFICATION!K244</f>
        <v>29980</v>
      </c>
      <c r="G34" s="67">
        <f>JUSTIFICATION!L244</f>
        <v>31540</v>
      </c>
      <c r="H34" s="67">
        <f>JUSTIFICATION!M244</f>
        <v>0</v>
      </c>
      <c r="I34" s="67">
        <f t="shared" si="2"/>
        <v>31540</v>
      </c>
      <c r="J34" s="71"/>
      <c r="K34" s="72">
        <v>41</v>
      </c>
      <c r="L34" s="68"/>
    </row>
    <row r="35" spans="1:12" ht="18" customHeight="1">
      <c r="A35" s="64">
        <v>350</v>
      </c>
      <c r="B35" s="7" t="s">
        <v>74</v>
      </c>
      <c r="C35" s="67">
        <v>1480</v>
      </c>
      <c r="D35" s="67">
        <v>415</v>
      </c>
      <c r="E35" s="67">
        <v>2075</v>
      </c>
      <c r="F35" s="67">
        <f>JUSTIFICATION!K$253</f>
        <v>711</v>
      </c>
      <c r="G35" s="67">
        <f>JUSTIFICATION!L253</f>
        <v>2075</v>
      </c>
      <c r="H35" s="67">
        <f>JUSTIFICATION!M253</f>
        <v>0</v>
      </c>
      <c r="I35" s="67">
        <f t="shared" si="2"/>
        <v>2075</v>
      </c>
      <c r="J35" s="71"/>
      <c r="K35" s="66">
        <v>42</v>
      </c>
      <c r="L35" s="68"/>
    </row>
    <row r="36" spans="1:12" ht="18" customHeight="1">
      <c r="A36" s="64">
        <v>380</v>
      </c>
      <c r="B36" s="7" t="s">
        <v>75</v>
      </c>
      <c r="C36" s="67">
        <v>918</v>
      </c>
      <c r="D36" s="67">
        <v>212</v>
      </c>
      <c r="E36" s="67">
        <v>1500</v>
      </c>
      <c r="F36" s="67">
        <f>JUSTIFICATION!K$256</f>
        <v>424</v>
      </c>
      <c r="G36" s="67">
        <f>JUSTIFICATION!L256</f>
        <v>1500</v>
      </c>
      <c r="H36" s="67">
        <f>JUSTIFICATION!M254</f>
        <v>0</v>
      </c>
      <c r="I36" s="67">
        <f t="shared" si="2"/>
        <v>1500</v>
      </c>
      <c r="J36" s="71"/>
      <c r="K36" s="66">
        <v>43</v>
      </c>
      <c r="L36" s="68"/>
    </row>
    <row r="37" spans="1:12" ht="18" customHeight="1">
      <c r="A37" s="64">
        <v>450</v>
      </c>
      <c r="B37" s="7" t="s">
        <v>76</v>
      </c>
      <c r="C37" s="67">
        <v>103392</v>
      </c>
      <c r="D37" s="67">
        <v>101370</v>
      </c>
      <c r="E37" s="67">
        <v>107286</v>
      </c>
      <c r="F37" s="67">
        <f>JUSTIFICATION!K$265</f>
        <v>103569</v>
      </c>
      <c r="G37" s="67">
        <f>JUSTIFICATION!L265</f>
        <v>111745</v>
      </c>
      <c r="H37" s="67">
        <f>JUSTIFICATION!M265</f>
        <v>0</v>
      </c>
      <c r="I37" s="67">
        <f t="shared" si="2"/>
        <v>111745</v>
      </c>
      <c r="J37" s="71"/>
      <c r="K37" s="66">
        <v>44</v>
      </c>
      <c r="L37" s="68"/>
    </row>
    <row r="38" spans="1:12" ht="18" customHeight="1">
      <c r="A38" s="64">
        <v>510</v>
      </c>
      <c r="B38" s="7" t="s">
        <v>77</v>
      </c>
      <c r="C38" s="67">
        <v>15650</v>
      </c>
      <c r="D38" s="67">
        <v>14001</v>
      </c>
      <c r="E38" s="67">
        <v>20500</v>
      </c>
      <c r="F38" s="67">
        <f>JUSTIFICATION!K$271</f>
        <v>15650</v>
      </c>
      <c r="G38" s="67">
        <f>JUSTIFICATION!L271</f>
        <v>14500</v>
      </c>
      <c r="H38" s="67">
        <f>JUSTIFICATION!M271</f>
        <v>0</v>
      </c>
      <c r="I38" s="67">
        <f t="shared" si="2"/>
        <v>14500</v>
      </c>
      <c r="J38" s="71"/>
      <c r="K38" s="66">
        <v>45</v>
      </c>
      <c r="L38" s="68"/>
    </row>
    <row r="39" spans="1:12" ht="18" customHeight="1">
      <c r="A39" s="64">
        <v>530</v>
      </c>
      <c r="B39" s="7" t="s">
        <v>78</v>
      </c>
      <c r="C39" s="67">
        <v>9660</v>
      </c>
      <c r="D39" s="67">
        <v>3482</v>
      </c>
      <c r="E39" s="67">
        <v>10375</v>
      </c>
      <c r="F39" s="67">
        <f>JUSTIFICATION!K277</f>
        <v>8359</v>
      </c>
      <c r="G39" s="67">
        <f>JUSTIFICATION!L277</f>
        <v>10099</v>
      </c>
      <c r="H39" s="67">
        <f>JUSTIFICATION!M277</f>
        <v>0</v>
      </c>
      <c r="I39" s="67">
        <f t="shared" si="2"/>
        <v>10099</v>
      </c>
      <c r="J39" s="71"/>
      <c r="K39" s="66">
        <v>46</v>
      </c>
      <c r="L39" s="68"/>
    </row>
    <row r="40" spans="1:12" ht="18" customHeight="1">
      <c r="A40" s="64">
        <v>540</v>
      </c>
      <c r="B40" s="7" t="s">
        <v>79</v>
      </c>
      <c r="C40" s="67">
        <v>11371</v>
      </c>
      <c r="D40" s="67">
        <v>6478</v>
      </c>
      <c r="E40" s="67">
        <v>12860</v>
      </c>
      <c r="F40" s="67">
        <f>JUSTIFICATION!K284</f>
        <v>11360</v>
      </c>
      <c r="G40" s="67">
        <f>JUSTIFICATION!L284</f>
        <v>15360</v>
      </c>
      <c r="H40" s="67">
        <f>JUSTIFICATION!M279</f>
        <v>0</v>
      </c>
      <c r="I40" s="67">
        <f>G40+H40</f>
        <v>15360</v>
      </c>
      <c r="J40" s="71"/>
      <c r="K40" s="66">
        <v>47</v>
      </c>
      <c r="L40" s="68"/>
    </row>
    <row r="41" spans="1:12" ht="18" customHeight="1">
      <c r="A41" s="64">
        <v>790</v>
      </c>
      <c r="B41" s="7" t="s">
        <v>80</v>
      </c>
      <c r="C41" s="67">
        <v>79970</v>
      </c>
      <c r="D41" s="67">
        <v>23055</v>
      </c>
      <c r="E41" s="67">
        <v>3500</v>
      </c>
      <c r="F41" s="67">
        <f>JUSTIFICATION!K$287</f>
        <v>46110</v>
      </c>
      <c r="G41" s="67">
        <f>JUSTIFICATION!L287</f>
        <v>0</v>
      </c>
      <c r="H41" s="67">
        <f>JUSTIFICATION!M284</f>
        <v>0</v>
      </c>
      <c r="I41" s="67">
        <f t="shared" si="2"/>
        <v>0</v>
      </c>
      <c r="J41" s="71"/>
      <c r="K41" s="66">
        <v>48</v>
      </c>
      <c r="L41" s="68"/>
    </row>
    <row r="42" spans="1:12" ht="18" hidden="1" customHeight="1">
      <c r="A42" s="64">
        <v>791</v>
      </c>
      <c r="B42" s="7" t="s">
        <v>81</v>
      </c>
      <c r="C42" s="61">
        <v>0</v>
      </c>
      <c r="D42" s="61">
        <v>0</v>
      </c>
      <c r="E42" s="61">
        <v>0</v>
      </c>
      <c r="F42" s="61">
        <v>0</v>
      </c>
      <c r="G42" s="61">
        <f>JUSTIFICATION!L287</f>
        <v>0</v>
      </c>
      <c r="H42" s="61">
        <f>JUSTIFICATION!M287</f>
        <v>0</v>
      </c>
      <c r="I42" s="61">
        <f t="shared" si="2"/>
        <v>0</v>
      </c>
      <c r="J42" s="62"/>
      <c r="K42" s="66">
        <v>48</v>
      </c>
    </row>
    <row r="43" spans="1:12" ht="18" customHeight="1">
      <c r="A43" s="64"/>
      <c r="B43" s="10" t="s">
        <v>82</v>
      </c>
      <c r="C43" s="69">
        <f t="shared" ref="C43:I43" si="3">SUM(C21:C42)</f>
        <v>399730</v>
      </c>
      <c r="D43" s="69">
        <f t="shared" si="3"/>
        <v>232302</v>
      </c>
      <c r="E43" s="69">
        <f t="shared" si="3"/>
        <v>342089</v>
      </c>
      <c r="F43" s="69">
        <f t="shared" si="3"/>
        <v>353210</v>
      </c>
      <c r="G43" s="69">
        <f t="shared" si="3"/>
        <v>358724</v>
      </c>
      <c r="H43" s="69">
        <f t="shared" si="3"/>
        <v>0</v>
      </c>
      <c r="I43" s="69">
        <f t="shared" si="3"/>
        <v>358724</v>
      </c>
      <c r="J43" s="70">
        <f>ROUND((+I43-E43)/E43,4)</f>
        <v>4.8599999999999997E-2</v>
      </c>
      <c r="K43" s="66">
        <v>49</v>
      </c>
      <c r="L43" s="68"/>
    </row>
    <row r="44" spans="1:12" ht="18" customHeight="1">
      <c r="A44" s="64"/>
      <c r="B44" s="7" t="s">
        <v>58</v>
      </c>
      <c r="C44" s="61"/>
      <c r="D44" s="61"/>
      <c r="E44" s="61"/>
      <c r="F44" s="61"/>
      <c r="G44" s="61"/>
      <c r="H44" s="61"/>
      <c r="J44" s="62"/>
      <c r="K44" s="66"/>
    </row>
    <row r="45" spans="1:12" ht="18" customHeight="1">
      <c r="A45" s="60" t="s">
        <v>83</v>
      </c>
      <c r="B45" s="10"/>
      <c r="C45" s="61"/>
      <c r="D45" s="61"/>
      <c r="E45" s="61"/>
      <c r="F45" s="61"/>
      <c r="G45" s="61"/>
      <c r="J45" s="62"/>
      <c r="K45" s="66"/>
    </row>
    <row r="46" spans="1:12" ht="18" customHeight="1">
      <c r="A46" s="64">
        <v>810</v>
      </c>
      <c r="B46" s="7" t="s">
        <v>84</v>
      </c>
      <c r="C46" s="65">
        <v>8757</v>
      </c>
      <c r="D46" s="65">
        <v>13796</v>
      </c>
      <c r="E46" s="65">
        <v>19200</v>
      </c>
      <c r="F46" s="65">
        <f>JUSTIFICATION!K292</f>
        <v>10000</v>
      </c>
      <c r="G46" s="65">
        <f>JUSTIFICATION!L292</f>
        <v>10000</v>
      </c>
      <c r="H46" s="65">
        <f>JUSTIFICATION!M292</f>
        <v>0</v>
      </c>
      <c r="I46" s="65">
        <f t="shared" ref="I46:I53" si="4">G46+H46</f>
        <v>10000</v>
      </c>
      <c r="J46" s="71"/>
      <c r="K46" s="66">
        <v>50</v>
      </c>
      <c r="L46" s="68"/>
    </row>
    <row r="47" spans="1:12" ht="18" customHeight="1">
      <c r="A47" s="64">
        <v>815</v>
      </c>
      <c r="B47" s="7" t="s">
        <v>85</v>
      </c>
      <c r="C47" s="67">
        <v>52409</v>
      </c>
      <c r="D47" s="67">
        <v>17777</v>
      </c>
      <c r="E47" s="67">
        <v>53727</v>
      </c>
      <c r="F47" s="67">
        <f>JUSTIFICATION!K296</f>
        <v>53727</v>
      </c>
      <c r="G47" s="67">
        <f>JUSTIFICATION!L296</f>
        <v>55876</v>
      </c>
      <c r="H47" s="67">
        <f>JUSTIFICATION!M296</f>
        <v>0</v>
      </c>
      <c r="I47" s="67">
        <f t="shared" si="4"/>
        <v>55876</v>
      </c>
      <c r="J47" s="71"/>
      <c r="K47" s="66">
        <v>51</v>
      </c>
      <c r="L47" s="68"/>
    </row>
    <row r="48" spans="1:12" ht="18" customHeight="1">
      <c r="A48" s="64">
        <v>815</v>
      </c>
      <c r="B48" s="7" t="s">
        <v>86</v>
      </c>
      <c r="C48" s="67">
        <v>54184</v>
      </c>
      <c r="D48" s="67">
        <v>20395</v>
      </c>
      <c r="E48" s="67">
        <v>56817</v>
      </c>
      <c r="F48" s="67">
        <f>JUSTIFICATION!K300</f>
        <v>56817</v>
      </c>
      <c r="G48" s="67">
        <f>JUSTIFICATION!L300</f>
        <v>59090</v>
      </c>
      <c r="H48" s="67">
        <f>JUSTIFICATION!M300</f>
        <v>0</v>
      </c>
      <c r="I48" s="67">
        <f t="shared" si="4"/>
        <v>59090</v>
      </c>
      <c r="J48" s="71"/>
      <c r="K48" s="66">
        <v>52</v>
      </c>
      <c r="L48" s="68"/>
    </row>
    <row r="49" spans="1:12" ht="18" customHeight="1">
      <c r="A49" s="64">
        <v>815</v>
      </c>
      <c r="B49" s="30" t="s">
        <v>87</v>
      </c>
      <c r="C49" s="67">
        <v>10340</v>
      </c>
      <c r="D49" s="67">
        <v>3117</v>
      </c>
      <c r="E49" s="67">
        <v>10500</v>
      </c>
      <c r="F49" s="67">
        <f>JUSTIFICATION!K304</f>
        <v>10500</v>
      </c>
      <c r="G49" s="67">
        <f>JUSTIFICATION!L304</f>
        <v>17100</v>
      </c>
      <c r="H49" s="67">
        <f>JUSTIFICATION!M304</f>
        <v>0</v>
      </c>
      <c r="I49" s="67">
        <f t="shared" si="4"/>
        <v>17100</v>
      </c>
      <c r="J49" s="71"/>
      <c r="K49" s="66">
        <v>53</v>
      </c>
      <c r="L49" s="68"/>
    </row>
    <row r="50" spans="1:12" ht="18" customHeight="1">
      <c r="A50" s="64">
        <v>815</v>
      </c>
      <c r="B50" s="7" t="s">
        <v>88</v>
      </c>
      <c r="C50" s="67">
        <v>10287</v>
      </c>
      <c r="D50" s="67">
        <v>4338</v>
      </c>
      <c r="E50" s="67">
        <v>13020</v>
      </c>
      <c r="F50" s="67">
        <f>JUSTIFICATION!K308</f>
        <v>13020</v>
      </c>
      <c r="G50" s="67">
        <f>JUSTIFICATION!L308</f>
        <v>13020</v>
      </c>
      <c r="H50" s="67">
        <f>JUSTIFICATION!M308</f>
        <v>0</v>
      </c>
      <c r="I50" s="67">
        <f t="shared" si="4"/>
        <v>13020</v>
      </c>
      <c r="J50" s="71"/>
      <c r="K50" s="66">
        <v>54</v>
      </c>
      <c r="L50" s="68"/>
    </row>
    <row r="51" spans="1:12" ht="18" customHeight="1">
      <c r="A51" s="64">
        <v>815</v>
      </c>
      <c r="B51" s="7" t="s">
        <v>89</v>
      </c>
      <c r="C51" s="67">
        <v>14374</v>
      </c>
      <c r="D51" s="67">
        <v>15761</v>
      </c>
      <c r="E51" s="67">
        <v>14634</v>
      </c>
      <c r="F51" s="67">
        <f>+JUSTIFICATION!K312</f>
        <v>15760</v>
      </c>
      <c r="G51" s="67">
        <f>+JUSTIFICATION!L312</f>
        <v>16325</v>
      </c>
      <c r="H51" s="67">
        <f>+JUSTIFICATION!M312</f>
        <v>0</v>
      </c>
      <c r="I51" s="67">
        <f t="shared" si="4"/>
        <v>16325</v>
      </c>
      <c r="J51" s="71"/>
      <c r="K51" s="72">
        <v>55</v>
      </c>
      <c r="L51" s="68"/>
    </row>
    <row r="52" spans="1:12" ht="18" customHeight="1">
      <c r="A52" s="64">
        <v>815</v>
      </c>
      <c r="B52" s="7" t="s">
        <v>90</v>
      </c>
      <c r="C52" s="67">
        <v>6441</v>
      </c>
      <c r="D52" s="67">
        <v>6426</v>
      </c>
      <c r="E52" s="67">
        <v>6836</v>
      </c>
      <c r="F52" s="67">
        <f>+JUSTIFICATION!K316</f>
        <v>6836</v>
      </c>
      <c r="G52" s="67">
        <f>+JUSTIFICATION!L316</f>
        <v>6637</v>
      </c>
      <c r="H52" s="67">
        <f>+JUSTIFICATION!M316</f>
        <v>0</v>
      </c>
      <c r="I52" s="67">
        <f t="shared" si="4"/>
        <v>6637</v>
      </c>
      <c r="J52" s="71"/>
      <c r="K52" s="72">
        <v>56</v>
      </c>
      <c r="L52" s="68"/>
    </row>
    <row r="53" spans="1:12" ht="18" customHeight="1">
      <c r="A53" s="64">
        <v>850</v>
      </c>
      <c r="B53" s="30" t="s">
        <v>91</v>
      </c>
      <c r="C53" s="67">
        <v>0</v>
      </c>
      <c r="D53" s="67">
        <v>0</v>
      </c>
      <c r="E53" s="67">
        <v>70000</v>
      </c>
      <c r="F53" s="67">
        <f>+JUSTIFICATION!K320</f>
        <v>0</v>
      </c>
      <c r="G53" s="67">
        <f>+JUSTIFICATION!L320</f>
        <v>0</v>
      </c>
      <c r="H53" s="67">
        <f>+JUSTIFICATION!M320</f>
        <v>0</v>
      </c>
      <c r="I53" s="67">
        <f t="shared" si="4"/>
        <v>0</v>
      </c>
      <c r="J53" s="71"/>
      <c r="K53" s="73">
        <v>57</v>
      </c>
      <c r="L53" s="68"/>
    </row>
    <row r="54" spans="1:12" ht="18" hidden="1" customHeight="1">
      <c r="A54" s="64">
        <v>899</v>
      </c>
      <c r="B54" s="30" t="s">
        <v>92</v>
      </c>
      <c r="C54" s="67">
        <v>0</v>
      </c>
      <c r="D54" s="67">
        <v>0</v>
      </c>
      <c r="E54" s="67">
        <v>0</v>
      </c>
      <c r="F54" s="67">
        <f>+JUSTIFICATION!K324</f>
        <v>0</v>
      </c>
      <c r="G54" s="67">
        <f>+JUSTIFICATION!L324</f>
        <v>0</v>
      </c>
      <c r="H54" s="67">
        <f>+JUSTIFICATION!M324</f>
        <v>0</v>
      </c>
      <c r="I54" s="67">
        <f>G54+H54</f>
        <v>0</v>
      </c>
      <c r="J54" s="62"/>
      <c r="K54" s="66"/>
    </row>
    <row r="55" spans="1:12" ht="18" customHeight="1">
      <c r="A55" s="64"/>
      <c r="B55" s="10" t="s">
        <v>93</v>
      </c>
      <c r="C55" s="69">
        <f t="shared" ref="C55:I55" si="5">SUM(C46:C54)</f>
        <v>156792</v>
      </c>
      <c r="D55" s="69">
        <f t="shared" si="5"/>
        <v>81610</v>
      </c>
      <c r="E55" s="69">
        <f t="shared" si="5"/>
        <v>244734</v>
      </c>
      <c r="F55" s="69">
        <f t="shared" si="5"/>
        <v>166660</v>
      </c>
      <c r="G55" s="69">
        <f t="shared" si="5"/>
        <v>178048</v>
      </c>
      <c r="H55" s="69">
        <f t="shared" si="5"/>
        <v>0</v>
      </c>
      <c r="I55" s="69">
        <f t="shared" si="5"/>
        <v>178048</v>
      </c>
      <c r="J55" s="70">
        <f>ROUND((+I55-E55)/E55,4)</f>
        <v>-0.27250000000000002</v>
      </c>
      <c r="K55" s="66">
        <v>59</v>
      </c>
    </row>
    <row r="56" spans="1:12" ht="18" customHeight="1">
      <c r="A56" s="64"/>
      <c r="B56" s="7" t="s">
        <v>58</v>
      </c>
      <c r="C56" s="61"/>
      <c r="D56" s="61"/>
      <c r="E56" s="61"/>
      <c r="F56" s="61"/>
      <c r="G56" s="61"/>
      <c r="H56" s="61"/>
      <c r="I56" s="61"/>
      <c r="J56" s="62"/>
      <c r="K56" s="66"/>
    </row>
    <row r="57" spans="1:12" ht="18" customHeight="1">
      <c r="A57" s="60">
        <v>55101</v>
      </c>
      <c r="B57" s="10" t="s">
        <v>357</v>
      </c>
      <c r="C57" s="61"/>
      <c r="D57" s="61"/>
      <c r="E57" s="61"/>
      <c r="F57" s="61"/>
      <c r="G57" s="61"/>
      <c r="H57" s="61"/>
      <c r="I57" s="61"/>
      <c r="J57" s="62"/>
      <c r="K57" s="7"/>
    </row>
    <row r="58" spans="1:12" ht="18" customHeight="1">
      <c r="A58" s="64"/>
      <c r="B58" s="30" t="s">
        <v>94</v>
      </c>
      <c r="C58" s="65">
        <v>8290</v>
      </c>
      <c r="D58" s="65">
        <v>0</v>
      </c>
      <c r="E58" s="65">
        <v>0</v>
      </c>
      <c r="F58" s="65">
        <f>+JUSTIFICATION!K345</f>
        <v>0</v>
      </c>
      <c r="G58" s="65">
        <f>+JUSTIFICATION!L345</f>
        <v>103000</v>
      </c>
      <c r="H58" s="65">
        <f>+JUSTIFICATION!M345</f>
        <v>0</v>
      </c>
      <c r="I58" s="65">
        <f>G58+H58</f>
        <v>103000</v>
      </c>
      <c r="J58" s="62"/>
      <c r="K58" s="66"/>
    </row>
    <row r="59" spans="1:12" ht="18" customHeight="1">
      <c r="A59" s="64"/>
      <c r="B59" s="10" t="s">
        <v>95</v>
      </c>
      <c r="C59" s="69">
        <f t="shared" ref="C59:I59" si="6">C55+C43+C18+C58</f>
        <v>1461643</v>
      </c>
      <c r="D59" s="69">
        <f t="shared" si="6"/>
        <v>765564</v>
      </c>
      <c r="E59" s="69">
        <f t="shared" si="6"/>
        <v>1637600.426</v>
      </c>
      <c r="F59" s="69">
        <f t="shared" si="6"/>
        <v>1435910.1600000001</v>
      </c>
      <c r="G59" s="69">
        <f t="shared" si="6"/>
        <v>1743464</v>
      </c>
      <c r="H59" s="69">
        <f t="shared" si="6"/>
        <v>43148</v>
      </c>
      <c r="I59" s="69">
        <f t="shared" si="6"/>
        <v>1786612</v>
      </c>
      <c r="J59" s="70">
        <f>ROUND((+I59-E59)/E59,4)</f>
        <v>9.0999999999999998E-2</v>
      </c>
      <c r="K59" s="66">
        <v>63</v>
      </c>
    </row>
    <row r="60" spans="1:12" ht="18" customHeight="1">
      <c r="A60" s="64"/>
      <c r="B60" s="7" t="s">
        <v>58</v>
      </c>
      <c r="C60" s="61"/>
      <c r="D60" s="61"/>
      <c r="E60" s="61"/>
      <c r="F60" s="61"/>
      <c r="G60" s="61"/>
      <c r="H60" s="61"/>
      <c r="I60" s="61"/>
      <c r="J60" s="62"/>
      <c r="K60" s="66"/>
    </row>
    <row r="61" spans="1:12" ht="18" customHeight="1">
      <c r="A61" s="60" t="s">
        <v>96</v>
      </c>
      <c r="B61" s="10"/>
      <c r="C61" s="61"/>
      <c r="D61" s="61"/>
      <c r="E61" s="61"/>
      <c r="F61" s="61"/>
      <c r="G61" s="61"/>
      <c r="H61" s="61"/>
      <c r="I61" s="61"/>
      <c r="J61" s="62"/>
      <c r="K61" s="66"/>
    </row>
    <row r="62" spans="1:12" ht="18" customHeight="1">
      <c r="A62" s="64"/>
      <c r="B62" s="7" t="s">
        <v>97</v>
      </c>
      <c r="C62" s="65">
        <v>455000</v>
      </c>
      <c r="D62" s="65">
        <v>295000</v>
      </c>
      <c r="E62" s="65">
        <v>295000</v>
      </c>
      <c r="F62" s="65">
        <f>JUSTIFICATION!K350</f>
        <v>295000</v>
      </c>
      <c r="G62" s="65">
        <f>JUSTIFICATION!L350</f>
        <v>325000</v>
      </c>
      <c r="H62" s="65">
        <f>JUSTIFICATION!M350</f>
        <v>0</v>
      </c>
      <c r="I62" s="65">
        <f>G62+H62</f>
        <v>325000</v>
      </c>
      <c r="J62" s="62"/>
      <c r="K62" s="66">
        <v>64</v>
      </c>
    </row>
    <row r="63" spans="1:12" ht="18" customHeight="1">
      <c r="A63" s="64"/>
      <c r="B63" s="7" t="s">
        <v>98</v>
      </c>
      <c r="C63" s="67">
        <v>87998</v>
      </c>
      <c r="D63" s="67">
        <v>66771</v>
      </c>
      <c r="E63" s="67">
        <v>66771</v>
      </c>
      <c r="F63" s="67">
        <f>JUSTIFICATION!K354</f>
        <v>66771</v>
      </c>
      <c r="G63" s="67">
        <f>JUSTIFICATION!L354</f>
        <v>57858</v>
      </c>
      <c r="H63" s="67">
        <f>JUSTIFICATION!M354</f>
        <v>0</v>
      </c>
      <c r="I63" s="67">
        <f>G63+H63</f>
        <v>57858</v>
      </c>
      <c r="J63" s="62"/>
      <c r="K63" s="66">
        <v>65</v>
      </c>
    </row>
    <row r="64" spans="1:12" ht="18" customHeight="1">
      <c r="A64" s="64"/>
      <c r="B64" s="10" t="s">
        <v>99</v>
      </c>
      <c r="C64" s="69">
        <f t="shared" ref="C64:I64" si="7">SUM(C62:C63)</f>
        <v>542998</v>
      </c>
      <c r="D64" s="69">
        <f t="shared" si="7"/>
        <v>361771</v>
      </c>
      <c r="E64" s="69">
        <f t="shared" si="7"/>
        <v>361771</v>
      </c>
      <c r="F64" s="69">
        <f t="shared" si="7"/>
        <v>361771</v>
      </c>
      <c r="G64" s="69">
        <f t="shared" si="7"/>
        <v>382858</v>
      </c>
      <c r="H64" s="69">
        <f t="shared" si="7"/>
        <v>0</v>
      </c>
      <c r="I64" s="69">
        <f t="shared" si="7"/>
        <v>382858</v>
      </c>
      <c r="J64" s="70">
        <f>ROUND((+I64-E64)/E64,4)</f>
        <v>5.8299999999999998E-2</v>
      </c>
      <c r="K64" s="66">
        <v>66</v>
      </c>
    </row>
    <row r="65" spans="1:11" ht="18" customHeight="1">
      <c r="A65" s="64"/>
      <c r="C65" s="61"/>
      <c r="D65" s="61"/>
      <c r="E65" s="61"/>
      <c r="F65" s="61"/>
      <c r="G65" s="61"/>
      <c r="H65" s="61"/>
      <c r="I65" s="61"/>
      <c r="J65" s="62"/>
      <c r="K65" s="66"/>
    </row>
    <row r="66" spans="1:11" ht="18" customHeight="1" thickBot="1">
      <c r="A66" s="74" t="s">
        <v>100</v>
      </c>
      <c r="B66" s="75"/>
      <c r="C66" s="76">
        <f t="shared" ref="C66:I66" si="8">C18+C43+C55+C64+C58</f>
        <v>2004641</v>
      </c>
      <c r="D66" s="76">
        <f t="shared" si="8"/>
        <v>1127335</v>
      </c>
      <c r="E66" s="76">
        <f t="shared" si="8"/>
        <v>1999371.426</v>
      </c>
      <c r="F66" s="76">
        <f t="shared" si="8"/>
        <v>1797681.1600000001</v>
      </c>
      <c r="G66" s="76">
        <f t="shared" si="8"/>
        <v>2126322</v>
      </c>
      <c r="H66" s="76">
        <f t="shared" si="8"/>
        <v>43148</v>
      </c>
      <c r="I66" s="76">
        <f t="shared" si="8"/>
        <v>2169470</v>
      </c>
      <c r="J66" s="77">
        <f>ROUND((+I66-E66)/E66,4)</f>
        <v>8.5099999999999995E-2</v>
      </c>
      <c r="K66" s="66">
        <v>67</v>
      </c>
    </row>
    <row r="67" spans="1:11" ht="13.5" thickTop="1"/>
    <row r="68" spans="1:11">
      <c r="A68" s="58"/>
      <c r="B68" s="78"/>
    </row>
    <row r="70" spans="1:11">
      <c r="C70" s="65"/>
    </row>
    <row r="110" spans="1:11">
      <c r="A110" s="7" t="s">
        <v>101</v>
      </c>
      <c r="K110" s="7"/>
    </row>
    <row r="111" spans="1:11">
      <c r="A111" s="7" t="s">
        <v>102</v>
      </c>
      <c r="K111" s="7"/>
    </row>
    <row r="112" spans="1:11">
      <c r="A112" s="7" t="s">
        <v>103</v>
      </c>
      <c r="K112" s="7"/>
    </row>
    <row r="113" spans="1:11">
      <c r="A113" s="7" t="s">
        <v>104</v>
      </c>
      <c r="K113" s="7"/>
    </row>
    <row r="114" spans="1:11">
      <c r="A114" s="7" t="s">
        <v>105</v>
      </c>
      <c r="K114" s="7"/>
    </row>
    <row r="120" spans="1:11">
      <c r="A120" s="7" t="s">
        <v>106</v>
      </c>
      <c r="K120" s="7"/>
    </row>
    <row r="121" spans="1:11">
      <c r="A121" s="7" t="s">
        <v>107</v>
      </c>
      <c r="K121" s="7"/>
    </row>
    <row r="122" spans="1:11">
      <c r="A122" s="7" t="s">
        <v>108</v>
      </c>
      <c r="K122" s="7"/>
    </row>
    <row r="123" spans="1:11">
      <c r="A123" s="7" t="s">
        <v>109</v>
      </c>
      <c r="K123" s="7"/>
    </row>
    <row r="124" spans="1:11">
      <c r="A124" s="7" t="s">
        <v>110</v>
      </c>
      <c r="K124" s="7"/>
    </row>
    <row r="125" spans="1:11">
      <c r="A125" s="7" t="s">
        <v>105</v>
      </c>
      <c r="K125" s="7"/>
    </row>
  </sheetData>
  <protectedRanges>
    <protectedRange sqref="K5:S67" name="Range4"/>
    <protectedRange sqref="K1:T78" name="Range2"/>
    <protectedRange sqref="K6" name="Range3"/>
  </protectedRange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V358"/>
  <sheetViews>
    <sheetView workbookViewId="0"/>
  </sheetViews>
  <sheetFormatPr defaultRowHeight="12.75"/>
  <cols>
    <col min="1" max="1" width="14" style="7" customWidth="1"/>
    <col min="2" max="2" width="16.42578125" style="7" customWidth="1"/>
    <col min="3" max="3" width="30.140625" style="7" customWidth="1"/>
    <col min="4" max="4" width="11.7109375" style="7" customWidth="1"/>
    <col min="5" max="5" width="12.7109375" style="7" customWidth="1"/>
    <col min="6" max="6" width="9.140625" style="7" customWidth="1"/>
    <col min="7" max="7" width="11.5703125" style="7" customWidth="1"/>
    <col min="8" max="8" width="11.140625" style="7" customWidth="1"/>
    <col min="9" max="12" width="11.5703125" style="7" customWidth="1"/>
    <col min="13" max="13" width="8.85546875" style="7" customWidth="1"/>
    <col min="14" max="14" width="11.5703125" style="7" customWidth="1"/>
    <col min="15" max="15" width="75.7109375" style="7" customWidth="1"/>
    <col min="16" max="16384" width="9.140625" style="7"/>
  </cols>
  <sheetData>
    <row r="1" spans="1:256">
      <c r="A1" s="217" t="s">
        <v>111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>
        <f ca="1">NOW()</f>
        <v>43894.649628819447</v>
      </c>
      <c r="N1" s="220">
        <f ca="1">NOW()</f>
        <v>43894.649628819447</v>
      </c>
      <c r="O1" s="214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</row>
    <row r="2" spans="1:256">
      <c r="A2" s="221" t="s">
        <v>364</v>
      </c>
      <c r="B2" s="79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112</v>
      </c>
      <c r="N2" s="222" t="s">
        <v>113</v>
      </c>
      <c r="O2" s="21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</row>
    <row r="3" spans="1:256">
      <c r="A3" s="221" t="s">
        <v>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2"/>
      <c r="N3" s="223"/>
      <c r="O3" s="21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</row>
    <row r="4" spans="1:256">
      <c r="A4" s="224" t="s">
        <v>114</v>
      </c>
      <c r="B4" s="83" t="s">
        <v>115</v>
      </c>
      <c r="C4" s="471" t="s">
        <v>116</v>
      </c>
      <c r="D4" s="472"/>
      <c r="E4" s="472"/>
      <c r="F4" s="472"/>
      <c r="G4" s="472"/>
      <c r="H4" s="473" t="s">
        <v>117</v>
      </c>
      <c r="I4" s="474"/>
      <c r="J4" s="472"/>
      <c r="K4" s="474"/>
      <c r="L4" s="472"/>
      <c r="M4" s="474"/>
      <c r="N4" s="475"/>
      <c r="O4" s="21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</row>
    <row r="5" spans="1:256">
      <c r="A5" s="225" t="s">
        <v>118</v>
      </c>
      <c r="B5" s="84"/>
      <c r="C5" s="85"/>
      <c r="D5" s="86"/>
      <c r="E5" s="86"/>
      <c r="F5" s="86"/>
      <c r="G5" s="87"/>
      <c r="H5" s="90">
        <v>2016</v>
      </c>
      <c r="I5" s="236">
        <v>2017</v>
      </c>
      <c r="J5" s="90">
        <v>2017</v>
      </c>
      <c r="K5" s="236">
        <v>2017</v>
      </c>
      <c r="L5" s="90">
        <v>2018</v>
      </c>
      <c r="M5" s="236" t="s">
        <v>42</v>
      </c>
      <c r="N5" s="226"/>
      <c r="O5" s="21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</row>
    <row r="6" spans="1:256">
      <c r="A6" s="227">
        <v>55100</v>
      </c>
      <c r="B6" s="84"/>
      <c r="C6" s="88"/>
      <c r="D6" s="80"/>
      <c r="E6" s="80"/>
      <c r="F6" s="80"/>
      <c r="G6" s="89"/>
      <c r="H6" s="90" t="s">
        <v>119</v>
      </c>
      <c r="I6" s="237" t="s">
        <v>120</v>
      </c>
      <c r="J6" s="90" t="s">
        <v>121</v>
      </c>
      <c r="K6" s="237" t="s">
        <v>119</v>
      </c>
      <c r="L6" s="90" t="s">
        <v>122</v>
      </c>
      <c r="M6" s="237" t="s">
        <v>44</v>
      </c>
      <c r="N6" s="228">
        <v>2018</v>
      </c>
      <c r="O6" s="21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45"/>
    </row>
    <row r="7" spans="1:256" ht="18.75" thickBot="1">
      <c r="A7" s="229"/>
      <c r="B7" s="230"/>
      <c r="C7" s="231"/>
      <c r="D7" s="232"/>
      <c r="E7" s="232"/>
      <c r="F7" s="232"/>
      <c r="G7" s="233"/>
      <c r="H7" s="235" t="s">
        <v>123</v>
      </c>
      <c r="I7" s="238" t="s">
        <v>123</v>
      </c>
      <c r="J7" s="235" t="s">
        <v>124</v>
      </c>
      <c r="K7" s="238" t="s">
        <v>125</v>
      </c>
      <c r="L7" s="235" t="s">
        <v>46</v>
      </c>
      <c r="M7" s="238" t="s">
        <v>47</v>
      </c>
      <c r="N7" s="234" t="s">
        <v>126</v>
      </c>
      <c r="O7" s="216" t="s">
        <v>127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</row>
    <row r="8" spans="1:256">
      <c r="A8" s="177"/>
      <c r="B8" s="240"/>
      <c r="C8" s="270"/>
      <c r="D8" s="270"/>
      <c r="E8" s="270"/>
      <c r="F8" s="271" t="s">
        <v>128</v>
      </c>
      <c r="G8" s="272" t="s">
        <v>129</v>
      </c>
      <c r="H8" s="92"/>
      <c r="I8" s="94"/>
      <c r="J8" s="94"/>
      <c r="K8" s="94"/>
      <c r="L8" s="94"/>
      <c r="M8" s="94"/>
      <c r="N8" s="241"/>
      <c r="O8" s="400"/>
    </row>
    <row r="9" spans="1:256" ht="13.5" thickBot="1">
      <c r="A9" s="185"/>
      <c r="B9" s="241"/>
      <c r="C9" s="239" t="s">
        <v>130</v>
      </c>
      <c r="D9" s="93" t="s">
        <v>131</v>
      </c>
      <c r="E9" s="93" t="s">
        <v>132</v>
      </c>
      <c r="F9" s="93" t="s">
        <v>133</v>
      </c>
      <c r="G9" s="273" t="s">
        <v>134</v>
      </c>
      <c r="H9" s="92"/>
      <c r="I9" s="94"/>
      <c r="J9" s="94"/>
      <c r="K9" s="94"/>
      <c r="L9" s="94"/>
      <c r="M9" s="94"/>
      <c r="N9" s="241"/>
      <c r="O9" s="386"/>
    </row>
    <row r="10" spans="1:256" ht="13.5" thickTop="1">
      <c r="A10" s="189">
        <v>110</v>
      </c>
      <c r="B10" s="242" t="s">
        <v>135</v>
      </c>
      <c r="D10" s="96"/>
      <c r="E10" s="97"/>
      <c r="F10" s="98"/>
      <c r="G10" s="105"/>
      <c r="H10" s="92"/>
      <c r="I10" s="94"/>
      <c r="J10" s="94"/>
      <c r="K10" s="94"/>
      <c r="L10" s="94"/>
      <c r="M10" s="100"/>
      <c r="N10" s="105"/>
      <c r="O10" s="386"/>
    </row>
    <row r="11" spans="1:256">
      <c r="A11" s="243">
        <v>2.24E-2</v>
      </c>
      <c r="B11" s="244"/>
      <c r="C11" s="7" t="s">
        <v>399</v>
      </c>
      <c r="D11" s="7">
        <v>2080</v>
      </c>
      <c r="E11" s="97">
        <f t="shared" ref="E11:E20" si="0">ROUND(D11/2080,2)</f>
        <v>1</v>
      </c>
      <c r="F11" s="61">
        <v>77558</v>
      </c>
      <c r="G11" s="105">
        <f t="shared" ref="G11:G19" si="1">ROUND(E11*F11,0)</f>
        <v>77558</v>
      </c>
      <c r="H11" s="99"/>
      <c r="I11" s="100"/>
      <c r="J11" s="100"/>
      <c r="K11" s="101"/>
      <c r="L11" s="100"/>
      <c r="M11" s="100">
        <f t="shared" ref="M11:M20" si="2">ROUND(G11*B$21,0)+ROUND((((G11*B$21)+G11)*A11),0)</f>
        <v>4116</v>
      </c>
      <c r="N11" s="105">
        <f t="shared" ref="N11:N16" si="3">+G11+M11</f>
        <v>81674</v>
      </c>
      <c r="O11" s="401"/>
    </row>
    <row r="12" spans="1:256">
      <c r="A12" s="245">
        <v>1.26E-2</v>
      </c>
      <c r="B12" s="246"/>
      <c r="C12" s="7" t="s">
        <v>379</v>
      </c>
      <c r="D12" s="7">
        <v>2080</v>
      </c>
      <c r="E12" s="97">
        <f t="shared" si="0"/>
        <v>1</v>
      </c>
      <c r="F12" s="61">
        <v>51996</v>
      </c>
      <c r="G12" s="105">
        <f t="shared" si="1"/>
        <v>51996</v>
      </c>
      <c r="H12" s="99"/>
      <c r="I12" s="100"/>
      <c r="J12" s="100"/>
      <c r="K12" s="101"/>
      <c r="L12" s="100"/>
      <c r="M12" s="100">
        <f t="shared" si="2"/>
        <v>2235</v>
      </c>
      <c r="N12" s="105">
        <f t="shared" si="3"/>
        <v>54231</v>
      </c>
      <c r="O12" s="386"/>
    </row>
    <row r="13" spans="1:256">
      <c r="A13" s="245">
        <v>1.84E-2</v>
      </c>
      <c r="B13" s="246"/>
      <c r="C13" s="7" t="s">
        <v>381</v>
      </c>
      <c r="D13" s="7">
        <v>2080</v>
      </c>
      <c r="E13" s="97">
        <f t="shared" si="0"/>
        <v>1</v>
      </c>
      <c r="F13" s="61">
        <v>53426</v>
      </c>
      <c r="G13" s="105">
        <f t="shared" si="1"/>
        <v>53426</v>
      </c>
      <c r="H13" s="99"/>
      <c r="I13" s="100"/>
      <c r="J13" s="100"/>
      <c r="K13" s="101"/>
      <c r="L13" s="100"/>
      <c r="M13" s="100">
        <f t="shared" si="2"/>
        <v>2616</v>
      </c>
      <c r="N13" s="105">
        <f t="shared" si="3"/>
        <v>56042</v>
      </c>
      <c r="O13" s="386"/>
    </row>
    <row r="14" spans="1:256">
      <c r="A14" s="245">
        <v>2.64E-2</v>
      </c>
      <c r="B14" s="244"/>
      <c r="C14" s="7" t="s">
        <v>380</v>
      </c>
      <c r="D14" s="7">
        <v>2080</v>
      </c>
      <c r="E14" s="97">
        <f t="shared" si="0"/>
        <v>1</v>
      </c>
      <c r="F14" s="61">
        <v>53426</v>
      </c>
      <c r="G14" s="105">
        <f t="shared" si="1"/>
        <v>53426</v>
      </c>
      <c r="H14" s="99"/>
      <c r="I14" s="100"/>
      <c r="J14" s="100"/>
      <c r="K14" s="101"/>
      <c r="L14" s="100"/>
      <c r="M14" s="100">
        <f t="shared" si="2"/>
        <v>3056</v>
      </c>
      <c r="N14" s="105">
        <f t="shared" si="3"/>
        <v>56482</v>
      </c>
      <c r="O14" s="402"/>
    </row>
    <row r="15" spans="1:256">
      <c r="A15" s="245">
        <v>9.1999999999999998E-3</v>
      </c>
      <c r="B15" s="247"/>
      <c r="C15" s="7" t="s">
        <v>382</v>
      </c>
      <c r="D15" s="7">
        <v>2080</v>
      </c>
      <c r="E15" s="97">
        <f t="shared" si="0"/>
        <v>1</v>
      </c>
      <c r="F15" s="61">
        <v>53426</v>
      </c>
      <c r="G15" s="105">
        <f t="shared" si="1"/>
        <v>53426</v>
      </c>
      <c r="H15" s="99"/>
      <c r="I15" s="100"/>
      <c r="J15" s="100"/>
      <c r="K15" s="101"/>
      <c r="L15" s="100"/>
      <c r="M15" s="100">
        <f t="shared" si="2"/>
        <v>2109</v>
      </c>
      <c r="N15" s="105">
        <f>+G15+M15</f>
        <v>55535</v>
      </c>
      <c r="O15" s="402"/>
    </row>
    <row r="16" spans="1:256">
      <c r="A16" s="245">
        <v>2.58E-2</v>
      </c>
      <c r="B16" s="244"/>
      <c r="C16" s="7" t="s">
        <v>136</v>
      </c>
      <c r="D16" s="7">
        <v>2080</v>
      </c>
      <c r="E16" s="97">
        <f t="shared" si="0"/>
        <v>1</v>
      </c>
      <c r="F16" s="61">
        <v>61928</v>
      </c>
      <c r="G16" s="105">
        <f t="shared" si="1"/>
        <v>61928</v>
      </c>
      <c r="H16" s="99"/>
      <c r="I16" s="100"/>
      <c r="J16" s="100"/>
      <c r="K16" s="101"/>
      <c r="L16" s="100"/>
      <c r="M16" s="100">
        <f t="shared" si="2"/>
        <v>3504</v>
      </c>
      <c r="N16" s="105">
        <f t="shared" si="3"/>
        <v>65432</v>
      </c>
      <c r="O16" s="402"/>
    </row>
    <row r="17" spans="1:15">
      <c r="A17" s="245">
        <v>9.1999999999999998E-3</v>
      </c>
      <c r="B17" s="244"/>
      <c r="C17" s="7" t="s">
        <v>403</v>
      </c>
      <c r="D17" s="7">
        <v>2080</v>
      </c>
      <c r="E17" s="97">
        <f t="shared" si="0"/>
        <v>1</v>
      </c>
      <c r="F17" s="61">
        <v>46276</v>
      </c>
      <c r="G17" s="105">
        <f t="shared" si="1"/>
        <v>46276</v>
      </c>
      <c r="H17" s="99"/>
      <c r="I17" s="100"/>
      <c r="J17" s="100"/>
      <c r="K17" s="101"/>
      <c r="L17" s="100"/>
      <c r="M17" s="100">
        <f t="shared" si="2"/>
        <v>1827</v>
      </c>
      <c r="N17" s="105">
        <f t="shared" ref="N17:N20" si="4">+G17+M17</f>
        <v>48103</v>
      </c>
      <c r="O17" s="402"/>
    </row>
    <row r="18" spans="1:15">
      <c r="A18" s="245">
        <v>1.54E-2</v>
      </c>
      <c r="B18" s="244"/>
      <c r="C18" s="7" t="s">
        <v>404</v>
      </c>
      <c r="D18" s="7">
        <v>2080</v>
      </c>
      <c r="E18" s="97">
        <f t="shared" si="0"/>
        <v>1</v>
      </c>
      <c r="F18" s="61">
        <v>47549</v>
      </c>
      <c r="G18" s="105">
        <f t="shared" si="1"/>
        <v>47549</v>
      </c>
      <c r="H18" s="99"/>
      <c r="I18" s="99"/>
      <c r="J18" s="99"/>
      <c r="K18" s="104"/>
      <c r="L18" s="99"/>
      <c r="M18" s="100">
        <f t="shared" si="2"/>
        <v>2180</v>
      </c>
      <c r="N18" s="105">
        <f t="shared" si="4"/>
        <v>49729</v>
      </c>
      <c r="O18" s="403"/>
    </row>
    <row r="19" spans="1:15">
      <c r="A19" s="245">
        <v>2.2599999999999999E-2</v>
      </c>
      <c r="B19" s="244"/>
      <c r="C19" s="7" t="s">
        <v>405</v>
      </c>
      <c r="D19" s="7">
        <v>2080</v>
      </c>
      <c r="E19" s="97">
        <f t="shared" si="0"/>
        <v>1</v>
      </c>
      <c r="F19" s="61">
        <v>45038</v>
      </c>
      <c r="G19" s="105">
        <f t="shared" si="1"/>
        <v>45038</v>
      </c>
      <c r="H19" s="99"/>
      <c r="I19" s="99"/>
      <c r="J19" s="99"/>
      <c r="K19" s="104"/>
      <c r="L19" s="99"/>
      <c r="M19" s="100">
        <f t="shared" si="2"/>
        <v>2399</v>
      </c>
      <c r="N19" s="105">
        <f t="shared" si="4"/>
        <v>47437</v>
      </c>
      <c r="O19" s="403"/>
    </row>
    <row r="20" spans="1:15">
      <c r="A20" s="245">
        <v>2.3E-2</v>
      </c>
      <c r="B20" s="248"/>
      <c r="C20" s="7" t="s">
        <v>400</v>
      </c>
      <c r="D20" s="7">
        <v>2080</v>
      </c>
      <c r="E20" s="97">
        <f t="shared" si="0"/>
        <v>1</v>
      </c>
      <c r="F20" s="211">
        <v>43832</v>
      </c>
      <c r="G20" s="105">
        <f>ROUND(F20*E20,0)</f>
        <v>43832</v>
      </c>
      <c r="H20" s="99"/>
      <c r="I20" s="99"/>
      <c r="J20" s="99"/>
      <c r="K20" s="104"/>
      <c r="L20" s="99"/>
      <c r="M20" s="100">
        <f t="shared" si="2"/>
        <v>2353</v>
      </c>
      <c r="N20" s="105">
        <f t="shared" si="4"/>
        <v>46185</v>
      </c>
      <c r="O20" s="403"/>
    </row>
    <row r="21" spans="1:15">
      <c r="A21" s="289" t="s">
        <v>137</v>
      </c>
      <c r="B21" s="290">
        <v>0.03</v>
      </c>
      <c r="C21" s="169" t="s">
        <v>138</v>
      </c>
      <c r="E21" s="97"/>
      <c r="F21" s="61"/>
      <c r="G21" s="276">
        <f>SUM(G11:G20)</f>
        <v>534455</v>
      </c>
      <c r="H21" s="109"/>
      <c r="I21" s="108"/>
      <c r="J21" s="108"/>
      <c r="K21" s="109"/>
      <c r="L21" s="109"/>
      <c r="M21" s="108"/>
      <c r="N21" s="298"/>
      <c r="O21" s="386"/>
    </row>
    <row r="22" spans="1:15">
      <c r="A22" s="291" t="s">
        <v>139</v>
      </c>
      <c r="B22" s="207"/>
      <c r="C22" s="292" t="s">
        <v>140</v>
      </c>
      <c r="D22" s="279"/>
      <c r="E22" s="280"/>
      <c r="F22" s="288"/>
      <c r="G22" s="293">
        <v>465000</v>
      </c>
      <c r="H22" s="394">
        <f>'LINE ITEM EXP'!C9</f>
        <v>475796</v>
      </c>
      <c r="I22" s="395">
        <f>'LINE ITEM EXP'!D9</f>
        <v>225948</v>
      </c>
      <c r="J22" s="395">
        <f>'LINE ITEM EXP'!E9</f>
        <v>531276</v>
      </c>
      <c r="K22" s="396">
        <f>G22</f>
        <v>465000</v>
      </c>
      <c r="L22" s="396">
        <f>G21</f>
        <v>534455</v>
      </c>
      <c r="M22" s="395">
        <f>SUM(M11:M20)</f>
        <v>26395</v>
      </c>
      <c r="N22" s="397">
        <f>SUM(N11:N21)</f>
        <v>560850</v>
      </c>
      <c r="O22" s="386"/>
    </row>
    <row r="23" spans="1:15">
      <c r="A23" s="177">
        <v>111</v>
      </c>
      <c r="B23" s="178" t="s">
        <v>141</v>
      </c>
      <c r="C23" s="269"/>
      <c r="D23" s="294" t="s">
        <v>134</v>
      </c>
      <c r="E23" s="295" t="s">
        <v>142</v>
      </c>
      <c r="F23" s="296" t="s">
        <v>143</v>
      </c>
      <c r="G23" s="297" t="s">
        <v>144</v>
      </c>
      <c r="H23" s="99"/>
      <c r="I23" s="99"/>
      <c r="J23" s="99"/>
      <c r="K23" s="99"/>
      <c r="L23" s="99"/>
      <c r="M23" s="108"/>
      <c r="N23" s="298"/>
      <c r="O23" s="386"/>
    </row>
    <row r="24" spans="1:15">
      <c r="A24" s="419">
        <f t="shared" ref="A24:A37" si="5">DATEDIF((B24),(C$129),"y")</f>
        <v>13</v>
      </c>
      <c r="B24" s="420">
        <v>38419</v>
      </c>
      <c r="C24" s="91" t="s">
        <v>399</v>
      </c>
      <c r="D24" s="115">
        <f>G11</f>
        <v>77558</v>
      </c>
      <c r="E24" s="116">
        <f>IF(A24&lt;5,0,IF(AND(A24&gt;=5,A24&lt;=9),0.01,IF(AND(A24&gt;=10,A24&lt;=14),0.02,IF(AND(A24&gt;=15,A24&lt;=19),0.03,IF(AND(A24&gt;=20,A24&lt;=50),0.04,"")))))</f>
        <v>0.02</v>
      </c>
      <c r="F24" s="117">
        <v>1</v>
      </c>
      <c r="G24" s="105">
        <f>ROUND(D24*E24,0)</f>
        <v>1551</v>
      </c>
      <c r="H24" s="99"/>
      <c r="I24" s="99"/>
      <c r="J24" s="99"/>
      <c r="K24" s="104"/>
      <c r="L24" s="99"/>
      <c r="M24" s="100">
        <f>ROUND(M11*E24,0)</f>
        <v>82</v>
      </c>
      <c r="N24" s="105">
        <f>G24+M24</f>
        <v>1633</v>
      </c>
      <c r="O24" s="386"/>
    </row>
    <row r="25" spans="1:15">
      <c r="A25" s="419">
        <f t="shared" si="5"/>
        <v>1</v>
      </c>
      <c r="B25" s="420">
        <v>42933</v>
      </c>
      <c r="C25" s="91" t="s">
        <v>379</v>
      </c>
      <c r="D25" s="115">
        <v>51996</v>
      </c>
      <c r="E25" s="116">
        <v>0</v>
      </c>
      <c r="F25" s="117">
        <v>1</v>
      </c>
      <c r="G25" s="105">
        <f>ROUND(D25*E25,0)</f>
        <v>0</v>
      </c>
      <c r="H25" s="99"/>
      <c r="I25" s="99"/>
      <c r="J25" s="99"/>
      <c r="K25" s="104"/>
      <c r="L25" s="99"/>
      <c r="M25" s="100">
        <f>ROUND((M12*E25)*F25,0)</f>
        <v>0</v>
      </c>
      <c r="N25" s="105">
        <f t="shared" ref="N25:N37" si="6">G25+M25</f>
        <v>0</v>
      </c>
      <c r="O25" s="386"/>
    </row>
    <row r="26" spans="1:15">
      <c r="A26" s="421">
        <f t="shared" si="5"/>
        <v>14</v>
      </c>
      <c r="B26" s="422">
        <v>38005</v>
      </c>
      <c r="C26" s="7" t="s">
        <v>380</v>
      </c>
      <c r="D26" s="115">
        <f>+G14</f>
        <v>53426</v>
      </c>
      <c r="E26" s="116">
        <f t="shared" ref="E26" si="7">IF(A26&lt;5,0,IF(AND(A26&gt;=5,A26&lt;=9),0.01,IF(AND(A26&gt;=10,A26&lt;=14),0.02,IF(AND(A26&gt;=15,A26&lt;=19),0.03,IF(AND(A26&gt;=20,A26&lt;=50),0.04,"")))))</f>
        <v>0.02</v>
      </c>
      <c r="F26" s="117">
        <v>1</v>
      </c>
      <c r="G26" s="105">
        <f t="shared" ref="G26:G32" si="8">ROUND(D26*E26,0)</f>
        <v>1069</v>
      </c>
      <c r="H26" s="99"/>
      <c r="I26" s="99"/>
      <c r="J26" s="99"/>
      <c r="K26" s="104"/>
      <c r="L26" s="99"/>
      <c r="M26" s="100">
        <f>ROUND(M14*E26,0)</f>
        <v>61</v>
      </c>
      <c r="N26" s="105">
        <f t="shared" si="6"/>
        <v>1130</v>
      </c>
      <c r="O26" s="386"/>
    </row>
    <row r="27" spans="1:15">
      <c r="A27" s="419">
        <f t="shared" si="5"/>
        <v>22</v>
      </c>
      <c r="B27" s="420">
        <v>35186</v>
      </c>
      <c r="C27" s="91" t="s">
        <v>383</v>
      </c>
      <c r="D27" s="115">
        <f>G13</f>
        <v>53426</v>
      </c>
      <c r="E27" s="116">
        <f>IF(A27&lt;5,0,IF(AND(A27&gt;=5,A27&lt;=9),0.01,IF(AND(A27&gt;=10,A27&lt;=14),0.02,IF(AND(A27&gt;=15,A27&lt;=19),0.03,IF(AND(A27&gt;=20,A27&lt;=50),0.04,"")))))</f>
        <v>0.04</v>
      </c>
      <c r="F27" s="117">
        <v>1</v>
      </c>
      <c r="G27" s="105">
        <f>ROUND(D27*E27*F27,0)</f>
        <v>2137</v>
      </c>
      <c r="H27" s="99"/>
      <c r="I27" s="99"/>
      <c r="J27" s="99"/>
      <c r="K27" s="104"/>
      <c r="L27" s="99"/>
      <c r="M27" s="100">
        <f>ROUND(M13*E27,0)</f>
        <v>105</v>
      </c>
      <c r="N27" s="105">
        <f t="shared" si="6"/>
        <v>2242</v>
      </c>
      <c r="O27" s="386"/>
    </row>
    <row r="28" spans="1:15">
      <c r="A28" s="419">
        <f t="shared" si="5"/>
        <v>11</v>
      </c>
      <c r="B28" s="420">
        <v>39199</v>
      </c>
      <c r="C28" s="91" t="s">
        <v>145</v>
      </c>
      <c r="D28" s="115">
        <f>+G44</f>
        <v>19271</v>
      </c>
      <c r="E28" s="116">
        <f>IF(A28&lt;5,0,IF(AND(A28&gt;=5,A28&lt;=9),0.01,IF(AND(A28&gt;=10,A28&lt;=14),0.02,IF(AND(A28&gt;=15,A28&lt;=19),0.03,IF(AND(A28&gt;=20,A28&lt;=50),0.04,"")))))</f>
        <v>0.02</v>
      </c>
      <c r="F28" s="117">
        <v>1</v>
      </c>
      <c r="G28" s="105">
        <f t="shared" ref="G28" si="9">ROUND(D28*E28,0)</f>
        <v>385</v>
      </c>
      <c r="H28" s="99"/>
      <c r="I28" s="99"/>
      <c r="J28" s="99"/>
      <c r="K28" s="104"/>
      <c r="L28" s="99"/>
      <c r="M28" s="100">
        <f>ROUND((M44*E28)*F28,0)</f>
        <v>19</v>
      </c>
      <c r="N28" s="105">
        <f t="shared" si="6"/>
        <v>404</v>
      </c>
      <c r="O28" s="386"/>
    </row>
    <row r="29" spans="1:15">
      <c r="A29" s="419">
        <f t="shared" si="5"/>
        <v>14</v>
      </c>
      <c r="B29" s="420">
        <v>38145</v>
      </c>
      <c r="C29" s="91" t="s">
        <v>146</v>
      </c>
      <c r="D29" s="115">
        <f>+G46</f>
        <v>20342</v>
      </c>
      <c r="E29" s="116">
        <f>IF(A29&lt;5,0,IF(AND(A29&gt;=5,A29&lt;=9),0.01,IF(AND(A29&gt;=10,A29&lt;=14),0.02,IF(AND(A29&gt;=15,A29&lt;=19),0.03,IF(AND(A29&gt;=20,A29&lt;=50),0.04,"")))))</f>
        <v>0.02</v>
      </c>
      <c r="F29" s="117">
        <v>1</v>
      </c>
      <c r="G29" s="105">
        <f t="shared" si="8"/>
        <v>407</v>
      </c>
      <c r="H29" s="99"/>
      <c r="I29" s="99"/>
      <c r="J29" s="99"/>
      <c r="K29" s="104"/>
      <c r="L29" s="99"/>
      <c r="M29" s="100">
        <f>ROUND((M46*E29)*F29,0)</f>
        <v>12</v>
      </c>
      <c r="N29" s="105">
        <f t="shared" si="6"/>
        <v>419</v>
      </c>
      <c r="O29" s="386"/>
    </row>
    <row r="30" spans="1:15">
      <c r="A30" s="419">
        <f t="shared" si="5"/>
        <v>12</v>
      </c>
      <c r="B30" s="420">
        <v>38884</v>
      </c>
      <c r="C30" s="91" t="s">
        <v>147</v>
      </c>
      <c r="D30" s="115">
        <f>+G43</f>
        <v>24411</v>
      </c>
      <c r="E30" s="116">
        <f t="shared" ref="E30:E36" si="10">IF(A30&lt;5,0,IF(AND(A30&gt;=5,A30&lt;=9),0.01,IF(AND(A30&gt;=10,A30&lt;=14),0.02,IF(AND(A30&gt;=15,A30&lt;=19),0.03,IF(AND(A30&gt;=20,A30&lt;=50),0.04,"")))))</f>
        <v>0.02</v>
      </c>
      <c r="F30" s="117">
        <v>1</v>
      </c>
      <c r="G30" s="105">
        <f>ROUND(D30*E30*F30,0)</f>
        <v>488</v>
      </c>
      <c r="H30" s="99"/>
      <c r="I30" s="99"/>
      <c r="J30" s="99"/>
      <c r="K30" s="104"/>
      <c r="L30" s="99"/>
      <c r="M30" s="100">
        <f>ROUND((M14*E30)*F30,0)</f>
        <v>61</v>
      </c>
      <c r="N30" s="105">
        <f>G30+M30</f>
        <v>549</v>
      </c>
      <c r="O30" s="386"/>
    </row>
    <row r="31" spans="1:15">
      <c r="A31" s="419">
        <f t="shared" si="5"/>
        <v>9</v>
      </c>
      <c r="B31" s="420">
        <v>39835</v>
      </c>
      <c r="C31" s="7" t="s">
        <v>401</v>
      </c>
      <c r="D31" s="115">
        <f>+G16</f>
        <v>61928</v>
      </c>
      <c r="E31" s="116">
        <f t="shared" si="10"/>
        <v>0.01</v>
      </c>
      <c r="F31" s="117">
        <v>1</v>
      </c>
      <c r="G31" s="105">
        <f t="shared" si="8"/>
        <v>619</v>
      </c>
      <c r="H31" s="99"/>
      <c r="I31" s="99"/>
      <c r="J31" s="99"/>
      <c r="K31" s="104"/>
      <c r="L31" s="99"/>
      <c r="M31" s="100">
        <f>ROUND((M14*E31)*F31,0)</f>
        <v>31</v>
      </c>
      <c r="N31" s="105">
        <f t="shared" ref="N31:N36" si="11">G31+M31</f>
        <v>650</v>
      </c>
      <c r="O31" s="386"/>
    </row>
    <row r="32" spans="1:15">
      <c r="A32" s="419">
        <f t="shared" si="5"/>
        <v>9</v>
      </c>
      <c r="B32" s="420">
        <v>39842</v>
      </c>
      <c r="C32" s="7" t="s">
        <v>402</v>
      </c>
      <c r="D32" s="115">
        <f>+G47</f>
        <v>23140</v>
      </c>
      <c r="E32" s="116">
        <f t="shared" si="10"/>
        <v>0.01</v>
      </c>
      <c r="F32" s="117">
        <v>1</v>
      </c>
      <c r="G32" s="105">
        <f t="shared" si="8"/>
        <v>231</v>
      </c>
      <c r="H32" s="99"/>
      <c r="I32" s="99"/>
      <c r="J32" s="99"/>
      <c r="K32" s="104"/>
      <c r="L32" s="99"/>
      <c r="M32" s="100">
        <f>ROUND((M47*E32)*F32,0)</f>
        <v>13</v>
      </c>
      <c r="N32" s="105">
        <f t="shared" si="11"/>
        <v>244</v>
      </c>
      <c r="O32" s="386"/>
    </row>
    <row r="33" spans="1:15">
      <c r="A33" s="419">
        <f t="shared" si="5"/>
        <v>3</v>
      </c>
      <c r="B33" s="420">
        <v>42240</v>
      </c>
      <c r="C33" s="7" t="s">
        <v>365</v>
      </c>
      <c r="D33" s="115">
        <f>+G17</f>
        <v>46276</v>
      </c>
      <c r="E33" s="116">
        <f t="shared" si="10"/>
        <v>0</v>
      </c>
      <c r="F33" s="117">
        <v>0</v>
      </c>
      <c r="G33" s="275">
        <f>ROUND(D33*E33,0)</f>
        <v>0</v>
      </c>
      <c r="H33" s="99"/>
      <c r="I33" s="99"/>
      <c r="J33" s="99"/>
      <c r="K33" s="104"/>
      <c r="L33" s="99"/>
      <c r="M33" s="100">
        <f>ROUND((M15*E33)*F33,0)</f>
        <v>0</v>
      </c>
      <c r="N33" s="105">
        <f t="shared" si="11"/>
        <v>0</v>
      </c>
      <c r="O33" s="386"/>
    </row>
    <row r="34" spans="1:15">
      <c r="A34" s="419">
        <f t="shared" si="5"/>
        <v>2</v>
      </c>
      <c r="B34" s="420">
        <v>42408</v>
      </c>
      <c r="C34" s="7" t="s">
        <v>405</v>
      </c>
      <c r="D34" s="115">
        <f>+G19</f>
        <v>45038</v>
      </c>
      <c r="E34" s="116">
        <f t="shared" si="10"/>
        <v>0</v>
      </c>
      <c r="F34" s="117">
        <v>0</v>
      </c>
      <c r="G34" s="275">
        <f>ROUND(D34*E34,0)</f>
        <v>0</v>
      </c>
      <c r="H34" s="99"/>
      <c r="I34" s="99"/>
      <c r="J34" s="99"/>
      <c r="K34" s="104"/>
      <c r="L34" s="99"/>
      <c r="M34" s="100">
        <f>ROUND((M16*E34)*F34,0)</f>
        <v>0</v>
      </c>
      <c r="N34" s="105">
        <f t="shared" ref="N34" si="12">G34+M34</f>
        <v>0</v>
      </c>
      <c r="O34" s="386"/>
    </row>
    <row r="35" spans="1:15">
      <c r="A35" s="419">
        <f t="shared" si="5"/>
        <v>6</v>
      </c>
      <c r="B35" s="420">
        <v>41071</v>
      </c>
      <c r="C35" s="7" t="s">
        <v>404</v>
      </c>
      <c r="D35" s="115">
        <f>+G18</f>
        <v>47549</v>
      </c>
      <c r="E35" s="116">
        <f t="shared" si="10"/>
        <v>0.01</v>
      </c>
      <c r="F35" s="117">
        <v>0</v>
      </c>
      <c r="G35" s="275">
        <f>ROUND(D35*E35,0)</f>
        <v>475</v>
      </c>
      <c r="H35" s="99"/>
      <c r="I35" s="99"/>
      <c r="J35" s="99"/>
      <c r="K35" s="104"/>
      <c r="L35" s="99"/>
      <c r="M35" s="100">
        <f>ROUND((M17*E35)*F35,0)</f>
        <v>0</v>
      </c>
      <c r="N35" s="105">
        <f t="shared" ref="N35" si="13">G35+M35</f>
        <v>475</v>
      </c>
      <c r="O35" s="386"/>
    </row>
    <row r="36" spans="1:15">
      <c r="A36" s="419">
        <f t="shared" si="5"/>
        <v>9</v>
      </c>
      <c r="B36" s="420">
        <v>40056</v>
      </c>
      <c r="C36" s="91" t="s">
        <v>382</v>
      </c>
      <c r="D36" s="115">
        <f>+G15</f>
        <v>53426</v>
      </c>
      <c r="E36" s="116">
        <f t="shared" si="10"/>
        <v>0.01</v>
      </c>
      <c r="F36" s="117">
        <v>1</v>
      </c>
      <c r="G36" s="275">
        <f>ROUND(D36*E36,0)</f>
        <v>534</v>
      </c>
      <c r="H36" s="99"/>
      <c r="I36" s="99"/>
      <c r="J36" s="99"/>
      <c r="K36" s="104"/>
      <c r="L36" s="99"/>
      <c r="M36" s="100">
        <f>ROUND((M16*E36)*F36,0)</f>
        <v>35</v>
      </c>
      <c r="N36" s="105">
        <f t="shared" si="11"/>
        <v>569</v>
      </c>
      <c r="O36" s="386"/>
    </row>
    <row r="37" spans="1:15">
      <c r="A37" s="419">
        <f t="shared" si="5"/>
        <v>10</v>
      </c>
      <c r="B37" s="420">
        <v>39606</v>
      </c>
      <c r="C37" s="91" t="s">
        <v>148</v>
      </c>
      <c r="D37" s="115">
        <f>+G45</f>
        <v>18751</v>
      </c>
      <c r="E37" s="116">
        <f>IF(A37&lt;5,0,IF(AND(A37&gt;=5,A37&lt;=9),0.01,IF(AND(A37&gt;=10,A37&lt;=14),0.02,IF(AND(A37&gt;=15,A37&lt;=19),0.03,IF(AND(A37&gt;=20,A37&lt;=50),0.04,"")))))</f>
        <v>0.02</v>
      </c>
      <c r="F37" s="117">
        <v>1</v>
      </c>
      <c r="G37" s="298">
        <f>ROUND(D37*E37,0)</f>
        <v>375</v>
      </c>
      <c r="H37" s="99"/>
      <c r="I37" s="99"/>
      <c r="J37" s="99"/>
      <c r="K37" s="104"/>
      <c r="L37" s="99"/>
      <c r="M37" s="100">
        <f>ROUND((M16*E37)*F37,0)</f>
        <v>70</v>
      </c>
      <c r="N37" s="105">
        <f t="shared" si="6"/>
        <v>445</v>
      </c>
      <c r="O37" s="386"/>
    </row>
    <row r="38" spans="1:15">
      <c r="A38" s="189"/>
      <c r="B38" s="95"/>
      <c r="C38" s="106" t="s">
        <v>149</v>
      </c>
      <c r="E38" s="97"/>
      <c r="F38" s="98"/>
      <c r="G38" s="299">
        <f>SUM(G24:G37)</f>
        <v>8271</v>
      </c>
      <c r="H38" s="109"/>
      <c r="I38" s="108"/>
      <c r="J38" s="108"/>
      <c r="K38" s="109"/>
      <c r="L38" s="109"/>
      <c r="M38" s="108"/>
      <c r="N38" s="298"/>
      <c r="O38" s="386"/>
    </row>
    <row r="39" spans="1:15">
      <c r="A39" s="204"/>
      <c r="B39" s="277"/>
      <c r="C39" s="278" t="s">
        <v>140</v>
      </c>
      <c r="D39" s="279"/>
      <c r="E39" s="280"/>
      <c r="F39" s="288"/>
      <c r="G39" s="282">
        <f>3720+3720</f>
        <v>7440</v>
      </c>
      <c r="H39" s="394">
        <f>'LINE ITEM EXP'!C10</f>
        <v>7577</v>
      </c>
      <c r="I39" s="395">
        <f>'LINE ITEM EXP'!D10</f>
        <v>3720</v>
      </c>
      <c r="J39" s="395">
        <f>'LINE ITEM EXP'!E10</f>
        <v>8672</v>
      </c>
      <c r="K39" s="396">
        <f>G39</f>
        <v>7440</v>
      </c>
      <c r="L39" s="396">
        <f>G38</f>
        <v>8271</v>
      </c>
      <c r="M39" s="395">
        <f>SUM(M24:M38)</f>
        <v>489</v>
      </c>
      <c r="N39" s="398">
        <f>SUM(N24:N38)</f>
        <v>8760</v>
      </c>
      <c r="O39" s="386"/>
    </row>
    <row r="40" spans="1:15">
      <c r="A40" s="177">
        <v>120</v>
      </c>
      <c r="B40" s="178" t="s">
        <v>150</v>
      </c>
      <c r="C40" s="269"/>
      <c r="D40" s="270"/>
      <c r="E40" s="270"/>
      <c r="F40" s="271" t="s">
        <v>151</v>
      </c>
      <c r="G40" s="272"/>
      <c r="H40" s="99"/>
      <c r="I40" s="99"/>
      <c r="J40" s="99"/>
      <c r="K40" s="99"/>
      <c r="L40" s="99"/>
      <c r="M40" s="100"/>
      <c r="N40" s="105"/>
      <c r="O40" s="386"/>
    </row>
    <row r="41" spans="1:15">
      <c r="A41" s="185"/>
      <c r="B41" s="92"/>
      <c r="C41" s="91"/>
      <c r="D41" s="93" t="s">
        <v>131</v>
      </c>
      <c r="E41" s="93" t="s">
        <v>132</v>
      </c>
      <c r="F41" s="93" t="s">
        <v>152</v>
      </c>
      <c r="G41" s="273" t="s">
        <v>134</v>
      </c>
      <c r="H41" s="99"/>
      <c r="I41" s="99"/>
      <c r="J41" s="99"/>
      <c r="K41" s="99"/>
      <c r="L41" s="99"/>
      <c r="M41" s="100"/>
      <c r="N41" s="105"/>
      <c r="O41" s="386"/>
    </row>
    <row r="42" spans="1:15">
      <c r="A42" s="185"/>
      <c r="B42" s="92"/>
      <c r="C42" s="122" t="s">
        <v>153</v>
      </c>
      <c r="D42" s="96"/>
      <c r="E42" s="97"/>
      <c r="F42" s="98"/>
      <c r="G42" s="105"/>
      <c r="H42" s="99"/>
      <c r="I42" s="99"/>
      <c r="J42" s="99"/>
      <c r="K42" s="99"/>
      <c r="L42" s="99"/>
      <c r="M42" s="100"/>
      <c r="N42" s="105"/>
      <c r="O42" s="386"/>
    </row>
    <row r="43" spans="1:15">
      <c r="A43" s="245">
        <v>0</v>
      </c>
      <c r="B43" s="249"/>
      <c r="C43" s="118" t="s">
        <v>147</v>
      </c>
      <c r="D43" s="7">
        <v>1248</v>
      </c>
      <c r="E43" s="97">
        <f>ROUND(D43/2080,2)</f>
        <v>0.6</v>
      </c>
      <c r="F43" s="209">
        <v>19.559999999999999</v>
      </c>
      <c r="G43" s="105">
        <f>ROUND(D43*F43,0)</f>
        <v>24411</v>
      </c>
      <c r="H43" s="99"/>
      <c r="I43" s="99"/>
      <c r="J43" s="99"/>
      <c r="K43" s="104"/>
      <c r="L43" s="99"/>
      <c r="M43" s="100">
        <f>ROUND(G43*B$84,0)+ROUND((((G43*B$84)+G43)*A43),0)</f>
        <v>732</v>
      </c>
      <c r="N43" s="105">
        <f>G43+M43</f>
        <v>25143</v>
      </c>
      <c r="O43" s="386"/>
    </row>
    <row r="44" spans="1:15">
      <c r="A44" s="245">
        <v>1.84E-2</v>
      </c>
      <c r="B44" s="251"/>
      <c r="C44" s="119" t="s">
        <v>145</v>
      </c>
      <c r="D44" s="7">
        <v>1040</v>
      </c>
      <c r="E44" s="97">
        <f t="shared" ref="E44:E67" si="14">ROUND(D44/2080,2)</f>
        <v>0.5</v>
      </c>
      <c r="F44" s="98">
        <v>18.53</v>
      </c>
      <c r="G44" s="105">
        <f>ROUND(D44*F44,0)</f>
        <v>19271</v>
      </c>
      <c r="H44" s="99"/>
      <c r="I44" s="99"/>
      <c r="J44" s="99"/>
      <c r="K44" s="104"/>
      <c r="L44" s="99"/>
      <c r="M44" s="100">
        <f>ROUND(G44*B$84,0)+ROUND((((G44*B$84)+G44)*A44),0)</f>
        <v>943</v>
      </c>
      <c r="N44" s="105">
        <f t="shared" ref="N44:N46" si="15">G44+M44</f>
        <v>20214</v>
      </c>
      <c r="O44" s="386"/>
    </row>
    <row r="45" spans="1:15">
      <c r="A45" s="245">
        <v>2.0619999999999999E-2</v>
      </c>
      <c r="B45" s="250"/>
      <c r="C45" s="91" t="s">
        <v>148</v>
      </c>
      <c r="D45" s="7">
        <v>1040</v>
      </c>
      <c r="E45" s="123">
        <f t="shared" si="14"/>
        <v>0.5</v>
      </c>
      <c r="F45" s="210">
        <v>18.03</v>
      </c>
      <c r="G45" s="105">
        <f>ROUND(D45*F45,0)</f>
        <v>18751</v>
      </c>
      <c r="H45" s="99"/>
      <c r="I45" s="99"/>
      <c r="J45" s="99"/>
      <c r="K45" s="104"/>
      <c r="L45" s="99"/>
      <c r="M45" s="100">
        <f>ROUND(G45*B$84,0)+ROUND((((G45*B$84)+G45)*A45),0)</f>
        <v>961</v>
      </c>
      <c r="N45" s="105">
        <f>G45+M45</f>
        <v>19712</v>
      </c>
      <c r="O45" s="402"/>
    </row>
    <row r="46" spans="1:15">
      <c r="A46" s="245">
        <v>0</v>
      </c>
      <c r="B46" s="250"/>
      <c r="C46" s="91" t="s">
        <v>146</v>
      </c>
      <c r="D46" s="7">
        <v>1040</v>
      </c>
      <c r="E46" s="97">
        <f t="shared" si="14"/>
        <v>0.5</v>
      </c>
      <c r="F46" s="209">
        <v>19.559999999999999</v>
      </c>
      <c r="G46" s="105">
        <f>ROUND(F46*D46,0)</f>
        <v>20342</v>
      </c>
      <c r="H46" s="133"/>
      <c r="I46" s="99"/>
      <c r="J46" s="99"/>
      <c r="K46" s="104"/>
      <c r="L46" s="99"/>
      <c r="M46" s="100">
        <f>ROUND(G46*B$84,0)+ROUND((((G46*B$84)+G46)*A46),0)</f>
        <v>610</v>
      </c>
      <c r="N46" s="105">
        <f t="shared" si="15"/>
        <v>20952</v>
      </c>
      <c r="O46" s="402"/>
    </row>
    <row r="47" spans="1:15">
      <c r="A47" s="245">
        <v>2.53E-2</v>
      </c>
      <c r="B47" s="250"/>
      <c r="C47" s="91" t="s">
        <v>406</v>
      </c>
      <c r="D47" s="7">
        <v>1040</v>
      </c>
      <c r="E47" s="97">
        <f t="shared" si="14"/>
        <v>0.5</v>
      </c>
      <c r="F47" s="209">
        <v>22.25</v>
      </c>
      <c r="G47" s="105">
        <f>ROUND(F47*D47,0)</f>
        <v>23140</v>
      </c>
      <c r="H47" s="133"/>
      <c r="I47" s="99"/>
      <c r="J47" s="99"/>
      <c r="K47" s="104"/>
      <c r="L47" s="99"/>
      <c r="M47" s="100">
        <f>ROUND(G47*B$84,0)+ROUND((((G47*B$84)+G47)*A47),0)</f>
        <v>1297</v>
      </c>
      <c r="N47" s="105">
        <f t="shared" ref="N47" si="16">G47+M47</f>
        <v>24437</v>
      </c>
      <c r="O47" s="402"/>
    </row>
    <row r="48" spans="1:15">
      <c r="A48" s="300"/>
      <c r="B48" s="252"/>
      <c r="C48" s="91" t="s">
        <v>154</v>
      </c>
      <c r="E48" s="97"/>
      <c r="F48" s="61"/>
      <c r="G48" s="274">
        <f>SUM(G43:G47)</f>
        <v>105915</v>
      </c>
      <c r="H48" s="99"/>
      <c r="I48" s="99"/>
      <c r="J48" s="99"/>
      <c r="K48" s="99"/>
      <c r="L48" s="99"/>
      <c r="M48" s="100"/>
      <c r="N48" s="105"/>
      <c r="O48" s="402"/>
    </row>
    <row r="49" spans="1:15">
      <c r="A49" s="300"/>
      <c r="B49" s="252"/>
      <c r="C49" s="122"/>
      <c r="D49" s="10"/>
      <c r="E49" s="97"/>
      <c r="F49" s="125"/>
      <c r="G49" s="105"/>
      <c r="H49" s="133"/>
      <c r="I49" s="99"/>
      <c r="J49" s="99"/>
      <c r="K49" s="104"/>
      <c r="L49" s="99"/>
      <c r="M49" s="100"/>
      <c r="N49" s="105"/>
      <c r="O49" s="402"/>
    </row>
    <row r="50" spans="1:15">
      <c r="A50" s="301"/>
      <c r="B50" s="252"/>
      <c r="C50" s="122" t="s">
        <v>155</v>
      </c>
      <c r="D50" s="10"/>
      <c r="E50" s="97"/>
      <c r="F50" s="98"/>
      <c r="G50" s="275"/>
      <c r="H50" s="99"/>
      <c r="I50" s="99"/>
      <c r="J50" s="99"/>
      <c r="K50" s="104"/>
      <c r="L50" s="99"/>
      <c r="M50" s="100"/>
      <c r="N50" s="105"/>
      <c r="O50" s="402"/>
    </row>
    <row r="51" spans="1:15">
      <c r="A51" s="245">
        <v>2.0400000000000001E-2</v>
      </c>
      <c r="B51" s="250"/>
      <c r="C51" s="119" t="s">
        <v>156</v>
      </c>
      <c r="D51" s="7">
        <v>832</v>
      </c>
      <c r="E51" s="97">
        <f t="shared" ref="E51:E65" si="17">ROUND(D51/2080,2)</f>
        <v>0.4</v>
      </c>
      <c r="F51" s="209">
        <v>16.63</v>
      </c>
      <c r="G51" s="105">
        <f>ROUND(D51*F51,0)</f>
        <v>13836</v>
      </c>
      <c r="H51" s="99"/>
      <c r="I51" s="120"/>
      <c r="J51" s="99"/>
      <c r="K51" s="99"/>
      <c r="L51" s="99"/>
      <c r="M51" s="100">
        <f t="shared" ref="M51:M56" si="18">ROUND(G51*B$84,0)+ROUND((((G51*B$84)+G51)*A51),0)</f>
        <v>706</v>
      </c>
      <c r="N51" s="105">
        <f t="shared" ref="N51" si="19">G51+M51</f>
        <v>14542</v>
      </c>
      <c r="O51" s="402"/>
    </row>
    <row r="52" spans="1:15">
      <c r="A52" s="245">
        <v>1.4200000000000001E-2</v>
      </c>
      <c r="B52" s="250"/>
      <c r="C52" s="119" t="s">
        <v>157</v>
      </c>
      <c r="D52" s="7">
        <v>832</v>
      </c>
      <c r="E52" s="97">
        <f t="shared" si="17"/>
        <v>0.4</v>
      </c>
      <c r="F52" s="209">
        <v>16.63</v>
      </c>
      <c r="G52" s="105">
        <f>ROUND(D52*F52,0)</f>
        <v>13836</v>
      </c>
      <c r="H52" s="99"/>
      <c r="I52" s="120"/>
      <c r="J52" s="99"/>
      <c r="K52" s="104"/>
      <c r="L52" s="99"/>
      <c r="M52" s="100">
        <f t="shared" si="18"/>
        <v>617</v>
      </c>
      <c r="N52" s="105">
        <f>G52+M52</f>
        <v>14453</v>
      </c>
      <c r="O52" s="402"/>
    </row>
    <row r="53" spans="1:15">
      <c r="A53" s="245">
        <v>2.52E-2</v>
      </c>
      <c r="B53" s="250"/>
      <c r="C53" s="91" t="s">
        <v>433</v>
      </c>
      <c r="D53" s="7">
        <v>832</v>
      </c>
      <c r="E53" s="97">
        <f t="shared" si="17"/>
        <v>0.4</v>
      </c>
      <c r="F53" s="209">
        <v>16.18</v>
      </c>
      <c r="G53" s="105">
        <f>ROUND(D53*F53,0)</f>
        <v>13462</v>
      </c>
      <c r="H53" s="99"/>
      <c r="I53" s="120"/>
      <c r="J53" s="99"/>
      <c r="K53" s="104"/>
      <c r="L53" s="99"/>
      <c r="M53" s="100">
        <f t="shared" si="18"/>
        <v>753</v>
      </c>
      <c r="N53" s="105">
        <f>G53+M53</f>
        <v>14215</v>
      </c>
      <c r="O53" s="402"/>
    </row>
    <row r="54" spans="1:15">
      <c r="A54" s="245">
        <v>2.64E-2</v>
      </c>
      <c r="B54" s="250"/>
      <c r="C54" s="91" t="s">
        <v>434</v>
      </c>
      <c r="D54" s="7">
        <v>832</v>
      </c>
      <c r="E54" s="97">
        <f t="shared" si="17"/>
        <v>0.4</v>
      </c>
      <c r="F54" s="98">
        <v>16.18</v>
      </c>
      <c r="G54" s="275">
        <f>ROUND(D54*F54,0)</f>
        <v>13462</v>
      </c>
      <c r="H54" s="99"/>
      <c r="I54" s="120"/>
      <c r="J54" s="99"/>
      <c r="K54" s="99"/>
      <c r="L54" s="99"/>
      <c r="M54" s="100">
        <f t="shared" si="18"/>
        <v>770</v>
      </c>
      <c r="N54" s="105">
        <f>G54+M54</f>
        <v>14232</v>
      </c>
      <c r="O54" s="402"/>
    </row>
    <row r="55" spans="1:15">
      <c r="A55" s="245">
        <v>2.64E-2</v>
      </c>
      <c r="B55" s="250"/>
      <c r="C55" s="91" t="s">
        <v>435</v>
      </c>
      <c r="D55" s="7">
        <v>832</v>
      </c>
      <c r="E55" s="97">
        <f t="shared" si="17"/>
        <v>0.4</v>
      </c>
      <c r="F55" s="98">
        <v>16.63</v>
      </c>
      <c r="G55" s="275">
        <f>ROUND(D55*F55,0)</f>
        <v>13836</v>
      </c>
      <c r="H55" s="99"/>
      <c r="I55" s="120"/>
      <c r="J55" s="99"/>
      <c r="K55" s="99"/>
      <c r="L55" s="99"/>
      <c r="M55" s="100">
        <f t="shared" si="18"/>
        <v>791</v>
      </c>
      <c r="N55" s="105">
        <f>G55+M55</f>
        <v>14627</v>
      </c>
      <c r="O55" s="402"/>
    </row>
    <row r="56" spans="1:15">
      <c r="A56" s="245">
        <v>1.8499999999999999E-2</v>
      </c>
      <c r="B56" s="253"/>
      <c r="C56" s="119" t="s">
        <v>158</v>
      </c>
      <c r="D56" s="7">
        <v>1040</v>
      </c>
      <c r="E56" s="97">
        <f t="shared" si="17"/>
        <v>0.5</v>
      </c>
      <c r="F56" s="209">
        <v>17.62</v>
      </c>
      <c r="G56" s="105">
        <f t="shared" ref="G56:G65" si="20">ROUND(F56*D56,0)</f>
        <v>18325</v>
      </c>
      <c r="H56" s="133"/>
      <c r="I56" s="99"/>
      <c r="J56" s="99"/>
      <c r="K56" s="104"/>
      <c r="L56" s="99"/>
      <c r="M56" s="100">
        <f t="shared" si="18"/>
        <v>899</v>
      </c>
      <c r="N56" s="105">
        <f t="shared" ref="N56:N65" si="21">G56+M56</f>
        <v>19224</v>
      </c>
      <c r="O56" s="403"/>
    </row>
    <row r="57" spans="1:15">
      <c r="A57" s="245">
        <f>0.23%*3</f>
        <v>6.8999999999999999E-3</v>
      </c>
      <c r="B57" s="212"/>
      <c r="C57" s="91" t="s">
        <v>436</v>
      </c>
      <c r="D57" s="7">
        <v>832</v>
      </c>
      <c r="E57" s="97">
        <f t="shared" si="17"/>
        <v>0.4</v>
      </c>
      <c r="F57" s="209">
        <v>16.18</v>
      </c>
      <c r="G57" s="105">
        <f t="shared" si="20"/>
        <v>13462</v>
      </c>
      <c r="H57" s="133"/>
      <c r="I57" s="99"/>
      <c r="J57" s="99"/>
      <c r="K57" s="104"/>
      <c r="L57" s="99"/>
      <c r="M57" s="100">
        <f t="shared" ref="M57:M65" si="22">ROUND(G57*B$84,0)</f>
        <v>404</v>
      </c>
      <c r="N57" s="105">
        <f t="shared" ref="N57" si="23">G57+M57</f>
        <v>13866</v>
      </c>
      <c r="O57" s="403"/>
    </row>
    <row r="58" spans="1:15">
      <c r="A58" s="302"/>
      <c r="B58" s="213"/>
      <c r="C58" s="91" t="s">
        <v>437</v>
      </c>
      <c r="D58" s="7">
        <v>832</v>
      </c>
      <c r="E58" s="97">
        <f t="shared" si="17"/>
        <v>0.4</v>
      </c>
      <c r="F58" s="209">
        <v>15.75</v>
      </c>
      <c r="G58" s="105">
        <f t="shared" si="20"/>
        <v>13104</v>
      </c>
      <c r="H58" s="133"/>
      <c r="I58" s="120"/>
      <c r="J58" s="99"/>
      <c r="K58" s="104"/>
      <c r="L58" s="99"/>
      <c r="M58" s="100">
        <f t="shared" si="22"/>
        <v>393</v>
      </c>
      <c r="N58" s="105">
        <f t="shared" si="21"/>
        <v>13497</v>
      </c>
      <c r="O58" s="402"/>
    </row>
    <row r="59" spans="1:15">
      <c r="A59" s="302"/>
      <c r="B59" s="428" t="s">
        <v>371</v>
      </c>
      <c r="C59" s="429" t="s">
        <v>370</v>
      </c>
      <c r="D59" s="429">
        <v>1040</v>
      </c>
      <c r="E59" s="430">
        <f t="shared" si="17"/>
        <v>0.5</v>
      </c>
      <c r="F59" s="431">
        <v>15.75</v>
      </c>
      <c r="G59" s="432">
        <f t="shared" si="20"/>
        <v>16380</v>
      </c>
      <c r="H59" s="133"/>
      <c r="I59" s="120"/>
      <c r="J59" s="99"/>
      <c r="K59" s="104"/>
      <c r="L59" s="99"/>
      <c r="M59" s="100">
        <f t="shared" si="22"/>
        <v>491</v>
      </c>
      <c r="N59" s="105">
        <f t="shared" si="21"/>
        <v>16871</v>
      </c>
      <c r="O59" s="402"/>
    </row>
    <row r="60" spans="1:15">
      <c r="A60" s="302"/>
      <c r="B60" s="428" t="s">
        <v>371</v>
      </c>
      <c r="C60" s="429" t="s">
        <v>369</v>
      </c>
      <c r="D60" s="429">
        <v>416</v>
      </c>
      <c r="E60" s="430">
        <f t="shared" si="17"/>
        <v>0.2</v>
      </c>
      <c r="F60" s="431">
        <v>15.75</v>
      </c>
      <c r="G60" s="432">
        <f t="shared" si="20"/>
        <v>6552</v>
      </c>
      <c r="H60" s="133"/>
      <c r="I60" s="120"/>
      <c r="J60" s="99"/>
      <c r="K60" s="104"/>
      <c r="L60" s="99"/>
      <c r="M60" s="100">
        <f t="shared" si="22"/>
        <v>197</v>
      </c>
      <c r="N60" s="105">
        <f t="shared" si="21"/>
        <v>6749</v>
      </c>
      <c r="O60" s="438" t="s">
        <v>397</v>
      </c>
    </row>
    <row r="61" spans="1:15">
      <c r="A61" s="302"/>
      <c r="B61" s="428" t="s">
        <v>371</v>
      </c>
      <c r="C61" s="429" t="s">
        <v>369</v>
      </c>
      <c r="D61" s="429">
        <v>416</v>
      </c>
      <c r="E61" s="430">
        <f t="shared" si="17"/>
        <v>0.2</v>
      </c>
      <c r="F61" s="431">
        <v>15.75</v>
      </c>
      <c r="G61" s="432">
        <f t="shared" si="20"/>
        <v>6552</v>
      </c>
      <c r="H61" s="133"/>
      <c r="I61" s="120"/>
      <c r="J61" s="99"/>
      <c r="K61" s="104"/>
      <c r="L61" s="99"/>
      <c r="M61" s="100">
        <f t="shared" si="22"/>
        <v>197</v>
      </c>
      <c r="N61" s="105">
        <f t="shared" si="21"/>
        <v>6749</v>
      </c>
      <c r="O61" s="402"/>
    </row>
    <row r="62" spans="1:15">
      <c r="A62" s="302"/>
      <c r="B62" s="428" t="s">
        <v>371</v>
      </c>
      <c r="C62" s="429" t="s">
        <v>369</v>
      </c>
      <c r="D62" s="429">
        <v>416</v>
      </c>
      <c r="E62" s="430">
        <f t="shared" si="17"/>
        <v>0.2</v>
      </c>
      <c r="F62" s="431">
        <v>15.75</v>
      </c>
      <c r="G62" s="432">
        <f t="shared" si="20"/>
        <v>6552</v>
      </c>
      <c r="H62" s="133"/>
      <c r="I62" s="120"/>
      <c r="J62" s="99"/>
      <c r="K62" s="104"/>
      <c r="L62" s="99"/>
      <c r="M62" s="100">
        <f t="shared" si="22"/>
        <v>197</v>
      </c>
      <c r="N62" s="105">
        <f t="shared" si="21"/>
        <v>6749</v>
      </c>
      <c r="O62" s="402"/>
    </row>
    <row r="63" spans="1:15">
      <c r="A63" s="302"/>
      <c r="B63" s="428" t="s">
        <v>371</v>
      </c>
      <c r="C63" s="429" t="s">
        <v>369</v>
      </c>
      <c r="D63" s="429">
        <v>416</v>
      </c>
      <c r="E63" s="430">
        <f t="shared" si="17"/>
        <v>0.2</v>
      </c>
      <c r="F63" s="431">
        <v>15.75</v>
      </c>
      <c r="G63" s="432">
        <f t="shared" si="20"/>
        <v>6552</v>
      </c>
      <c r="H63" s="133"/>
      <c r="I63" s="120"/>
      <c r="J63" s="99"/>
      <c r="K63" s="104"/>
      <c r="L63" s="99"/>
      <c r="M63" s="100">
        <f t="shared" si="22"/>
        <v>197</v>
      </c>
      <c r="N63" s="105">
        <f t="shared" si="21"/>
        <v>6749</v>
      </c>
      <c r="O63" s="402"/>
    </row>
    <row r="64" spans="1:15">
      <c r="A64" s="302"/>
      <c r="B64" s="428" t="s">
        <v>371</v>
      </c>
      <c r="C64" s="429" t="s">
        <v>369</v>
      </c>
      <c r="D64" s="429">
        <v>416</v>
      </c>
      <c r="E64" s="430">
        <f t="shared" si="17"/>
        <v>0.2</v>
      </c>
      <c r="F64" s="431">
        <v>15.75</v>
      </c>
      <c r="G64" s="432">
        <f t="shared" si="20"/>
        <v>6552</v>
      </c>
      <c r="H64" s="133"/>
      <c r="I64" s="120"/>
      <c r="J64" s="99"/>
      <c r="K64" s="104"/>
      <c r="L64" s="99"/>
      <c r="M64" s="100">
        <f t="shared" si="22"/>
        <v>197</v>
      </c>
      <c r="N64" s="105">
        <f t="shared" si="21"/>
        <v>6749</v>
      </c>
      <c r="O64" s="402"/>
    </row>
    <row r="65" spans="1:15">
      <c r="A65" s="302"/>
      <c r="B65" s="428" t="s">
        <v>371</v>
      </c>
      <c r="C65" s="429" t="s">
        <v>369</v>
      </c>
      <c r="D65" s="429">
        <v>416</v>
      </c>
      <c r="E65" s="430">
        <f t="shared" si="17"/>
        <v>0.2</v>
      </c>
      <c r="F65" s="431">
        <v>15.75</v>
      </c>
      <c r="G65" s="432">
        <f t="shared" si="20"/>
        <v>6552</v>
      </c>
      <c r="H65" s="133"/>
      <c r="I65" s="120"/>
      <c r="J65" s="99"/>
      <c r="K65" s="104"/>
      <c r="L65" s="99"/>
      <c r="M65" s="100">
        <f t="shared" si="22"/>
        <v>197</v>
      </c>
      <c r="N65" s="105">
        <f t="shared" si="21"/>
        <v>6749</v>
      </c>
      <c r="O65" s="402"/>
    </row>
    <row r="66" spans="1:15">
      <c r="A66" s="245"/>
      <c r="B66" s="426"/>
      <c r="C66" s="7" t="s">
        <v>159</v>
      </c>
      <c r="D66" s="7">
        <v>480</v>
      </c>
      <c r="E66" s="97">
        <f t="shared" si="14"/>
        <v>0.23</v>
      </c>
      <c r="F66" s="98">
        <v>15</v>
      </c>
      <c r="G66" s="275">
        <f>ROUND(D66*F66,0)</f>
        <v>7200</v>
      </c>
      <c r="H66" s="99"/>
      <c r="I66" s="99"/>
      <c r="J66" s="99"/>
      <c r="K66" s="104"/>
      <c r="L66" s="99"/>
      <c r="M66" s="100">
        <f>ROUND(G66*A66,0)</f>
        <v>0</v>
      </c>
      <c r="N66" s="105">
        <f>G66+M66</f>
        <v>7200</v>
      </c>
      <c r="O66" s="402"/>
    </row>
    <row r="67" spans="1:15">
      <c r="A67" s="245"/>
      <c r="B67" s="96" t="s">
        <v>374</v>
      </c>
      <c r="C67" s="7" t="s">
        <v>159</v>
      </c>
      <c r="D67" s="7">
        <v>240</v>
      </c>
      <c r="E67" s="97">
        <f t="shared" si="14"/>
        <v>0.12</v>
      </c>
      <c r="F67" s="98">
        <v>15</v>
      </c>
      <c r="G67" s="298">
        <f>ROUND(D67*F67,0)</f>
        <v>3600</v>
      </c>
      <c r="H67" s="99"/>
      <c r="I67" s="99"/>
      <c r="J67" s="99"/>
      <c r="K67" s="104"/>
      <c r="L67" s="99"/>
      <c r="M67" s="100">
        <f>ROUND(G67*A67,0)</f>
        <v>0</v>
      </c>
      <c r="N67" s="105">
        <f>G67+M67</f>
        <v>3600</v>
      </c>
      <c r="O67" s="402"/>
    </row>
    <row r="68" spans="1:15">
      <c r="A68" s="185"/>
      <c r="B68" s="92"/>
      <c r="C68" s="91" t="s">
        <v>160</v>
      </c>
      <c r="E68" s="97"/>
      <c r="F68" s="61"/>
      <c r="G68" s="274">
        <f>SUM(G50:G67)</f>
        <v>179815</v>
      </c>
      <c r="H68" s="99"/>
      <c r="I68" s="99"/>
      <c r="J68" s="99"/>
      <c r="K68" s="99"/>
      <c r="L68" s="99"/>
      <c r="M68" s="100"/>
      <c r="N68" s="105"/>
      <c r="O68" s="386"/>
    </row>
    <row r="69" spans="1:15">
      <c r="A69" s="185"/>
      <c r="B69" s="254"/>
      <c r="C69" s="127" t="s">
        <v>161</v>
      </c>
      <c r="E69" s="97"/>
      <c r="F69" s="126"/>
      <c r="G69" s="105">
        <f t="shared" ref="G69:G82" si="24">ROUND(D69*F69,0)</f>
        <v>0</v>
      </c>
      <c r="H69" s="99"/>
      <c r="I69" s="99"/>
      <c r="J69" s="99"/>
      <c r="K69" s="104"/>
      <c r="L69" s="99"/>
      <c r="M69" s="100"/>
      <c r="N69" s="105">
        <f t="shared" ref="N69:N82" si="25">G69+M69</f>
        <v>0</v>
      </c>
      <c r="O69" s="386"/>
    </row>
    <row r="70" spans="1:15">
      <c r="A70" s="243"/>
      <c r="B70" s="92"/>
      <c r="C70" s="128" t="s">
        <v>398</v>
      </c>
      <c r="D70" s="28">
        <v>520</v>
      </c>
      <c r="E70" s="97">
        <f>ROUND(D70/2080,2)</f>
        <v>0.25</v>
      </c>
      <c r="F70" s="129">
        <v>11</v>
      </c>
      <c r="G70" s="105">
        <f t="shared" si="24"/>
        <v>5720</v>
      </c>
      <c r="H70" s="99"/>
      <c r="I70" s="99"/>
      <c r="J70" s="99"/>
      <c r="K70" s="104"/>
      <c r="L70" s="99"/>
      <c r="M70" s="100">
        <f t="shared" ref="M70:M82" si="26">ROUND(G70*A70,0)</f>
        <v>0</v>
      </c>
      <c r="N70" s="105">
        <f t="shared" si="25"/>
        <v>5720</v>
      </c>
      <c r="O70" s="386"/>
    </row>
    <row r="71" spans="1:15">
      <c r="A71" s="243"/>
      <c r="B71" s="92"/>
      <c r="C71" s="128" t="s">
        <v>438</v>
      </c>
      <c r="D71" s="28">
        <v>520</v>
      </c>
      <c r="E71" s="97">
        <f t="shared" ref="E71:E81" si="27">ROUND(D71/2080,2)</f>
        <v>0.25</v>
      </c>
      <c r="F71" s="129">
        <v>11</v>
      </c>
      <c r="G71" s="105">
        <f t="shared" si="24"/>
        <v>5720</v>
      </c>
      <c r="H71" s="99"/>
      <c r="I71" s="99"/>
      <c r="J71" s="99"/>
      <c r="K71" s="104"/>
      <c r="L71" s="99"/>
      <c r="M71" s="100">
        <f t="shared" si="26"/>
        <v>0</v>
      </c>
      <c r="N71" s="105">
        <f t="shared" si="25"/>
        <v>5720</v>
      </c>
      <c r="O71" s="386"/>
    </row>
    <row r="72" spans="1:15">
      <c r="A72" s="243"/>
      <c r="B72" s="92"/>
      <c r="C72" s="128" t="s">
        <v>439</v>
      </c>
      <c r="D72" s="28">
        <v>520</v>
      </c>
      <c r="E72" s="97">
        <f t="shared" si="27"/>
        <v>0.25</v>
      </c>
      <c r="F72" s="129">
        <v>11</v>
      </c>
      <c r="G72" s="105">
        <f t="shared" si="24"/>
        <v>5720</v>
      </c>
      <c r="H72" s="99"/>
      <c r="I72" s="99"/>
      <c r="J72" s="99"/>
      <c r="K72" s="104"/>
      <c r="L72" s="99"/>
      <c r="M72" s="100">
        <f t="shared" si="26"/>
        <v>0</v>
      </c>
      <c r="N72" s="105">
        <f t="shared" si="25"/>
        <v>5720</v>
      </c>
      <c r="O72" s="386"/>
    </row>
    <row r="73" spans="1:15">
      <c r="A73" s="243"/>
      <c r="B73" s="92"/>
      <c r="C73" s="128" t="s">
        <v>440</v>
      </c>
      <c r="D73" s="28">
        <v>520</v>
      </c>
      <c r="E73" s="97">
        <f t="shared" si="27"/>
        <v>0.25</v>
      </c>
      <c r="F73" s="129">
        <v>9</v>
      </c>
      <c r="G73" s="105">
        <f t="shared" si="24"/>
        <v>4680</v>
      </c>
      <c r="H73" s="99"/>
      <c r="I73" s="99"/>
      <c r="J73" s="99"/>
      <c r="K73" s="104"/>
      <c r="L73" s="99"/>
      <c r="M73" s="100">
        <f t="shared" si="26"/>
        <v>0</v>
      </c>
      <c r="N73" s="105">
        <f t="shared" si="25"/>
        <v>4680</v>
      </c>
      <c r="O73" s="386"/>
    </row>
    <row r="74" spans="1:15">
      <c r="A74" s="243"/>
      <c r="B74" s="92"/>
      <c r="C74" s="128" t="s">
        <v>441</v>
      </c>
      <c r="D74" s="28">
        <v>520</v>
      </c>
      <c r="E74" s="97">
        <f t="shared" si="27"/>
        <v>0.25</v>
      </c>
      <c r="F74" s="129">
        <v>9</v>
      </c>
      <c r="G74" s="105">
        <f t="shared" si="24"/>
        <v>4680</v>
      </c>
      <c r="H74" s="99"/>
      <c r="I74" s="99"/>
      <c r="J74" s="99"/>
      <c r="K74" s="104"/>
      <c r="L74" s="99"/>
      <c r="M74" s="100">
        <f t="shared" si="26"/>
        <v>0</v>
      </c>
      <c r="N74" s="105">
        <f t="shared" si="25"/>
        <v>4680</v>
      </c>
      <c r="O74" s="386"/>
    </row>
    <row r="75" spans="1:15">
      <c r="A75" s="243"/>
      <c r="B75" s="92"/>
      <c r="C75" s="128" t="s">
        <v>442</v>
      </c>
      <c r="D75" s="28">
        <v>416</v>
      </c>
      <c r="E75" s="97">
        <f t="shared" si="27"/>
        <v>0.2</v>
      </c>
      <c r="F75" s="129">
        <v>9</v>
      </c>
      <c r="G75" s="275">
        <f t="shared" si="24"/>
        <v>3744</v>
      </c>
      <c r="H75" s="99"/>
      <c r="I75" s="99"/>
      <c r="J75" s="99"/>
      <c r="K75" s="104"/>
      <c r="L75" s="99"/>
      <c r="M75" s="100">
        <f t="shared" si="26"/>
        <v>0</v>
      </c>
      <c r="N75" s="105">
        <f t="shared" si="25"/>
        <v>3744</v>
      </c>
      <c r="O75" s="386"/>
    </row>
    <row r="76" spans="1:15">
      <c r="A76" s="243"/>
      <c r="B76" s="92"/>
      <c r="C76" s="128" t="s">
        <v>443</v>
      </c>
      <c r="D76" s="28">
        <v>520</v>
      </c>
      <c r="E76" s="97">
        <f t="shared" si="27"/>
        <v>0.25</v>
      </c>
      <c r="F76" s="129">
        <v>11</v>
      </c>
      <c r="G76" s="275">
        <f t="shared" si="24"/>
        <v>5720</v>
      </c>
      <c r="H76" s="99"/>
      <c r="I76" s="99"/>
      <c r="J76" s="99"/>
      <c r="K76" s="104"/>
      <c r="L76" s="99"/>
      <c r="M76" s="100">
        <f t="shared" si="26"/>
        <v>0</v>
      </c>
      <c r="N76" s="105">
        <f t="shared" si="25"/>
        <v>5720</v>
      </c>
      <c r="O76" s="386"/>
    </row>
    <row r="77" spans="1:15">
      <c r="A77" s="243"/>
      <c r="B77" s="92"/>
      <c r="C77" s="128" t="s">
        <v>444</v>
      </c>
      <c r="D77" s="28">
        <v>416</v>
      </c>
      <c r="E77" s="97">
        <f t="shared" si="27"/>
        <v>0.2</v>
      </c>
      <c r="F77" s="129">
        <v>9</v>
      </c>
      <c r="G77" s="275">
        <f t="shared" si="24"/>
        <v>3744</v>
      </c>
      <c r="H77" s="99"/>
      <c r="I77" s="99"/>
      <c r="J77" s="99"/>
      <c r="K77" s="104"/>
      <c r="L77" s="99"/>
      <c r="M77" s="100">
        <f t="shared" si="26"/>
        <v>0</v>
      </c>
      <c r="N77" s="105">
        <f t="shared" si="25"/>
        <v>3744</v>
      </c>
      <c r="O77" s="386"/>
    </row>
    <row r="78" spans="1:15">
      <c r="A78" s="243"/>
      <c r="B78" s="92"/>
      <c r="C78" s="128" t="s">
        <v>445</v>
      </c>
      <c r="D78" s="28">
        <v>416</v>
      </c>
      <c r="E78" s="97">
        <f t="shared" si="27"/>
        <v>0.2</v>
      </c>
      <c r="F78" s="129">
        <v>9</v>
      </c>
      <c r="G78" s="275">
        <f t="shared" si="24"/>
        <v>3744</v>
      </c>
      <c r="H78" s="99"/>
      <c r="I78" s="99"/>
      <c r="J78" s="99"/>
      <c r="K78" s="104"/>
      <c r="L78" s="99"/>
      <c r="M78" s="100">
        <f t="shared" si="26"/>
        <v>0</v>
      </c>
      <c r="N78" s="105">
        <f t="shared" si="25"/>
        <v>3744</v>
      </c>
      <c r="O78" s="386"/>
    </row>
    <row r="79" spans="1:15">
      <c r="A79" s="243"/>
      <c r="B79" s="92"/>
      <c r="C79" s="128" t="s">
        <v>446</v>
      </c>
      <c r="D79" s="28">
        <v>416</v>
      </c>
      <c r="E79" s="97">
        <f t="shared" si="27"/>
        <v>0.2</v>
      </c>
      <c r="F79" s="129">
        <v>9</v>
      </c>
      <c r="G79" s="275">
        <f t="shared" si="24"/>
        <v>3744</v>
      </c>
      <c r="H79" s="99"/>
      <c r="I79" s="99"/>
      <c r="J79" s="99"/>
      <c r="K79" s="104"/>
      <c r="L79" s="99"/>
      <c r="M79" s="100">
        <f t="shared" si="26"/>
        <v>0</v>
      </c>
      <c r="N79" s="105">
        <f t="shared" si="25"/>
        <v>3744</v>
      </c>
      <c r="O79" s="386"/>
    </row>
    <row r="80" spans="1:15">
      <c r="A80" s="243"/>
      <c r="B80" s="92"/>
      <c r="C80" s="128" t="s">
        <v>447</v>
      </c>
      <c r="D80" s="28">
        <v>416</v>
      </c>
      <c r="E80" s="97">
        <f t="shared" ref="E80" si="28">ROUND(D80/2080,2)</f>
        <v>0.2</v>
      </c>
      <c r="F80" s="129">
        <v>9</v>
      </c>
      <c r="G80" s="275">
        <f t="shared" ref="G80" si="29">ROUND(D80*F80,0)</f>
        <v>3744</v>
      </c>
      <c r="H80" s="99"/>
      <c r="I80" s="99"/>
      <c r="J80" s="99"/>
      <c r="K80" s="104"/>
      <c r="L80" s="99"/>
      <c r="M80" s="100">
        <f t="shared" ref="M80" si="30">ROUND(G80*A80,0)</f>
        <v>0</v>
      </c>
      <c r="N80" s="105">
        <f t="shared" ref="N80" si="31">G80+M80</f>
        <v>3744</v>
      </c>
      <c r="O80" s="386"/>
    </row>
    <row r="81" spans="1:15">
      <c r="A81" s="243"/>
      <c r="B81" s="92"/>
      <c r="C81" s="128" t="s">
        <v>448</v>
      </c>
      <c r="D81" s="28">
        <v>416</v>
      </c>
      <c r="E81" s="97">
        <f t="shared" si="27"/>
        <v>0.2</v>
      </c>
      <c r="F81" s="129">
        <v>9</v>
      </c>
      <c r="G81" s="275">
        <f t="shared" si="24"/>
        <v>3744</v>
      </c>
      <c r="H81" s="99"/>
      <c r="I81" s="99"/>
      <c r="J81" s="99"/>
      <c r="K81" s="104"/>
      <c r="L81" s="99"/>
      <c r="M81" s="100">
        <f t="shared" si="26"/>
        <v>0</v>
      </c>
      <c r="N81" s="105">
        <f t="shared" si="25"/>
        <v>3744</v>
      </c>
      <c r="O81" s="386"/>
    </row>
    <row r="82" spans="1:15">
      <c r="A82" s="243"/>
      <c r="B82" s="433" t="s">
        <v>372</v>
      </c>
      <c r="C82" s="434" t="s">
        <v>373</v>
      </c>
      <c r="D82" s="435">
        <v>416</v>
      </c>
      <c r="E82" s="430">
        <v>0.2</v>
      </c>
      <c r="F82" s="436">
        <v>9</v>
      </c>
      <c r="G82" s="437">
        <f t="shared" si="24"/>
        <v>3744</v>
      </c>
      <c r="H82" s="99"/>
      <c r="I82" s="99"/>
      <c r="J82" s="99"/>
      <c r="K82" s="104"/>
      <c r="L82" s="99"/>
      <c r="M82" s="100">
        <f t="shared" si="26"/>
        <v>0</v>
      </c>
      <c r="N82" s="105">
        <f t="shared" si="25"/>
        <v>3744</v>
      </c>
      <c r="O82" s="386"/>
    </row>
    <row r="83" spans="1:15">
      <c r="A83" s="303"/>
      <c r="B83" s="130"/>
      <c r="C83" s="91" t="s">
        <v>162</v>
      </c>
      <c r="D83" s="61">
        <f>SUM(D70:D82)</f>
        <v>6032</v>
      </c>
      <c r="E83" s="97"/>
      <c r="F83" s="61"/>
      <c r="G83" s="105">
        <f>SUM(G70:G82)</f>
        <v>58448</v>
      </c>
      <c r="H83" s="99"/>
      <c r="I83" s="99"/>
      <c r="J83" s="99"/>
      <c r="K83" s="104"/>
      <c r="L83" s="99"/>
      <c r="M83" s="100"/>
      <c r="N83" s="105"/>
      <c r="O83" s="386"/>
    </row>
    <row r="84" spans="1:15">
      <c r="A84" s="289" t="s">
        <v>163</v>
      </c>
      <c r="B84" s="304">
        <v>0.03</v>
      </c>
      <c r="C84" s="106" t="s">
        <v>164</v>
      </c>
      <c r="E84" s="97"/>
      <c r="F84" s="61"/>
      <c r="G84" s="276">
        <f>G68+G83+G48</f>
        <v>344178</v>
      </c>
      <c r="H84" s="109"/>
      <c r="I84" s="108"/>
      <c r="J84" s="108"/>
      <c r="K84" s="109"/>
      <c r="L84" s="109"/>
      <c r="M84" s="108"/>
      <c r="N84" s="298"/>
      <c r="O84" s="386"/>
    </row>
    <row r="85" spans="1:15" ht="15.75" thickBot="1">
      <c r="A85" s="305" t="s">
        <v>165</v>
      </c>
      <c r="B85" s="277"/>
      <c r="C85" s="278" t="s">
        <v>140</v>
      </c>
      <c r="D85" s="279"/>
      <c r="E85" s="280"/>
      <c r="F85" s="288"/>
      <c r="G85" s="282">
        <v>281000</v>
      </c>
      <c r="H85" s="394">
        <f>'LINE ITEM EXP'!C11</f>
        <v>234125</v>
      </c>
      <c r="I85" s="395">
        <f>'LINE ITEM EXP'!$D$11</f>
        <v>140437</v>
      </c>
      <c r="J85" s="395">
        <f>'LINE ITEM EXP'!E11</f>
        <v>291418</v>
      </c>
      <c r="K85" s="396">
        <f>G85</f>
        <v>281000</v>
      </c>
      <c r="L85" s="396">
        <f>G84</f>
        <v>344178</v>
      </c>
      <c r="M85" s="395">
        <f>SUM(M43:M84)</f>
        <v>11549</v>
      </c>
      <c r="N85" s="398">
        <f>SUM(N43:N84)</f>
        <v>355727</v>
      </c>
      <c r="O85" s="399"/>
    </row>
    <row r="86" spans="1:15">
      <c r="A86" s="177">
        <v>130</v>
      </c>
      <c r="B86" s="178" t="s">
        <v>166</v>
      </c>
      <c r="C86" s="269"/>
      <c r="D86" s="270"/>
      <c r="E86" s="295" t="s">
        <v>167</v>
      </c>
      <c r="F86" s="307" t="s">
        <v>8</v>
      </c>
      <c r="G86" s="297" t="s">
        <v>129</v>
      </c>
      <c r="H86" s="99"/>
      <c r="I86" s="99"/>
      <c r="J86" s="99"/>
      <c r="K86" s="99"/>
      <c r="L86" s="99"/>
      <c r="M86" s="108"/>
      <c r="N86" s="298"/>
      <c r="O86" s="386"/>
    </row>
    <row r="87" spans="1:15">
      <c r="A87" s="308"/>
      <c r="B87" s="259"/>
      <c r="C87" s="91" t="s">
        <v>407</v>
      </c>
      <c r="D87" s="7" t="s">
        <v>168</v>
      </c>
      <c r="E87" s="132">
        <v>1519.69</v>
      </c>
      <c r="F87" s="116">
        <f>E11</f>
        <v>1</v>
      </c>
      <c r="G87" s="105">
        <f t="shared" ref="G87:G101" si="32">ROUND(E87*12*F87,0)</f>
        <v>18236</v>
      </c>
      <c r="H87" s="99"/>
      <c r="I87" s="99"/>
      <c r="J87" s="99"/>
      <c r="K87" s="99"/>
      <c r="L87" s="99"/>
      <c r="M87" s="100">
        <v>0</v>
      </c>
      <c r="N87" s="105">
        <f t="shared" ref="N87:N101" si="33">G87+M87</f>
        <v>18236</v>
      </c>
      <c r="O87" s="386"/>
    </row>
    <row r="88" spans="1:15">
      <c r="A88" s="309"/>
      <c r="B88" s="260"/>
      <c r="C88" s="91" t="s">
        <v>366</v>
      </c>
      <c r="D88" s="7" t="s">
        <v>169</v>
      </c>
      <c r="E88" s="132">
        <v>616.94000000000005</v>
      </c>
      <c r="F88" s="116">
        <v>1</v>
      </c>
      <c r="G88" s="105">
        <f t="shared" si="32"/>
        <v>7403</v>
      </c>
      <c r="H88" s="99"/>
      <c r="I88" s="99"/>
      <c r="J88" s="99"/>
      <c r="K88" s="99"/>
      <c r="L88" s="99"/>
      <c r="M88" s="100">
        <v>0</v>
      </c>
      <c r="N88" s="105">
        <f t="shared" si="33"/>
        <v>7403</v>
      </c>
      <c r="O88" s="386"/>
    </row>
    <row r="89" spans="1:15">
      <c r="A89" s="310"/>
      <c r="B89" s="260"/>
      <c r="C89" s="91" t="s">
        <v>170</v>
      </c>
      <c r="D89" s="7" t="s">
        <v>169</v>
      </c>
      <c r="E89" s="132">
        <v>616.94000000000005</v>
      </c>
      <c r="F89" s="116">
        <v>1</v>
      </c>
      <c r="G89" s="311">
        <f>ROUND(E89*12*F89,0)</f>
        <v>7403</v>
      </c>
      <c r="H89" s="28"/>
      <c r="I89" s="103"/>
      <c r="J89" s="99"/>
      <c r="K89" s="99"/>
      <c r="L89" s="99"/>
      <c r="M89" s="100">
        <v>0</v>
      </c>
      <c r="N89" s="105">
        <f t="shared" si="33"/>
        <v>7403</v>
      </c>
      <c r="O89" s="386"/>
    </row>
    <row r="90" spans="1:15">
      <c r="A90" s="310"/>
      <c r="B90" s="260"/>
      <c r="C90" s="91" t="s">
        <v>408</v>
      </c>
      <c r="D90" s="7" t="s">
        <v>169</v>
      </c>
      <c r="E90" s="97">
        <v>616.94000000000005</v>
      </c>
      <c r="F90" s="116">
        <v>1</v>
      </c>
      <c r="G90" s="311">
        <f>ROUND(E90*12*F90,0)</f>
        <v>7403</v>
      </c>
      <c r="H90" s="469"/>
      <c r="I90" s="133"/>
      <c r="J90" s="99"/>
      <c r="K90" s="99"/>
      <c r="L90" s="99"/>
      <c r="M90" s="100">
        <v>0</v>
      </c>
      <c r="N90" s="105">
        <f t="shared" si="33"/>
        <v>7403</v>
      </c>
      <c r="O90" s="386"/>
    </row>
    <row r="91" spans="1:15">
      <c r="A91" s="185"/>
      <c r="B91" s="260"/>
      <c r="C91" s="91" t="s">
        <v>409</v>
      </c>
      <c r="D91" s="7" t="s">
        <v>168</v>
      </c>
      <c r="E91" s="132">
        <v>1519.69</v>
      </c>
      <c r="F91" s="116">
        <v>0.6</v>
      </c>
      <c r="G91" s="105">
        <f>ROUND(E91*7,0)</f>
        <v>10638</v>
      </c>
      <c r="H91" s="133"/>
      <c r="I91" s="99"/>
      <c r="J91" s="99"/>
      <c r="K91" s="99"/>
      <c r="L91" s="99"/>
      <c r="M91" s="100">
        <v>0</v>
      </c>
      <c r="N91" s="105">
        <f t="shared" si="33"/>
        <v>10638</v>
      </c>
      <c r="O91" s="386"/>
    </row>
    <row r="92" spans="1:15">
      <c r="A92" s="312" t="s">
        <v>171</v>
      </c>
      <c r="B92" s="259"/>
      <c r="C92" s="7" t="s">
        <v>410</v>
      </c>
      <c r="D92" s="255"/>
      <c r="E92" s="256"/>
      <c r="F92" s="116"/>
      <c r="G92" s="311"/>
      <c r="H92" s="133"/>
      <c r="I92" s="99"/>
      <c r="J92" s="99"/>
      <c r="K92" s="99"/>
      <c r="L92" s="99"/>
      <c r="M92" s="100">
        <v>0</v>
      </c>
      <c r="N92" s="105">
        <f t="shared" si="33"/>
        <v>0</v>
      </c>
      <c r="O92" s="386"/>
    </row>
    <row r="93" spans="1:15">
      <c r="A93" s="312"/>
      <c r="B93" s="259"/>
      <c r="C93" s="7" t="s">
        <v>172</v>
      </c>
      <c r="D93" s="255" t="s">
        <v>168</v>
      </c>
      <c r="E93" s="256">
        <v>1519.69</v>
      </c>
      <c r="F93" s="116">
        <v>1</v>
      </c>
      <c r="G93" s="105">
        <f t="shared" si="32"/>
        <v>18236</v>
      </c>
      <c r="H93" s="133"/>
      <c r="I93" s="99"/>
      <c r="J93" s="99"/>
      <c r="K93" s="99"/>
      <c r="L93" s="99"/>
      <c r="M93" s="100">
        <v>0</v>
      </c>
      <c r="N93" s="105">
        <f t="shared" si="33"/>
        <v>18236</v>
      </c>
      <c r="O93" s="386"/>
    </row>
    <row r="94" spans="1:15">
      <c r="A94" s="312"/>
      <c r="B94" s="259"/>
      <c r="C94" s="7" t="s">
        <v>411</v>
      </c>
      <c r="D94" s="7" t="s">
        <v>169</v>
      </c>
      <c r="E94" s="132">
        <v>616.94000000000005</v>
      </c>
      <c r="F94" s="116">
        <f>E17</f>
        <v>1</v>
      </c>
      <c r="G94" s="105">
        <f t="shared" ref="G94" si="34">ROUND(E94*12*F94,0)</f>
        <v>7403</v>
      </c>
      <c r="H94" s="99"/>
      <c r="I94" s="99"/>
      <c r="J94" s="99"/>
      <c r="K94" s="99"/>
      <c r="L94" s="99"/>
      <c r="M94" s="100">
        <v>0</v>
      </c>
      <c r="N94" s="105">
        <f t="shared" si="33"/>
        <v>7403</v>
      </c>
      <c r="O94" s="386"/>
    </row>
    <row r="95" spans="1:15">
      <c r="A95" s="312"/>
      <c r="B95" s="260"/>
      <c r="C95" s="91" t="s">
        <v>412</v>
      </c>
      <c r="D95" s="7" t="s">
        <v>168</v>
      </c>
      <c r="E95" s="132">
        <v>1519.69</v>
      </c>
      <c r="F95" s="116">
        <v>0.5</v>
      </c>
      <c r="G95" s="105">
        <f>ROUND(E95*6,0)</f>
        <v>9118</v>
      </c>
      <c r="H95" s="133"/>
      <c r="I95" s="99"/>
      <c r="J95" s="99"/>
      <c r="K95" s="99"/>
      <c r="L95" s="99"/>
      <c r="M95" s="100">
        <v>0</v>
      </c>
      <c r="N95" s="105">
        <f t="shared" si="33"/>
        <v>9118</v>
      </c>
      <c r="O95" s="386"/>
    </row>
    <row r="96" spans="1:15">
      <c r="A96" s="312" t="s">
        <v>171</v>
      </c>
      <c r="B96" s="257" t="s">
        <v>173</v>
      </c>
      <c r="C96" s="91" t="s">
        <v>413</v>
      </c>
      <c r="E96" s="256">
        <v>0</v>
      </c>
      <c r="F96" s="116">
        <v>1</v>
      </c>
      <c r="G96" s="311">
        <f t="shared" ref="G96:G98" si="35">ROUND(E96*12,0)</f>
        <v>0</v>
      </c>
      <c r="H96" s="133"/>
      <c r="I96" s="99"/>
      <c r="J96" s="99"/>
      <c r="K96" s="99"/>
      <c r="L96" s="99"/>
      <c r="M96" s="100">
        <v>0</v>
      </c>
      <c r="N96" s="105">
        <f t="shared" si="33"/>
        <v>0</v>
      </c>
      <c r="O96" s="386"/>
    </row>
    <row r="97" spans="1:15">
      <c r="A97" s="312"/>
      <c r="B97" s="260"/>
      <c r="C97" s="91" t="s">
        <v>414</v>
      </c>
      <c r="D97" s="7" t="s">
        <v>169</v>
      </c>
      <c r="E97" s="258">
        <v>616.94000000000005</v>
      </c>
      <c r="F97" s="116">
        <v>1</v>
      </c>
      <c r="G97" s="105">
        <f t="shared" si="35"/>
        <v>7403</v>
      </c>
      <c r="H97" s="133"/>
      <c r="I97" s="120"/>
      <c r="J97" s="99"/>
      <c r="K97" s="99"/>
      <c r="L97" s="99"/>
      <c r="M97" s="100">
        <v>0</v>
      </c>
      <c r="N97" s="105">
        <f>G97+M97</f>
        <v>7403</v>
      </c>
      <c r="O97" s="386"/>
    </row>
    <row r="98" spans="1:15">
      <c r="A98" s="312" t="s">
        <v>171</v>
      </c>
      <c r="B98" s="257" t="s">
        <v>173</v>
      </c>
      <c r="C98" s="91" t="s">
        <v>415</v>
      </c>
      <c r="D98" s="7" t="s">
        <v>169</v>
      </c>
      <c r="E98" s="258">
        <v>0</v>
      </c>
      <c r="F98" s="116">
        <v>1</v>
      </c>
      <c r="G98" s="105">
        <f t="shared" si="35"/>
        <v>0</v>
      </c>
      <c r="H98" s="306"/>
      <c r="I98" s="120"/>
      <c r="J98" s="99"/>
      <c r="K98" s="99"/>
      <c r="L98" s="99"/>
      <c r="M98" s="100">
        <v>0</v>
      </c>
      <c r="N98" s="105">
        <f>G98+M98</f>
        <v>0</v>
      </c>
      <c r="O98" s="386"/>
    </row>
    <row r="99" spans="1:15">
      <c r="A99" s="312" t="s">
        <v>171</v>
      </c>
      <c r="B99" s="257"/>
      <c r="C99" s="91" t="s">
        <v>416</v>
      </c>
      <c r="D99" s="7" t="s">
        <v>168</v>
      </c>
      <c r="E99" s="132">
        <v>0</v>
      </c>
      <c r="F99" s="116">
        <v>0.5</v>
      </c>
      <c r="G99" s="311">
        <f t="shared" si="32"/>
        <v>0</v>
      </c>
      <c r="H99" s="28"/>
      <c r="I99" s="103"/>
      <c r="J99" s="99"/>
      <c r="K99" s="99"/>
      <c r="L99" s="99"/>
      <c r="M99" s="100">
        <v>0</v>
      </c>
      <c r="N99" s="105">
        <f t="shared" si="33"/>
        <v>0</v>
      </c>
      <c r="O99" s="386"/>
    </row>
    <row r="100" spans="1:15">
      <c r="A100" s="312" t="s">
        <v>171</v>
      </c>
      <c r="B100" s="259"/>
      <c r="C100" s="91" t="s">
        <v>417</v>
      </c>
      <c r="E100" s="132">
        <v>0</v>
      </c>
      <c r="F100" s="116">
        <v>0.5</v>
      </c>
      <c r="G100" s="311">
        <f t="shared" si="32"/>
        <v>0</v>
      </c>
      <c r="H100" s="469"/>
      <c r="I100" s="120"/>
      <c r="J100" s="99"/>
      <c r="K100" s="99"/>
      <c r="L100" s="99"/>
      <c r="M100" s="100">
        <v>0</v>
      </c>
      <c r="N100" s="105">
        <f t="shared" si="33"/>
        <v>0</v>
      </c>
      <c r="O100" s="386"/>
    </row>
    <row r="101" spans="1:15">
      <c r="A101" s="312" t="s">
        <v>171</v>
      </c>
      <c r="B101" s="257" t="s">
        <v>173</v>
      </c>
      <c r="C101" s="7" t="s">
        <v>418</v>
      </c>
      <c r="D101" s="7" t="s">
        <v>168</v>
      </c>
      <c r="E101" s="132">
        <v>0</v>
      </c>
      <c r="F101" s="116">
        <v>1</v>
      </c>
      <c r="G101" s="105">
        <f t="shared" si="32"/>
        <v>0</v>
      </c>
      <c r="H101" s="133"/>
      <c r="I101" s="120"/>
      <c r="J101" s="120"/>
      <c r="K101" s="120"/>
      <c r="L101" s="120"/>
      <c r="M101" s="100">
        <v>0</v>
      </c>
      <c r="N101" s="275">
        <f t="shared" si="33"/>
        <v>0</v>
      </c>
      <c r="O101" s="386"/>
    </row>
    <row r="102" spans="1:15">
      <c r="A102" s="185"/>
      <c r="B102" s="254"/>
      <c r="C102" s="91"/>
      <c r="E102" s="97"/>
      <c r="F102" s="261"/>
      <c r="G102" s="105"/>
      <c r="H102" s="99"/>
      <c r="I102" s="99"/>
      <c r="J102" s="99"/>
      <c r="K102" s="99"/>
      <c r="L102" s="99"/>
      <c r="M102" s="100">
        <v>0</v>
      </c>
      <c r="N102" s="105">
        <f>G102+M102</f>
        <v>0</v>
      </c>
      <c r="O102" s="386"/>
    </row>
    <row r="103" spans="1:15">
      <c r="A103" s="185"/>
      <c r="B103" s="262"/>
      <c r="C103" s="91" t="s">
        <v>174</v>
      </c>
      <c r="D103" s="7" t="s">
        <v>367</v>
      </c>
      <c r="E103" s="97"/>
      <c r="F103" s="96" t="s">
        <v>175</v>
      </c>
      <c r="G103" s="105">
        <v>3000</v>
      </c>
      <c r="H103" s="99"/>
      <c r="I103" s="99"/>
      <c r="J103" s="99"/>
      <c r="K103" s="99"/>
      <c r="L103" s="99"/>
      <c r="M103" s="100">
        <v>0</v>
      </c>
      <c r="N103" s="105">
        <f>G103+M103</f>
        <v>3000</v>
      </c>
      <c r="O103" s="386"/>
    </row>
    <row r="104" spans="1:15">
      <c r="A104" s="309"/>
      <c r="B104" s="92"/>
      <c r="C104" s="127" t="s">
        <v>176</v>
      </c>
      <c r="E104" s="97"/>
      <c r="F104" s="98"/>
      <c r="G104" s="274">
        <f>SUM(G87:G103)</f>
        <v>96243</v>
      </c>
      <c r="H104" s="109"/>
      <c r="I104" s="108"/>
      <c r="J104" s="108"/>
      <c r="K104" s="109"/>
      <c r="L104" s="109"/>
      <c r="M104" s="108"/>
      <c r="N104" s="105"/>
      <c r="O104" s="386"/>
    </row>
    <row r="105" spans="1:15">
      <c r="A105" s="204"/>
      <c r="B105" s="313"/>
      <c r="C105" s="278" t="s">
        <v>140</v>
      </c>
      <c r="D105" s="314"/>
      <c r="E105" s="280"/>
      <c r="F105" s="288"/>
      <c r="G105" s="282">
        <f>29786+29786</f>
        <v>59572</v>
      </c>
      <c r="H105" s="394">
        <f>'LINE ITEM EXP'!C12</f>
        <v>78197</v>
      </c>
      <c r="I105" s="395">
        <f>'LINE ITEM EXP'!D12</f>
        <v>29786</v>
      </c>
      <c r="J105" s="395">
        <f>'LINE ITEM EXP'!E12</f>
        <v>98467.425999999992</v>
      </c>
      <c r="K105" s="396">
        <f>G105</f>
        <v>59572</v>
      </c>
      <c r="L105" s="396">
        <f>G104</f>
        <v>96243</v>
      </c>
      <c r="M105" s="395">
        <f>SUM(M87:M104)</f>
        <v>0</v>
      </c>
      <c r="N105" s="397">
        <f>SUM(N87:N104)</f>
        <v>96243</v>
      </c>
      <c r="O105" s="386"/>
    </row>
    <row r="106" spans="1:15">
      <c r="A106" s="315"/>
      <c r="B106" s="268"/>
      <c r="C106" s="269"/>
      <c r="D106" s="283" t="s">
        <v>130</v>
      </c>
      <c r="E106" s="283" t="s">
        <v>168</v>
      </c>
      <c r="F106" s="283" t="s">
        <v>177</v>
      </c>
      <c r="G106" s="316" t="s">
        <v>178</v>
      </c>
      <c r="H106" s="99"/>
      <c r="I106" s="99"/>
      <c r="J106" s="99"/>
      <c r="K106" s="99"/>
      <c r="L106" s="99"/>
      <c r="M106" s="108"/>
      <c r="N106" s="298"/>
      <c r="O106" s="386"/>
    </row>
    <row r="107" spans="1:15">
      <c r="A107" s="189">
        <v>131</v>
      </c>
      <c r="B107" s="95" t="s">
        <v>179</v>
      </c>
      <c r="C107" s="91" t="s">
        <v>419</v>
      </c>
      <c r="D107" s="135">
        <v>0</v>
      </c>
      <c r="E107" s="61">
        <v>1724</v>
      </c>
      <c r="F107" s="61">
        <v>0</v>
      </c>
      <c r="G107" s="105">
        <v>0</v>
      </c>
      <c r="H107" s="99"/>
      <c r="I107" s="99"/>
      <c r="J107" s="99"/>
      <c r="K107" s="99"/>
      <c r="L107" s="99"/>
      <c r="M107" s="100">
        <v>0</v>
      </c>
      <c r="N107" s="105">
        <f>SUM(D107:G107)+M107</f>
        <v>1724</v>
      </c>
      <c r="O107" s="386"/>
    </row>
    <row r="108" spans="1:15">
      <c r="A108" s="185"/>
      <c r="B108" s="92"/>
      <c r="C108" s="91" t="s">
        <v>420</v>
      </c>
      <c r="D108" s="135">
        <v>489</v>
      </c>
      <c r="E108" s="61">
        <v>0</v>
      </c>
      <c r="F108" s="61">
        <v>0</v>
      </c>
      <c r="G108" s="105">
        <v>0</v>
      </c>
      <c r="H108" s="99"/>
      <c r="I108" s="99"/>
      <c r="J108" s="99"/>
      <c r="K108" s="99"/>
      <c r="L108" s="99"/>
      <c r="M108" s="100">
        <v>0</v>
      </c>
      <c r="N108" s="105">
        <f t="shared" ref="N108:N120" si="36">SUM(D108:G108)+M108</f>
        <v>489</v>
      </c>
      <c r="O108" s="386"/>
    </row>
    <row r="109" spans="1:15">
      <c r="A109" s="185"/>
      <c r="B109" s="92"/>
      <c r="C109" s="91" t="s">
        <v>198</v>
      </c>
      <c r="D109" s="135">
        <v>489</v>
      </c>
      <c r="E109" s="61">
        <v>0</v>
      </c>
      <c r="F109" s="61">
        <v>0</v>
      </c>
      <c r="G109" s="105">
        <f>IF(D109="F",E109*12,F109*12)</f>
        <v>0</v>
      </c>
      <c r="H109" s="99"/>
      <c r="I109" s="99"/>
      <c r="J109" s="99"/>
      <c r="K109" s="99"/>
      <c r="L109" s="99"/>
      <c r="M109" s="100">
        <v>0</v>
      </c>
      <c r="N109" s="105">
        <f t="shared" si="36"/>
        <v>489</v>
      </c>
      <c r="O109" s="386"/>
    </row>
    <row r="110" spans="1:15">
      <c r="A110" s="185"/>
      <c r="B110" s="92"/>
      <c r="C110" s="91" t="s">
        <v>421</v>
      </c>
      <c r="D110" s="135">
        <v>489</v>
      </c>
      <c r="E110" s="61">
        <v>0</v>
      </c>
      <c r="F110" s="61">
        <v>0</v>
      </c>
      <c r="G110" s="105">
        <v>0</v>
      </c>
      <c r="H110" s="99"/>
      <c r="I110" s="99"/>
      <c r="J110" s="99"/>
      <c r="K110" s="99"/>
      <c r="L110" s="99"/>
      <c r="M110" s="100">
        <v>0</v>
      </c>
      <c r="N110" s="105">
        <f t="shared" si="36"/>
        <v>489</v>
      </c>
      <c r="O110" s="386"/>
    </row>
    <row r="111" spans="1:15">
      <c r="A111" s="185"/>
      <c r="B111" s="92"/>
      <c r="C111" s="91" t="s">
        <v>422</v>
      </c>
      <c r="D111" s="135">
        <v>0</v>
      </c>
      <c r="E111" s="61">
        <v>0</v>
      </c>
      <c r="F111" s="61">
        <v>0</v>
      </c>
      <c r="G111" s="105">
        <v>577</v>
      </c>
      <c r="H111" s="99"/>
      <c r="I111" s="99"/>
      <c r="J111" s="99"/>
      <c r="K111" s="99"/>
      <c r="L111" s="99"/>
      <c r="M111" s="100">
        <v>0</v>
      </c>
      <c r="N111" s="105">
        <f t="shared" si="36"/>
        <v>577</v>
      </c>
      <c r="O111" s="386"/>
    </row>
    <row r="112" spans="1:15">
      <c r="A112" s="185"/>
      <c r="B112" s="92"/>
      <c r="C112" s="91" t="s">
        <v>423</v>
      </c>
      <c r="D112" s="135">
        <v>0</v>
      </c>
      <c r="E112" s="61">
        <v>862</v>
      </c>
      <c r="F112" s="61">
        <v>0</v>
      </c>
      <c r="G112" s="105">
        <v>0</v>
      </c>
      <c r="H112" s="99"/>
      <c r="I112" s="99"/>
      <c r="J112" s="99"/>
      <c r="K112" s="99"/>
      <c r="L112" s="99"/>
      <c r="M112" s="100">
        <v>0</v>
      </c>
      <c r="N112" s="105">
        <f t="shared" si="36"/>
        <v>862</v>
      </c>
      <c r="O112" s="386"/>
    </row>
    <row r="113" spans="1:15">
      <c r="A113" s="317"/>
      <c r="B113" s="136"/>
      <c r="C113" s="91" t="s">
        <v>410</v>
      </c>
      <c r="D113" s="135">
        <v>0</v>
      </c>
      <c r="E113" s="61">
        <v>0</v>
      </c>
      <c r="F113" s="61">
        <v>0</v>
      </c>
      <c r="G113" s="105">
        <v>962</v>
      </c>
      <c r="H113" s="99"/>
      <c r="I113" s="120"/>
      <c r="J113" s="99"/>
      <c r="K113" s="99"/>
      <c r="L113" s="99"/>
      <c r="M113" s="100">
        <v>0</v>
      </c>
      <c r="N113" s="105">
        <f t="shared" ref="N113" si="37">SUM(D113:G113)+M113</f>
        <v>962</v>
      </c>
      <c r="O113" s="386"/>
    </row>
    <row r="114" spans="1:15">
      <c r="A114" s="185"/>
      <c r="B114" s="137"/>
      <c r="C114" s="91" t="s">
        <v>424</v>
      </c>
      <c r="D114" s="135">
        <v>0</v>
      </c>
      <c r="E114" s="61">
        <v>0</v>
      </c>
      <c r="F114" s="61">
        <v>0</v>
      </c>
      <c r="G114" s="105">
        <v>481</v>
      </c>
      <c r="H114" s="99"/>
      <c r="I114" s="99"/>
      <c r="J114" s="99"/>
      <c r="K114" s="99"/>
      <c r="L114" s="99"/>
      <c r="M114" s="100">
        <v>0</v>
      </c>
      <c r="N114" s="105">
        <f t="shared" si="36"/>
        <v>481</v>
      </c>
      <c r="O114" s="386"/>
    </row>
    <row r="115" spans="1:15">
      <c r="A115" s="185"/>
      <c r="B115" s="136"/>
      <c r="C115" s="91" t="s">
        <v>425</v>
      </c>
      <c r="D115" s="138">
        <v>489</v>
      </c>
      <c r="E115" s="102">
        <v>0</v>
      </c>
      <c r="F115" s="102">
        <v>0</v>
      </c>
      <c r="G115" s="275">
        <v>0</v>
      </c>
      <c r="H115" s="99"/>
      <c r="I115" s="99"/>
      <c r="J115" s="99"/>
      <c r="K115" s="99"/>
      <c r="L115" s="99"/>
      <c r="M115" s="100">
        <v>0</v>
      </c>
      <c r="N115" s="105">
        <f>SUM(D115:G115)+M115</f>
        <v>489</v>
      </c>
      <c r="O115" s="386"/>
    </row>
    <row r="116" spans="1:15">
      <c r="A116" s="185"/>
      <c r="B116" s="136"/>
      <c r="C116" s="91" t="s">
        <v>426</v>
      </c>
      <c r="D116" s="135">
        <v>489</v>
      </c>
      <c r="E116" s="61">
        <v>0</v>
      </c>
      <c r="F116" s="61">
        <v>0</v>
      </c>
      <c r="G116" s="105">
        <v>0</v>
      </c>
      <c r="H116" s="99"/>
      <c r="I116" s="99"/>
      <c r="J116" s="99"/>
      <c r="K116" s="99"/>
      <c r="L116" s="99"/>
      <c r="M116" s="100">
        <v>0</v>
      </c>
      <c r="N116" s="105">
        <f>SUM(D116:G116)+M116</f>
        <v>489</v>
      </c>
      <c r="O116" s="386"/>
    </row>
    <row r="117" spans="1:15">
      <c r="A117" s="185"/>
      <c r="B117" s="136"/>
      <c r="C117" s="91" t="s">
        <v>427</v>
      </c>
      <c r="D117" s="135">
        <v>489</v>
      </c>
      <c r="E117" s="61">
        <v>0</v>
      </c>
      <c r="F117" s="61">
        <v>0</v>
      </c>
      <c r="G117" s="105">
        <v>0</v>
      </c>
      <c r="H117" s="99"/>
      <c r="I117" s="99"/>
      <c r="J117" s="99"/>
      <c r="K117" s="99"/>
      <c r="L117" s="99"/>
      <c r="M117" s="100">
        <v>0</v>
      </c>
      <c r="N117" s="105">
        <f>SUM(D117:G117)+M117</f>
        <v>489</v>
      </c>
      <c r="O117" s="386"/>
    </row>
    <row r="118" spans="1:15">
      <c r="A118" s="185"/>
      <c r="B118" s="136"/>
      <c r="C118" s="185" t="s">
        <v>428</v>
      </c>
      <c r="D118" s="135">
        <v>489</v>
      </c>
      <c r="E118" s="61">
        <v>0</v>
      </c>
      <c r="F118" s="61">
        <v>0</v>
      </c>
      <c r="G118" s="105">
        <v>0</v>
      </c>
      <c r="H118" s="99"/>
      <c r="I118" s="99"/>
      <c r="J118" s="99"/>
      <c r="K118" s="99"/>
      <c r="L118" s="99"/>
      <c r="M118" s="100">
        <v>0</v>
      </c>
      <c r="N118" s="105">
        <f t="shared" ref="N118" si="38">SUM(D118:G118)+M118</f>
        <v>489</v>
      </c>
      <c r="O118" s="386"/>
    </row>
    <row r="119" spans="1:15">
      <c r="A119" s="185"/>
      <c r="B119" s="139"/>
      <c r="C119" s="91" t="s">
        <v>429</v>
      </c>
      <c r="D119" s="135">
        <v>0</v>
      </c>
      <c r="E119" s="61">
        <v>862</v>
      </c>
      <c r="F119" s="61">
        <v>0</v>
      </c>
      <c r="G119" s="105">
        <v>0</v>
      </c>
      <c r="H119" s="99"/>
      <c r="I119" s="120"/>
      <c r="J119" s="99"/>
      <c r="K119" s="99"/>
      <c r="L119" s="99"/>
      <c r="M119" s="100">
        <v>0</v>
      </c>
      <c r="N119" s="105">
        <f t="shared" ref="N119" si="39">SUM(D119:G119)+M119</f>
        <v>862</v>
      </c>
      <c r="O119" s="386"/>
    </row>
    <row r="120" spans="1:15">
      <c r="A120" s="318" t="s">
        <v>171</v>
      </c>
      <c r="B120" s="134" t="s">
        <v>173</v>
      </c>
      <c r="C120" s="185" t="s">
        <v>430</v>
      </c>
      <c r="D120" s="138">
        <v>0</v>
      </c>
      <c r="E120" s="102">
        <v>0</v>
      </c>
      <c r="F120" s="102">
        <v>0</v>
      </c>
      <c r="G120" s="275">
        <v>0</v>
      </c>
      <c r="H120" s="140"/>
      <c r="I120" s="140"/>
      <c r="J120" s="140"/>
      <c r="K120" s="140"/>
      <c r="L120" s="140"/>
      <c r="M120" s="100">
        <v>0</v>
      </c>
      <c r="N120" s="105">
        <f t="shared" si="36"/>
        <v>0</v>
      </c>
      <c r="O120" s="386"/>
    </row>
    <row r="121" spans="1:15">
      <c r="A121" s="185"/>
      <c r="B121" s="92"/>
      <c r="C121" s="91" t="s">
        <v>180</v>
      </c>
      <c r="D121" s="141">
        <f>SUM(D107:D120)</f>
        <v>3423</v>
      </c>
      <c r="E121" s="141">
        <f>SUM(E107:E120)</f>
        <v>3448</v>
      </c>
      <c r="F121" s="141">
        <f>SUM(F107:F120)</f>
        <v>0</v>
      </c>
      <c r="G121" s="319">
        <f>SUM(G107:G120)</f>
        <v>2020</v>
      </c>
      <c r="H121" s="99"/>
      <c r="I121" s="99"/>
      <c r="J121" s="99"/>
      <c r="K121" s="99"/>
      <c r="L121" s="99"/>
      <c r="M121" s="100"/>
      <c r="N121" s="105"/>
      <c r="O121" s="386"/>
    </row>
    <row r="122" spans="1:15">
      <c r="A122" s="185"/>
      <c r="B122" s="92"/>
      <c r="C122" s="91"/>
      <c r="D122" s="6"/>
      <c r="E122" s="61"/>
      <c r="F122" s="61"/>
      <c r="G122" s="105"/>
      <c r="H122" s="99"/>
      <c r="I122" s="99"/>
      <c r="J122" s="99"/>
      <c r="K122" s="99"/>
      <c r="L122" s="99"/>
      <c r="M122" s="100">
        <v>0</v>
      </c>
      <c r="N122" s="105">
        <f>G122+M122</f>
        <v>0</v>
      </c>
      <c r="O122" s="386"/>
    </row>
    <row r="123" spans="1:15">
      <c r="A123" s="189"/>
      <c r="B123" s="142"/>
      <c r="C123" s="106" t="s">
        <v>181</v>
      </c>
      <c r="D123" s="143" t="s">
        <v>182</v>
      </c>
      <c r="E123" s="97"/>
      <c r="F123" s="98"/>
      <c r="G123" s="299">
        <f>+G121+F121+E121+D121</f>
        <v>8891</v>
      </c>
      <c r="H123" s="109"/>
      <c r="I123" s="108"/>
      <c r="J123" s="108"/>
      <c r="K123" s="109"/>
      <c r="L123" s="109"/>
      <c r="M123" s="108"/>
      <c r="N123" s="298"/>
      <c r="O123" s="386"/>
    </row>
    <row r="124" spans="1:15">
      <c r="A124" s="204"/>
      <c r="B124" s="277"/>
      <c r="C124" s="278" t="s">
        <v>140</v>
      </c>
      <c r="D124" s="279"/>
      <c r="E124" s="280"/>
      <c r="F124" s="288"/>
      <c r="G124" s="282">
        <f>3510+3510</f>
        <v>7020</v>
      </c>
      <c r="H124" s="394">
        <f>'LINE ITEM EXP'!C13</f>
        <v>7697</v>
      </c>
      <c r="I124" s="395">
        <f>'LINE ITEM EXP'!D13</f>
        <v>3510</v>
      </c>
      <c r="J124" s="395">
        <f>'LINE ITEM EXP'!E13</f>
        <v>11342</v>
      </c>
      <c r="K124" s="396">
        <f>G124</f>
        <v>7020</v>
      </c>
      <c r="L124" s="396">
        <f>G123</f>
        <v>8891</v>
      </c>
      <c r="M124" s="395">
        <f>SUM(M107:M123)</f>
        <v>0</v>
      </c>
      <c r="N124" s="397">
        <f>SUM(N107:N123)</f>
        <v>8891</v>
      </c>
      <c r="O124" s="386"/>
    </row>
    <row r="125" spans="1:15">
      <c r="A125" s="189">
        <v>132</v>
      </c>
      <c r="B125" s="95" t="s">
        <v>183</v>
      </c>
      <c r="C125" s="91"/>
      <c r="D125" s="112" t="s">
        <v>134</v>
      </c>
      <c r="E125" s="113" t="s">
        <v>184</v>
      </c>
      <c r="F125" s="144" t="s">
        <v>185</v>
      </c>
      <c r="G125" s="145" t="s">
        <v>186</v>
      </c>
      <c r="H125" s="99"/>
      <c r="I125" s="99"/>
      <c r="J125" s="99"/>
      <c r="K125" s="99"/>
      <c r="L125" s="99"/>
      <c r="M125" s="100"/>
      <c r="N125" s="105"/>
      <c r="O125" s="386"/>
    </row>
    <row r="126" spans="1:15">
      <c r="A126" s="185"/>
      <c r="B126" s="92"/>
      <c r="C126" s="91"/>
      <c r="D126" s="115">
        <f>G21+G38+G84</f>
        <v>886904</v>
      </c>
      <c r="E126" s="116">
        <v>6.2E-2</v>
      </c>
      <c r="F126" s="116">
        <v>1.4500000000000001E-2</v>
      </c>
      <c r="G126" s="99">
        <f>ROUND(D126*(E126+F126),0)</f>
        <v>67848</v>
      </c>
      <c r="H126" s="99"/>
      <c r="I126" s="99"/>
      <c r="J126" s="99"/>
      <c r="K126" s="99"/>
      <c r="L126" s="99"/>
      <c r="M126" s="100">
        <f>ROUND((M22+M39+M85)*(E126+F126),0)</f>
        <v>2940</v>
      </c>
      <c r="N126" s="105">
        <f>G126+M126</f>
        <v>70788</v>
      </c>
      <c r="O126" s="402"/>
    </row>
    <row r="127" spans="1:15">
      <c r="A127" s="189"/>
      <c r="B127" s="95"/>
      <c r="C127" s="106" t="s">
        <v>187</v>
      </c>
      <c r="D127" s="41"/>
      <c r="E127" s="97"/>
      <c r="F127" s="98"/>
      <c r="G127" s="121">
        <f>SUM(G126:G126)</f>
        <v>67848</v>
      </c>
      <c r="H127" s="108"/>
      <c r="I127" s="108"/>
      <c r="J127" s="108"/>
      <c r="K127" s="109"/>
      <c r="L127" s="109"/>
      <c r="M127" s="108"/>
      <c r="N127" s="298"/>
      <c r="O127" s="386"/>
    </row>
    <row r="128" spans="1:15">
      <c r="A128" s="185"/>
      <c r="B128" s="92"/>
      <c r="C128" s="264" t="s">
        <v>140</v>
      </c>
      <c r="D128" s="265"/>
      <c r="E128" s="266"/>
      <c r="F128" s="267"/>
      <c r="G128" s="325">
        <f>(465000+7440+281000)*7.65%</f>
        <v>57638.159999999996</v>
      </c>
      <c r="H128" s="394">
        <f>'LINE ITEM EXP'!C14</f>
        <v>52772</v>
      </c>
      <c r="I128" s="395">
        <f>'LINE ITEM EXP'!D14</f>
        <v>27105</v>
      </c>
      <c r="J128" s="395">
        <f>'LINE ITEM EXP'!E14</f>
        <v>63600</v>
      </c>
      <c r="K128" s="396">
        <f>G128</f>
        <v>57638.159999999996</v>
      </c>
      <c r="L128" s="396">
        <f>G127</f>
        <v>67848</v>
      </c>
      <c r="M128" s="395">
        <f>SUM(M126:M127)</f>
        <v>2940</v>
      </c>
      <c r="N128" s="397">
        <f>SUM(N126:N127)</f>
        <v>70788</v>
      </c>
      <c r="O128" s="386"/>
    </row>
    <row r="129" spans="1:15">
      <c r="A129" s="177">
        <v>133</v>
      </c>
      <c r="B129" s="178" t="s">
        <v>188</v>
      </c>
      <c r="C129" s="320">
        <v>43465</v>
      </c>
      <c r="D129" s="321" t="s">
        <v>189</v>
      </c>
      <c r="E129" s="322" t="s">
        <v>190</v>
      </c>
      <c r="F129" s="307" t="s">
        <v>191</v>
      </c>
      <c r="G129" s="297" t="s">
        <v>129</v>
      </c>
      <c r="H129" s="99"/>
      <c r="I129" s="99"/>
      <c r="J129" s="99"/>
      <c r="K129" s="99"/>
      <c r="L129" s="99"/>
      <c r="M129" s="108"/>
      <c r="N129" s="298"/>
      <c r="O129" s="386"/>
    </row>
    <row r="130" spans="1:15">
      <c r="A130" s="425">
        <f>DATEDIF((D130),(C$129),"y")</f>
        <v>45</v>
      </c>
      <c r="B130" s="95"/>
      <c r="C130" s="91" t="s">
        <v>419</v>
      </c>
      <c r="D130" s="423">
        <v>26911</v>
      </c>
      <c r="E130" s="115">
        <f>ROUNDUP(N11,-3)/1000</f>
        <v>82</v>
      </c>
      <c r="F130" s="98">
        <f t="shared" ref="F130:F141" si="40">IF(A130&lt;30,0.05,IF(AND(A130&gt;=30,A130&lt;=34),0.06,IF(AND(A130&gt;=35,A130&lt;=39),0.07,IF(AND(A130&gt;=40,A130&lt;=44),0.08,IF(AND(A130&gt;=45,A130&lt;=49),0.12,IF(AND(A130&gt;=50,A130&lt;=54),0.22,IF(AND(A130&gt;=55,A130&lt;=59),0.39,IF(AND(A130&gt;=60,A130&lt;=64),0.49,IF(AND(A130&gt;=65,A130&lt;=69),0.57,"")))))))))</f>
        <v>0.12</v>
      </c>
      <c r="G130" s="274">
        <f t="shared" ref="G130:G141" si="41">ROUND(+E130*F130*12,0)</f>
        <v>118</v>
      </c>
      <c r="H130" s="99"/>
      <c r="I130" s="99"/>
      <c r="J130" s="99"/>
      <c r="K130" s="99"/>
      <c r="L130" s="99"/>
      <c r="M130" s="100">
        <v>0</v>
      </c>
      <c r="N130" s="105">
        <f t="shared" ref="N130:N142" si="42">G130+M130</f>
        <v>118</v>
      </c>
      <c r="O130" s="386"/>
    </row>
    <row r="131" spans="1:15">
      <c r="A131" s="425">
        <f t="shared" ref="A131:A141" si="43">DATEDIF((D131),(C$129),"y")</f>
        <v>47</v>
      </c>
      <c r="B131" s="146" t="s">
        <v>192</v>
      </c>
      <c r="C131" s="91" t="s">
        <v>430</v>
      </c>
      <c r="D131" s="424">
        <v>26147</v>
      </c>
      <c r="E131" s="61">
        <v>0</v>
      </c>
      <c r="F131" s="98">
        <f t="shared" si="40"/>
        <v>0.12</v>
      </c>
      <c r="G131" s="311">
        <f t="shared" si="41"/>
        <v>0</v>
      </c>
      <c r="H131" s="99"/>
      <c r="I131" s="99"/>
      <c r="J131" s="99"/>
      <c r="K131" s="99"/>
      <c r="L131" s="99"/>
      <c r="M131" s="100">
        <v>0</v>
      </c>
      <c r="N131" s="105">
        <f t="shared" si="42"/>
        <v>0</v>
      </c>
      <c r="O131" s="386"/>
    </row>
    <row r="132" spans="1:15">
      <c r="A132" s="425">
        <f t="shared" si="43"/>
        <v>37</v>
      </c>
      <c r="B132" s="146"/>
      <c r="C132" s="91" t="s">
        <v>425</v>
      </c>
      <c r="D132" s="424">
        <v>29775</v>
      </c>
      <c r="E132" s="115">
        <f>ROUNDUP(N15,-3)/1000</f>
        <v>56</v>
      </c>
      <c r="F132" s="98">
        <f t="shared" si="40"/>
        <v>7.0000000000000007E-2</v>
      </c>
      <c r="G132" s="311">
        <f t="shared" si="41"/>
        <v>47</v>
      </c>
      <c r="H132" s="99"/>
      <c r="I132" s="99"/>
      <c r="J132" s="99"/>
      <c r="K132" s="99"/>
      <c r="L132" s="99"/>
      <c r="M132" s="100">
        <v>0</v>
      </c>
      <c r="N132" s="105">
        <f>G132+M132</f>
        <v>47</v>
      </c>
      <c r="O132" s="386"/>
    </row>
    <row r="133" spans="1:15">
      <c r="A133" s="425">
        <f t="shared" si="43"/>
        <v>30</v>
      </c>
      <c r="B133" s="146"/>
      <c r="C133" s="91" t="s">
        <v>426</v>
      </c>
      <c r="D133" s="423">
        <v>32306</v>
      </c>
      <c r="E133" s="115">
        <f>ROUNDUP(N18,-3)/1000</f>
        <v>50</v>
      </c>
      <c r="F133" s="98">
        <f t="shared" si="40"/>
        <v>0.06</v>
      </c>
      <c r="G133" s="311">
        <f t="shared" si="41"/>
        <v>36</v>
      </c>
      <c r="H133" s="99"/>
      <c r="I133" s="99"/>
      <c r="J133" s="99"/>
      <c r="K133" s="99"/>
      <c r="L133" s="99"/>
      <c r="M133" s="100">
        <v>0</v>
      </c>
      <c r="N133" s="105">
        <f>G133+M133</f>
        <v>36</v>
      </c>
      <c r="O133" s="386"/>
    </row>
    <row r="134" spans="1:15">
      <c r="A134" s="425">
        <f t="shared" si="43"/>
        <v>47</v>
      </c>
      <c r="B134" s="146" t="s">
        <v>192</v>
      </c>
      <c r="C134" s="91" t="s">
        <v>427</v>
      </c>
      <c r="D134" s="424">
        <v>26091</v>
      </c>
      <c r="E134" s="61">
        <v>0</v>
      </c>
      <c r="F134" s="98">
        <f t="shared" si="40"/>
        <v>0.12</v>
      </c>
      <c r="G134" s="311">
        <f t="shared" si="41"/>
        <v>0</v>
      </c>
      <c r="H134" s="99"/>
      <c r="I134" s="99"/>
      <c r="J134" s="99"/>
      <c r="K134" s="99"/>
      <c r="L134" s="99"/>
      <c r="M134" s="100">
        <v>0</v>
      </c>
      <c r="N134" s="105">
        <f>G134+M134</f>
        <v>0</v>
      </c>
      <c r="O134" s="386"/>
    </row>
    <row r="135" spans="1:15">
      <c r="A135" s="425">
        <f t="shared" si="43"/>
        <v>58</v>
      </c>
      <c r="B135" s="92"/>
      <c r="C135" s="91" t="s">
        <v>431</v>
      </c>
      <c r="D135" s="424">
        <v>22224</v>
      </c>
      <c r="E135" s="115">
        <f>ROUNDUP(N46,-3)/1000</f>
        <v>21</v>
      </c>
      <c r="F135" s="98">
        <f t="shared" si="40"/>
        <v>0.39</v>
      </c>
      <c r="G135" s="311">
        <f t="shared" si="41"/>
        <v>98</v>
      </c>
      <c r="H135" s="99"/>
      <c r="I135" s="99"/>
      <c r="J135" s="99"/>
      <c r="K135" s="99"/>
      <c r="L135" s="99"/>
      <c r="M135" s="100">
        <v>0</v>
      </c>
      <c r="N135" s="105">
        <f t="shared" si="42"/>
        <v>98</v>
      </c>
      <c r="O135" s="386"/>
    </row>
    <row r="136" spans="1:15">
      <c r="A136" s="425">
        <f t="shared" si="43"/>
        <v>46</v>
      </c>
      <c r="B136" s="92"/>
      <c r="C136" s="91" t="s">
        <v>198</v>
      </c>
      <c r="D136" s="424">
        <v>26300</v>
      </c>
      <c r="E136" s="115">
        <f>ROUNDUP(N13,-3)/1000</f>
        <v>57</v>
      </c>
      <c r="F136" s="98">
        <f t="shared" si="40"/>
        <v>0.12</v>
      </c>
      <c r="G136" s="311">
        <f t="shared" si="41"/>
        <v>82</v>
      </c>
      <c r="H136" s="99"/>
      <c r="I136" s="99"/>
      <c r="J136" s="99"/>
      <c r="K136" s="99"/>
      <c r="L136" s="99"/>
      <c r="M136" s="100">
        <v>0</v>
      </c>
      <c r="N136" s="105">
        <f t="shared" si="42"/>
        <v>82</v>
      </c>
      <c r="O136" s="386"/>
    </row>
    <row r="137" spans="1:15">
      <c r="A137" s="425"/>
      <c r="B137" s="92"/>
      <c r="C137" s="7" t="s">
        <v>428</v>
      </c>
      <c r="D137" s="423"/>
      <c r="E137" s="115">
        <f>ROUNDUP(N20,-3)/1000</f>
        <v>47</v>
      </c>
      <c r="F137" s="98">
        <f t="shared" si="40"/>
        <v>0.05</v>
      </c>
      <c r="G137" s="311">
        <f t="shared" si="41"/>
        <v>28</v>
      </c>
      <c r="H137" s="99"/>
      <c r="I137" s="99"/>
      <c r="J137" s="99"/>
      <c r="K137" s="99"/>
      <c r="L137" s="99"/>
      <c r="M137" s="100">
        <v>0</v>
      </c>
      <c r="N137" s="105">
        <f t="shared" si="42"/>
        <v>28</v>
      </c>
      <c r="O137" s="386"/>
    </row>
    <row r="138" spans="1:15">
      <c r="A138" s="425">
        <f t="shared" si="43"/>
        <v>29</v>
      </c>
      <c r="B138" s="92"/>
      <c r="C138" s="91" t="s">
        <v>420</v>
      </c>
      <c r="D138" s="424">
        <v>32771</v>
      </c>
      <c r="E138" s="115">
        <v>0</v>
      </c>
      <c r="F138" s="98">
        <f t="shared" si="40"/>
        <v>0.05</v>
      </c>
      <c r="G138" s="311">
        <f t="shared" si="41"/>
        <v>0</v>
      </c>
      <c r="H138" s="99"/>
      <c r="I138" s="99"/>
      <c r="J138" s="99"/>
      <c r="K138" s="99"/>
      <c r="L138" s="99"/>
      <c r="M138" s="100">
        <v>0</v>
      </c>
      <c r="N138" s="105">
        <f t="shared" si="42"/>
        <v>0</v>
      </c>
      <c r="O138" s="386"/>
    </row>
    <row r="139" spans="1:15">
      <c r="A139" s="425">
        <f t="shared" si="43"/>
        <v>59</v>
      </c>
      <c r="B139" s="92"/>
      <c r="C139" s="91" t="s">
        <v>421</v>
      </c>
      <c r="D139" s="423">
        <v>21628</v>
      </c>
      <c r="E139" s="115">
        <f>ROUNDUP(N14,-3)/1000</f>
        <v>57</v>
      </c>
      <c r="F139" s="98">
        <f t="shared" si="40"/>
        <v>0.39</v>
      </c>
      <c r="G139" s="311">
        <f t="shared" si="41"/>
        <v>267</v>
      </c>
      <c r="H139" s="99"/>
      <c r="I139" s="99"/>
      <c r="J139" s="99"/>
      <c r="K139" s="99"/>
      <c r="L139" s="99"/>
      <c r="M139" s="100">
        <v>0</v>
      </c>
      <c r="N139" s="105">
        <f t="shared" si="42"/>
        <v>267</v>
      </c>
      <c r="O139" s="386"/>
    </row>
    <row r="140" spans="1:15">
      <c r="A140" s="425">
        <f t="shared" si="43"/>
        <v>67</v>
      </c>
      <c r="B140" s="146" t="s">
        <v>192</v>
      </c>
      <c r="C140" s="91" t="s">
        <v>416</v>
      </c>
      <c r="D140" s="423">
        <v>18714</v>
      </c>
      <c r="E140" s="61">
        <v>0</v>
      </c>
      <c r="F140" s="98">
        <f t="shared" si="40"/>
        <v>0.56999999999999995</v>
      </c>
      <c r="G140" s="311">
        <f t="shared" si="41"/>
        <v>0</v>
      </c>
      <c r="H140" s="99"/>
      <c r="I140" s="99"/>
      <c r="J140" s="99"/>
      <c r="K140" s="99"/>
      <c r="L140" s="99"/>
      <c r="M140" s="100">
        <v>0</v>
      </c>
      <c r="N140" s="105">
        <f>G140+M140</f>
        <v>0</v>
      </c>
      <c r="O140" s="386"/>
    </row>
    <row r="141" spans="1:15">
      <c r="A141" s="425">
        <f t="shared" si="43"/>
        <v>62</v>
      </c>
      <c r="B141" s="6"/>
      <c r="C141" s="91" t="s">
        <v>432</v>
      </c>
      <c r="D141" s="423">
        <v>20746</v>
      </c>
      <c r="E141" s="115">
        <f>ROUNDUP(N43,-3)/1000</f>
        <v>26</v>
      </c>
      <c r="F141" s="98">
        <f t="shared" si="40"/>
        <v>0.49</v>
      </c>
      <c r="G141" s="311">
        <f t="shared" si="41"/>
        <v>153</v>
      </c>
      <c r="H141" s="99"/>
      <c r="I141" s="99"/>
      <c r="J141" s="99"/>
      <c r="K141" s="99"/>
      <c r="L141" s="99"/>
      <c r="M141" s="100">
        <v>0</v>
      </c>
      <c r="N141" s="105">
        <f t="shared" ref="N141" si="44">G141+M141</f>
        <v>153</v>
      </c>
      <c r="O141" s="386"/>
    </row>
    <row r="142" spans="1:15">
      <c r="A142" s="185"/>
      <c r="B142" s="92"/>
      <c r="C142" s="91"/>
      <c r="D142" s="263"/>
      <c r="E142" s="61"/>
      <c r="F142" s="98"/>
      <c r="G142" s="323"/>
      <c r="H142" s="99"/>
      <c r="I142" s="99"/>
      <c r="J142" s="99"/>
      <c r="K142" s="99"/>
      <c r="L142" s="99"/>
      <c r="M142" s="100">
        <v>0</v>
      </c>
      <c r="N142" s="105">
        <f t="shared" si="42"/>
        <v>0</v>
      </c>
      <c r="O142" s="386"/>
    </row>
    <row r="143" spans="1:15">
      <c r="A143" s="185"/>
      <c r="B143" s="92"/>
      <c r="C143" s="91" t="s">
        <v>201</v>
      </c>
      <c r="E143" s="97"/>
      <c r="F143" s="61"/>
      <c r="G143" s="311">
        <f>SUM(G130:G142)</f>
        <v>829</v>
      </c>
      <c r="H143" s="99"/>
      <c r="I143" s="99"/>
      <c r="J143" s="99"/>
      <c r="K143" s="99"/>
      <c r="L143" s="99"/>
      <c r="M143" s="100"/>
      <c r="N143" s="105"/>
      <c r="O143" s="386"/>
    </row>
    <row r="144" spans="1:15">
      <c r="A144" s="185"/>
      <c r="B144" s="92"/>
      <c r="C144" s="91" t="s">
        <v>202</v>
      </c>
      <c r="E144" s="97"/>
      <c r="F144" s="116">
        <v>0.2</v>
      </c>
      <c r="G144" s="105">
        <f>ROUND(G143*F144,0)</f>
        <v>166</v>
      </c>
      <c r="H144" s="99"/>
      <c r="I144" s="99"/>
      <c r="J144" s="99"/>
      <c r="K144" s="99"/>
      <c r="L144" s="99"/>
      <c r="M144" s="100">
        <v>0</v>
      </c>
      <c r="N144" s="105">
        <f>G144+M144</f>
        <v>166</v>
      </c>
      <c r="O144" s="386"/>
    </row>
    <row r="145" spans="1:15">
      <c r="A145" s="189"/>
      <c r="B145" s="95"/>
      <c r="C145" s="106" t="s">
        <v>203</v>
      </c>
      <c r="E145" s="97"/>
      <c r="F145" s="98"/>
      <c r="G145" s="299">
        <f>SUM(G143:G144)</f>
        <v>995</v>
      </c>
      <c r="H145" s="109"/>
      <c r="I145" s="108"/>
      <c r="J145" s="108"/>
      <c r="K145" s="109"/>
      <c r="L145" s="109"/>
      <c r="M145" s="108"/>
      <c r="N145" s="298"/>
      <c r="O145" s="386"/>
    </row>
    <row r="146" spans="1:15">
      <c r="A146" s="204"/>
      <c r="B146" s="277"/>
      <c r="C146" s="278" t="s">
        <v>140</v>
      </c>
      <c r="D146" s="279"/>
      <c r="E146" s="280"/>
      <c r="F146" s="288"/>
      <c r="G146" s="282">
        <f>422+422</f>
        <v>844</v>
      </c>
      <c r="H146" s="394">
        <f>'LINE ITEM EXP'!C15</f>
        <v>953</v>
      </c>
      <c r="I146" s="395">
        <f>'LINE ITEM EXP'!D15</f>
        <v>422</v>
      </c>
      <c r="J146" s="395">
        <f>'LINE ITEM EXP'!E15</f>
        <v>1240</v>
      </c>
      <c r="K146" s="396">
        <f>G146</f>
        <v>844</v>
      </c>
      <c r="L146" s="396">
        <f>G145</f>
        <v>995</v>
      </c>
      <c r="M146" s="395">
        <f>SUM(M130:M145)</f>
        <v>0</v>
      </c>
      <c r="N146" s="397">
        <f>SUM(N130:N145)</f>
        <v>995</v>
      </c>
      <c r="O146" s="386"/>
    </row>
    <row r="147" spans="1:15">
      <c r="A147" s="177"/>
      <c r="B147" s="268"/>
      <c r="C147" s="269"/>
      <c r="D147" s="270"/>
      <c r="E147" s="271" t="s">
        <v>204</v>
      </c>
      <c r="F147" s="271"/>
      <c r="G147" s="272" t="s">
        <v>129</v>
      </c>
      <c r="H147" s="92"/>
      <c r="I147" s="94"/>
      <c r="J147" s="94"/>
      <c r="K147" s="94"/>
      <c r="L147" s="94"/>
      <c r="M147" s="94"/>
      <c r="N147" s="241"/>
      <c r="O147" s="386"/>
    </row>
    <row r="148" spans="1:15">
      <c r="A148" s="185"/>
      <c r="B148" s="92"/>
      <c r="C148" s="106"/>
      <c r="D148" s="93" t="s">
        <v>134</v>
      </c>
      <c r="E148" s="93" t="s">
        <v>152</v>
      </c>
      <c r="F148" s="93"/>
      <c r="G148" s="273" t="s">
        <v>205</v>
      </c>
      <c r="H148" s="92"/>
      <c r="I148" s="94"/>
      <c r="J148" s="94"/>
      <c r="K148" s="94"/>
      <c r="L148" s="94"/>
      <c r="M148" s="94"/>
      <c r="N148" s="241"/>
      <c r="O148" s="386"/>
    </row>
    <row r="149" spans="1:15">
      <c r="A149" s="189">
        <v>134</v>
      </c>
      <c r="B149" s="95" t="s">
        <v>206</v>
      </c>
      <c r="C149" s="91" t="s">
        <v>135</v>
      </c>
      <c r="D149" s="147">
        <f>G21</f>
        <v>534455</v>
      </c>
      <c r="E149" s="116">
        <v>0.13200000000000001</v>
      </c>
      <c r="F149" s="98"/>
      <c r="G149" s="274">
        <f>ROUND(D149*E149,0)</f>
        <v>70548</v>
      </c>
      <c r="H149" s="92"/>
      <c r="I149" s="94"/>
      <c r="J149" s="94"/>
      <c r="K149" s="94"/>
      <c r="L149" s="94"/>
      <c r="M149" s="100">
        <f>ROUND(M22*E149,0)</f>
        <v>3484</v>
      </c>
      <c r="N149" s="105">
        <f>G149+M149</f>
        <v>74032</v>
      </c>
      <c r="O149" s="404"/>
    </row>
    <row r="150" spans="1:15">
      <c r="A150" s="185"/>
      <c r="B150" s="92"/>
      <c r="C150" s="91" t="s">
        <v>207</v>
      </c>
      <c r="D150" s="67">
        <f>G38</f>
        <v>8271</v>
      </c>
      <c r="E150" s="116">
        <v>0.13200000000000001</v>
      </c>
      <c r="F150" s="61"/>
      <c r="G150" s="105">
        <f>ROUND(D150*E150,0)</f>
        <v>1092</v>
      </c>
      <c r="H150" s="99"/>
      <c r="I150" s="100"/>
      <c r="J150" s="100"/>
      <c r="K150" s="100"/>
      <c r="L150" s="100"/>
      <c r="M150" s="100">
        <f>ROUND(M39*E150,0)</f>
        <v>65</v>
      </c>
      <c r="N150" s="105">
        <f>+G150+M150</f>
        <v>1157</v>
      </c>
      <c r="O150" s="386"/>
    </row>
    <row r="151" spans="1:15">
      <c r="A151" s="185"/>
      <c r="B151" s="92"/>
      <c r="C151" s="91" t="s">
        <v>150</v>
      </c>
      <c r="D151" s="67">
        <f>G48</f>
        <v>105915</v>
      </c>
      <c r="E151" s="116">
        <v>0.13200000000000001</v>
      </c>
      <c r="F151" s="61"/>
      <c r="G151" s="275">
        <f>ROUND(D151*E151,0)</f>
        <v>13981</v>
      </c>
      <c r="H151" s="99"/>
      <c r="I151" s="100"/>
      <c r="J151" s="100"/>
      <c r="K151" s="100"/>
      <c r="L151" s="100"/>
      <c r="M151" s="100">
        <f>ROUND((M48)*E151,0)</f>
        <v>0</v>
      </c>
      <c r="N151" s="105">
        <f>+G151+M151</f>
        <v>13981</v>
      </c>
      <c r="O151" s="386"/>
    </row>
    <row r="152" spans="1:15">
      <c r="A152" s="185"/>
      <c r="B152" s="92"/>
      <c r="C152" s="91" t="s">
        <v>208</v>
      </c>
      <c r="D152" s="65">
        <f>SUM(D149:D151)</f>
        <v>648641</v>
      </c>
      <c r="E152" s="116">
        <v>6.6000000000000003E-2</v>
      </c>
      <c r="F152" s="61"/>
      <c r="G152" s="298">
        <f>-ROUND((D152)*E152,0)</f>
        <v>-42810</v>
      </c>
      <c r="H152" s="99"/>
      <c r="I152" s="100"/>
      <c r="J152" s="100"/>
      <c r="K152" s="100"/>
      <c r="L152" s="100"/>
      <c r="M152" s="100">
        <f>-ROUND((M22+M39+M48)*E152,0)</f>
        <v>-1774</v>
      </c>
      <c r="N152" s="105">
        <f>+G152+M152</f>
        <v>-44584</v>
      </c>
      <c r="O152" s="386"/>
    </row>
    <row r="153" spans="1:15">
      <c r="A153" s="185"/>
      <c r="B153" s="92"/>
      <c r="C153" s="106" t="s">
        <v>209</v>
      </c>
      <c r="D153" s="115"/>
      <c r="E153" s="97"/>
      <c r="F153" s="61"/>
      <c r="G153" s="276">
        <f>SUM(G149:G152)</f>
        <v>42811</v>
      </c>
      <c r="H153" s="109"/>
      <c r="I153" s="108"/>
      <c r="J153" s="108"/>
      <c r="K153" s="109"/>
      <c r="L153" s="109"/>
      <c r="M153" s="108"/>
      <c r="N153" s="298"/>
      <c r="O153" s="386"/>
    </row>
    <row r="154" spans="1:15">
      <c r="A154" s="204"/>
      <c r="B154" s="277"/>
      <c r="C154" s="278" t="s">
        <v>140</v>
      </c>
      <c r="D154" s="279"/>
      <c r="E154" s="280"/>
      <c r="F154" s="281">
        <v>2017</v>
      </c>
      <c r="G154" s="282">
        <f>18763+18763</f>
        <v>37526</v>
      </c>
      <c r="H154" s="394">
        <f>'LINE ITEM EXP'!C16</f>
        <v>37007</v>
      </c>
      <c r="I154" s="395">
        <f>'LINE ITEM EXP'!D16</f>
        <v>18763</v>
      </c>
      <c r="J154" s="395">
        <f>'LINE ITEM EXP'!E16</f>
        <v>44762</v>
      </c>
      <c r="K154" s="396">
        <f>G154</f>
        <v>37526</v>
      </c>
      <c r="L154" s="396">
        <f>G153</f>
        <v>42811</v>
      </c>
      <c r="M154" s="395">
        <f>SUM(M149:M153)</f>
        <v>1775</v>
      </c>
      <c r="N154" s="397">
        <f>SUM(N149:N153)</f>
        <v>44586</v>
      </c>
      <c r="O154" s="386"/>
    </row>
    <row r="155" spans="1:15">
      <c r="A155" s="177"/>
      <c r="B155" s="178"/>
      <c r="C155" s="269"/>
      <c r="D155" s="283" t="s">
        <v>134</v>
      </c>
      <c r="E155" s="284" t="s">
        <v>152</v>
      </c>
      <c r="F155" s="285" t="s">
        <v>210</v>
      </c>
      <c r="G155" s="286" t="s">
        <v>129</v>
      </c>
      <c r="H155" s="99"/>
      <c r="I155" s="99"/>
      <c r="J155" s="99"/>
      <c r="K155" s="99"/>
      <c r="L155" s="99"/>
      <c r="M155" s="100"/>
      <c r="N155" s="105"/>
      <c r="O155" s="386"/>
    </row>
    <row r="156" spans="1:15">
      <c r="A156" s="189">
        <v>135</v>
      </c>
      <c r="B156" s="95" t="s">
        <v>211</v>
      </c>
      <c r="C156" s="91" t="s">
        <v>213</v>
      </c>
      <c r="D156" s="115">
        <v>74000</v>
      </c>
      <c r="E156" s="148">
        <v>4.7499999999999999E-3</v>
      </c>
      <c r="F156" s="149">
        <f t="shared" ref="F156:F165" si="45">IF(F$154=2017,-D156*E156,0)</f>
        <v>-351.5</v>
      </c>
      <c r="G156" s="274">
        <f>ROUND((D156*E156)+F156,0)</f>
        <v>0</v>
      </c>
      <c r="H156" s="99"/>
      <c r="I156" s="120"/>
      <c r="J156" s="99"/>
      <c r="K156" s="99"/>
      <c r="L156" s="99"/>
      <c r="M156" s="100">
        <v>0</v>
      </c>
      <c r="N156" s="105">
        <f t="shared" ref="N156:N168" si="46">G156+M156</f>
        <v>0</v>
      </c>
      <c r="O156" s="386"/>
    </row>
    <row r="157" spans="1:15">
      <c r="A157" s="185"/>
      <c r="B157" s="92"/>
      <c r="C157" s="91" t="s">
        <v>193</v>
      </c>
      <c r="D157" s="115">
        <v>0</v>
      </c>
      <c r="E157" s="148">
        <v>4.7499999999999999E-3</v>
      </c>
      <c r="F157" s="149">
        <f t="shared" si="45"/>
        <v>0</v>
      </c>
      <c r="G157" s="274">
        <f t="shared" ref="G157:G168" si="47">ROUND((D157*E157)+F157,0)</f>
        <v>0</v>
      </c>
      <c r="H157" s="99"/>
      <c r="I157" s="99"/>
      <c r="J157" s="99"/>
      <c r="K157" s="99"/>
      <c r="L157" s="99"/>
      <c r="M157" s="100">
        <v>0</v>
      </c>
      <c r="N157" s="105">
        <f t="shared" si="46"/>
        <v>0</v>
      </c>
      <c r="O157" s="386"/>
    </row>
    <row r="158" spans="1:15">
      <c r="A158" s="185"/>
      <c r="B158" s="92"/>
      <c r="C158" s="91" t="s">
        <v>212</v>
      </c>
      <c r="D158" s="115">
        <v>44000</v>
      </c>
      <c r="E158" s="148">
        <v>4.7520000000000001E-3</v>
      </c>
      <c r="F158" s="149">
        <f t="shared" si="45"/>
        <v>-209.08799999999999</v>
      </c>
      <c r="G158" s="274">
        <f t="shared" si="47"/>
        <v>0</v>
      </c>
      <c r="H158" s="99"/>
      <c r="I158" s="120"/>
      <c r="J158" s="99"/>
      <c r="K158" s="99"/>
      <c r="L158" s="99"/>
      <c r="M158" s="100">
        <v>0</v>
      </c>
      <c r="N158" s="105">
        <f t="shared" si="46"/>
        <v>0</v>
      </c>
      <c r="O158" s="386"/>
    </row>
    <row r="159" spans="1:15">
      <c r="A159" s="185"/>
      <c r="B159" s="92"/>
      <c r="C159" s="91" t="s">
        <v>197</v>
      </c>
      <c r="D159" s="115">
        <v>18000</v>
      </c>
      <c r="E159" s="148">
        <v>4.7499999999999999E-3</v>
      </c>
      <c r="F159" s="149">
        <f t="shared" si="45"/>
        <v>-85.5</v>
      </c>
      <c r="G159" s="274">
        <f t="shared" si="47"/>
        <v>0</v>
      </c>
      <c r="H159" s="99"/>
      <c r="I159" s="120"/>
      <c r="J159" s="99"/>
      <c r="K159" s="99"/>
      <c r="L159" s="99"/>
      <c r="M159" s="100">
        <v>0</v>
      </c>
      <c r="N159" s="105">
        <f>G159+M159</f>
        <v>0</v>
      </c>
      <c r="O159" s="386"/>
    </row>
    <row r="160" spans="1:15">
      <c r="A160" s="185"/>
      <c r="B160" s="92"/>
      <c r="C160" s="119" t="s">
        <v>194</v>
      </c>
      <c r="D160" s="115">
        <v>0</v>
      </c>
      <c r="E160" s="148">
        <v>4.7520000000000001E-3</v>
      </c>
      <c r="F160" s="149">
        <f t="shared" si="45"/>
        <v>0</v>
      </c>
      <c r="G160" s="274">
        <f t="shared" si="47"/>
        <v>0</v>
      </c>
      <c r="H160" s="99"/>
      <c r="I160" s="150"/>
      <c r="J160" s="99"/>
      <c r="K160" s="99"/>
      <c r="L160" s="99"/>
      <c r="M160" s="100">
        <v>0</v>
      </c>
      <c r="N160" s="105">
        <f t="shared" si="46"/>
        <v>0</v>
      </c>
      <c r="O160" s="386"/>
    </row>
    <row r="161" spans="1:15">
      <c r="A161" s="185"/>
      <c r="B161" s="92"/>
      <c r="C161" s="30" t="s">
        <v>195</v>
      </c>
      <c r="D161" s="115">
        <v>21000</v>
      </c>
      <c r="E161" s="148">
        <v>4.7520000000000001E-3</v>
      </c>
      <c r="F161" s="149">
        <f t="shared" si="45"/>
        <v>-99.792000000000002</v>
      </c>
      <c r="G161" s="274">
        <f t="shared" si="47"/>
        <v>0</v>
      </c>
      <c r="H161" s="99"/>
      <c r="I161" s="120"/>
      <c r="J161" s="99"/>
      <c r="K161" s="99"/>
      <c r="L161" s="99"/>
      <c r="M161" s="100">
        <v>0</v>
      </c>
      <c r="N161" s="105">
        <f t="shared" si="46"/>
        <v>0</v>
      </c>
      <c r="O161" s="386"/>
    </row>
    <row r="162" spans="1:15">
      <c r="A162" s="185"/>
      <c r="B162" s="92"/>
      <c r="C162" s="91" t="s">
        <v>213</v>
      </c>
      <c r="D162" s="151">
        <v>54000</v>
      </c>
      <c r="E162" s="148">
        <v>4.7520000000000001E-3</v>
      </c>
      <c r="F162" s="149">
        <f t="shared" si="45"/>
        <v>-256.608</v>
      </c>
      <c r="G162" s="274">
        <f t="shared" si="47"/>
        <v>0</v>
      </c>
      <c r="H162" s="99"/>
      <c r="I162" s="120"/>
      <c r="J162" s="99"/>
      <c r="K162" s="99"/>
      <c r="L162" s="99"/>
      <c r="M162" s="100">
        <v>0</v>
      </c>
      <c r="N162" s="105">
        <f t="shared" si="46"/>
        <v>0</v>
      </c>
      <c r="O162" s="386"/>
    </row>
    <row r="163" spans="1:15">
      <c r="A163" s="185"/>
      <c r="B163" s="92"/>
      <c r="C163" s="91" t="s">
        <v>375</v>
      </c>
      <c r="D163" s="151"/>
      <c r="E163" s="148">
        <v>4.7489999999999997E-3</v>
      </c>
      <c r="F163" s="149">
        <f t="shared" si="45"/>
        <v>0</v>
      </c>
      <c r="G163" s="274">
        <f t="shared" si="47"/>
        <v>0</v>
      </c>
      <c r="H163" s="99"/>
      <c r="I163" s="120"/>
      <c r="J163" s="99"/>
      <c r="K163" s="99"/>
      <c r="L163" s="99"/>
      <c r="M163" s="100">
        <v>0</v>
      </c>
      <c r="N163" s="105">
        <f t="shared" si="46"/>
        <v>0</v>
      </c>
      <c r="O163" s="386"/>
    </row>
    <row r="164" spans="1:15">
      <c r="A164" s="185"/>
      <c r="B164" s="92"/>
      <c r="C164" s="91" t="s">
        <v>200</v>
      </c>
      <c r="D164" s="151">
        <v>20000</v>
      </c>
      <c r="E164" s="148">
        <v>4.7499999999999999E-3</v>
      </c>
      <c r="F164" s="149">
        <f t="shared" si="45"/>
        <v>-95</v>
      </c>
      <c r="G164" s="274">
        <f t="shared" si="47"/>
        <v>0</v>
      </c>
      <c r="H164" s="99"/>
      <c r="I164" s="120"/>
      <c r="J164" s="99"/>
      <c r="K164" s="99"/>
      <c r="L164" s="99"/>
      <c r="M164" s="100">
        <v>0</v>
      </c>
      <c r="N164" s="105">
        <f>G164+M164</f>
        <v>0</v>
      </c>
      <c r="O164" s="386"/>
    </row>
    <row r="165" spans="1:15">
      <c r="A165" s="185"/>
      <c r="B165" s="92"/>
      <c r="C165" s="91" t="s">
        <v>199</v>
      </c>
      <c r="D165" s="151">
        <v>0</v>
      </c>
      <c r="E165" s="148">
        <v>4.7499999999999999E-3</v>
      </c>
      <c r="F165" s="149">
        <f t="shared" si="45"/>
        <v>0</v>
      </c>
      <c r="G165" s="274">
        <f t="shared" si="47"/>
        <v>0</v>
      </c>
      <c r="H165" s="99"/>
      <c r="I165" s="99"/>
      <c r="J165" s="99"/>
      <c r="K165" s="99"/>
      <c r="L165" s="99"/>
      <c r="M165" s="100">
        <v>0</v>
      </c>
      <c r="N165" s="105">
        <f>G165+M165</f>
        <v>0</v>
      </c>
      <c r="O165" s="386"/>
    </row>
    <row r="166" spans="1:15">
      <c r="A166" s="185"/>
      <c r="B166" s="92"/>
      <c r="C166" s="91" t="s">
        <v>196</v>
      </c>
      <c r="D166" s="151">
        <v>0</v>
      </c>
      <c r="E166" s="148">
        <v>4.7499999999999999E-3</v>
      </c>
      <c r="F166" s="149">
        <f t="shared" ref="F166" si="48">IF(F$154=2016,-D166*E166,0)</f>
        <v>0</v>
      </c>
      <c r="G166" s="274">
        <f t="shared" si="47"/>
        <v>0</v>
      </c>
      <c r="H166" s="99"/>
      <c r="I166" s="99"/>
      <c r="J166" s="99"/>
      <c r="K166" s="99"/>
      <c r="L166" s="99"/>
      <c r="M166" s="100">
        <v>0</v>
      </c>
      <c r="N166" s="105">
        <f>G166+M166</f>
        <v>0</v>
      </c>
      <c r="O166" s="386"/>
    </row>
    <row r="167" spans="1:15">
      <c r="A167" s="185"/>
      <c r="B167" s="139"/>
      <c r="C167" s="152"/>
      <c r="D167" s="151"/>
      <c r="E167" s="148"/>
      <c r="F167" s="149"/>
      <c r="G167" s="274"/>
      <c r="H167" s="99"/>
      <c r="I167" s="120"/>
      <c r="J167" s="99"/>
      <c r="K167" s="99"/>
      <c r="L167" s="99"/>
      <c r="M167" s="100">
        <v>0</v>
      </c>
      <c r="N167" s="105">
        <f t="shared" ref="N167" si="49">G167+M167</f>
        <v>0</v>
      </c>
      <c r="O167" s="386"/>
    </row>
    <row r="168" spans="1:15">
      <c r="A168" s="185"/>
      <c r="B168" s="92"/>
      <c r="C168" s="91" t="s">
        <v>214</v>
      </c>
      <c r="D168" s="151">
        <v>44000</v>
      </c>
      <c r="E168" s="148">
        <v>4.7499999999999999E-3</v>
      </c>
      <c r="F168" s="149">
        <f>IF(F$154=2017,-D168*E168,0)</f>
        <v>-209</v>
      </c>
      <c r="G168" s="287">
        <f t="shared" si="47"/>
        <v>0</v>
      </c>
      <c r="H168" s="99"/>
      <c r="I168" s="120"/>
      <c r="J168" s="99"/>
      <c r="K168" s="99"/>
      <c r="L168" s="99"/>
      <c r="M168" s="100">
        <v>0</v>
      </c>
      <c r="N168" s="105">
        <f t="shared" si="46"/>
        <v>0</v>
      </c>
      <c r="O168" s="386"/>
    </row>
    <row r="169" spans="1:15">
      <c r="A169" s="185"/>
      <c r="B169" s="92"/>
      <c r="C169" s="106" t="s">
        <v>215</v>
      </c>
      <c r="E169" s="148"/>
      <c r="F169" s="61"/>
      <c r="G169" s="276">
        <f>SUM(G156:G168)</f>
        <v>0</v>
      </c>
      <c r="H169" s="109"/>
      <c r="I169" s="108"/>
      <c r="J169" s="108"/>
      <c r="K169" s="109"/>
      <c r="L169" s="109"/>
      <c r="M169" s="108"/>
      <c r="N169" s="298"/>
      <c r="O169" s="386"/>
    </row>
    <row r="170" spans="1:15">
      <c r="A170" s="204"/>
      <c r="B170" s="277"/>
      <c r="C170" s="278" t="s">
        <v>140</v>
      </c>
      <c r="D170" s="279"/>
      <c r="E170" s="280"/>
      <c r="F170" s="288"/>
      <c r="G170" s="282">
        <v>0</v>
      </c>
      <c r="H170" s="394">
        <f>'LINE ITEM EXP'!C17</f>
        <v>2707</v>
      </c>
      <c r="I170" s="395">
        <f>'LINE ITEM EXP'!D17</f>
        <v>1961</v>
      </c>
      <c r="J170" s="395">
        <f>'LINE ITEM EXP'!E17</f>
        <v>0</v>
      </c>
      <c r="K170" s="396">
        <f>G170</f>
        <v>0</v>
      </c>
      <c r="L170" s="396">
        <f>G169</f>
        <v>0</v>
      </c>
      <c r="M170" s="395">
        <f>SUM(M156:M169)</f>
        <v>0</v>
      </c>
      <c r="N170" s="397">
        <f>SUM(N156:N169)</f>
        <v>0</v>
      </c>
      <c r="O170" s="386"/>
    </row>
    <row r="171" spans="1:15">
      <c r="A171" s="185"/>
      <c r="B171" s="92"/>
      <c r="C171" s="91"/>
      <c r="E171" s="113"/>
      <c r="F171" s="131"/>
      <c r="G171" s="114"/>
      <c r="H171" s="100"/>
      <c r="I171" s="99"/>
      <c r="J171" s="99"/>
      <c r="K171" s="99"/>
      <c r="L171" s="99"/>
      <c r="M171" s="108"/>
      <c r="N171" s="298"/>
      <c r="O171" s="386"/>
    </row>
    <row r="172" spans="1:15" ht="13.5" thickBot="1">
      <c r="A172" s="200"/>
      <c r="B172" s="153"/>
      <c r="C172" s="154" t="s">
        <v>57</v>
      </c>
      <c r="D172" s="155"/>
      <c r="E172" s="156"/>
      <c r="F172" s="157"/>
      <c r="G172" s="158">
        <f>G21+G38+G84+G104+G123+G127+G145+G153+G169</f>
        <v>1103692</v>
      </c>
      <c r="H172" s="159">
        <f t="shared" ref="H172:N172" si="50">H170+H154+H146+H128+H124+H105+H85+H22+H39</f>
        <v>896831</v>
      </c>
      <c r="I172" s="159">
        <f t="shared" si="50"/>
        <v>451652</v>
      </c>
      <c r="J172" s="159">
        <f t="shared" si="50"/>
        <v>1050777.426</v>
      </c>
      <c r="K172" s="159">
        <f t="shared" si="50"/>
        <v>916040.16</v>
      </c>
      <c r="L172" s="159">
        <f t="shared" si="50"/>
        <v>1103692</v>
      </c>
      <c r="M172" s="159">
        <f t="shared" si="50"/>
        <v>43148</v>
      </c>
      <c r="N172" s="405">
        <f t="shared" si="50"/>
        <v>1146840</v>
      </c>
      <c r="O172" s="399"/>
    </row>
    <row r="173" spans="1:15" ht="13.5" thickTop="1">
      <c r="A173" s="189">
        <v>210</v>
      </c>
      <c r="B173" s="95" t="s">
        <v>216</v>
      </c>
      <c r="C173" s="91" t="s">
        <v>217</v>
      </c>
      <c r="D173" s="160" t="s">
        <v>218</v>
      </c>
      <c r="E173" s="148"/>
      <c r="F173" s="61"/>
      <c r="G173" s="124">
        <v>1700</v>
      </c>
      <c r="H173" s="100"/>
      <c r="I173" s="99"/>
      <c r="J173" s="99"/>
      <c r="K173" s="99"/>
      <c r="L173" s="99"/>
      <c r="M173" s="100">
        <v>0</v>
      </c>
      <c r="N173" s="105">
        <f>G173+M173</f>
        <v>1700</v>
      </c>
      <c r="O173" s="400"/>
    </row>
    <row r="174" spans="1:15">
      <c r="A174" s="185"/>
      <c r="B174" s="92"/>
      <c r="C174" s="106" t="s">
        <v>219</v>
      </c>
      <c r="D174" s="41"/>
      <c r="E174" s="97"/>
      <c r="F174" s="61"/>
      <c r="G174" s="107">
        <f>G173</f>
        <v>1700</v>
      </c>
      <c r="H174" s="108"/>
      <c r="I174" s="108"/>
      <c r="J174" s="108"/>
      <c r="K174" s="109"/>
      <c r="L174" s="109"/>
      <c r="M174" s="108"/>
      <c r="N174" s="298"/>
      <c r="O174" s="386"/>
    </row>
    <row r="175" spans="1:15">
      <c r="A175" s="185"/>
      <c r="B175" s="92"/>
      <c r="C175" s="264" t="s">
        <v>140</v>
      </c>
      <c r="D175" s="265"/>
      <c r="E175" s="266"/>
      <c r="F175" s="267"/>
      <c r="G175" s="325">
        <v>1100</v>
      </c>
      <c r="H175" s="394">
        <f>+'LINE ITEM EXP'!C21</f>
        <v>1198</v>
      </c>
      <c r="I175" s="395">
        <f>+'LINE ITEM EXP'!D21</f>
        <v>5525</v>
      </c>
      <c r="J175" s="395">
        <f>+'LINE ITEM EXP'!E21</f>
        <v>1700</v>
      </c>
      <c r="K175" s="396">
        <f>G175</f>
        <v>1100</v>
      </c>
      <c r="L175" s="396">
        <f>G174</f>
        <v>1700</v>
      </c>
      <c r="M175" s="395">
        <f>SUM(M173:M174)</f>
        <v>0</v>
      </c>
      <c r="N175" s="397">
        <f>SUM(N173:N174)</f>
        <v>1700</v>
      </c>
      <c r="O175" s="386"/>
    </row>
    <row r="176" spans="1:15">
      <c r="A176" s="177">
        <v>210</v>
      </c>
      <c r="B176" s="326" t="s">
        <v>216</v>
      </c>
      <c r="C176" s="270" t="s">
        <v>220</v>
      </c>
      <c r="D176" s="327"/>
      <c r="E176" s="328"/>
      <c r="F176" s="184"/>
      <c r="G176" s="329">
        <v>0</v>
      </c>
      <c r="H176" s="99"/>
      <c r="I176" s="100"/>
      <c r="J176" s="100"/>
      <c r="K176" s="99"/>
      <c r="L176" s="99"/>
      <c r="M176" s="100">
        <v>0</v>
      </c>
      <c r="N176" s="105">
        <f>G176+M176</f>
        <v>0</v>
      </c>
      <c r="O176" s="386"/>
    </row>
    <row r="177" spans="1:15">
      <c r="A177" s="330" t="s">
        <v>221</v>
      </c>
      <c r="C177" s="169" t="s">
        <v>219</v>
      </c>
      <c r="E177" s="97"/>
      <c r="F177" s="61"/>
      <c r="G177" s="276">
        <f>G176</f>
        <v>0</v>
      </c>
      <c r="H177" s="109"/>
      <c r="I177" s="108"/>
      <c r="J177" s="108"/>
      <c r="K177" s="109"/>
      <c r="L177" s="109"/>
      <c r="M177" s="108"/>
      <c r="N177" s="298"/>
      <c r="O177" s="386"/>
    </row>
    <row r="178" spans="1:15">
      <c r="A178" s="204"/>
      <c r="B178" s="205"/>
      <c r="C178" s="279" t="s">
        <v>140</v>
      </c>
      <c r="D178" s="279"/>
      <c r="E178" s="280"/>
      <c r="F178" s="288"/>
      <c r="G178" s="282">
        <v>5525</v>
      </c>
      <c r="H178" s="394">
        <f>+'LINE ITEM EXP'!C22</f>
        <v>0</v>
      </c>
      <c r="I178" s="395">
        <f>+'LINE ITEM EXP'!D22</f>
        <v>0</v>
      </c>
      <c r="J178" s="395">
        <f>+'LINE ITEM EXP'!E22</f>
        <v>0</v>
      </c>
      <c r="K178" s="396">
        <f>G178</f>
        <v>5525</v>
      </c>
      <c r="L178" s="396">
        <f>G177</f>
        <v>0</v>
      </c>
      <c r="M178" s="395">
        <f>SUM(M176:M177)</f>
        <v>0</v>
      </c>
      <c r="N178" s="397">
        <f>SUM(N176:N177)</f>
        <v>0</v>
      </c>
      <c r="O178" s="386"/>
    </row>
    <row r="179" spans="1:15">
      <c r="A179" s="177"/>
      <c r="B179" s="268"/>
      <c r="C179" s="269"/>
      <c r="D179" s="331" t="s">
        <v>222</v>
      </c>
      <c r="E179" s="331" t="s">
        <v>223</v>
      </c>
      <c r="F179" s="331" t="s">
        <v>224</v>
      </c>
      <c r="G179" s="240"/>
      <c r="H179" s="92"/>
      <c r="I179" s="94"/>
      <c r="J179" s="94"/>
      <c r="K179" s="94"/>
      <c r="L179" s="94"/>
      <c r="M179" s="94"/>
      <c r="N179" s="406"/>
      <c r="O179" s="386"/>
    </row>
    <row r="180" spans="1:15">
      <c r="A180" s="189">
        <v>220</v>
      </c>
      <c r="B180" s="95" t="s">
        <v>225</v>
      </c>
      <c r="C180" s="91" t="s">
        <v>225</v>
      </c>
      <c r="D180" s="335">
        <v>8900</v>
      </c>
      <c r="E180" s="336">
        <v>47500</v>
      </c>
      <c r="F180" s="336">
        <v>4400</v>
      </c>
      <c r="G180" s="274">
        <f>SUM(D180:F180)</f>
        <v>60800</v>
      </c>
      <c r="H180" s="92"/>
      <c r="I180" s="94"/>
      <c r="J180" s="94"/>
      <c r="K180" s="94"/>
      <c r="L180" s="94"/>
      <c r="M180" s="100">
        <v>0</v>
      </c>
      <c r="N180" s="105">
        <f>G180+M180</f>
        <v>60800</v>
      </c>
      <c r="O180" s="386"/>
    </row>
    <row r="181" spans="1:15">
      <c r="A181" s="332"/>
      <c r="B181" s="92"/>
      <c r="C181" s="106" t="s">
        <v>226</v>
      </c>
      <c r="E181" s="211">
        <v>0</v>
      </c>
      <c r="F181" s="61">
        <v>0</v>
      </c>
      <c r="G181" s="276">
        <f>G180</f>
        <v>60800</v>
      </c>
      <c r="H181" s="109"/>
      <c r="I181" s="108"/>
      <c r="J181" s="108"/>
      <c r="K181" s="109"/>
      <c r="L181" s="109"/>
      <c r="M181" s="108"/>
      <c r="N181" s="298"/>
      <c r="O181" s="386"/>
    </row>
    <row r="182" spans="1:15">
      <c r="A182" s="333"/>
      <c r="B182" s="277"/>
      <c r="C182" s="334" t="s">
        <v>140</v>
      </c>
      <c r="D182" s="337">
        <v>8844</v>
      </c>
      <c r="E182" s="339">
        <v>40469</v>
      </c>
      <c r="F182" s="338">
        <v>4377</v>
      </c>
      <c r="G182" s="282">
        <v>53690</v>
      </c>
      <c r="H182" s="394">
        <f>'LINE ITEM EXP'!C23</f>
        <v>51043</v>
      </c>
      <c r="I182" s="395">
        <f>'LINE ITEM EXP'!D23</f>
        <v>26464</v>
      </c>
      <c r="J182" s="395">
        <f>'LINE ITEM EXP'!E23</f>
        <v>61100</v>
      </c>
      <c r="K182" s="396">
        <f>G182</f>
        <v>53690</v>
      </c>
      <c r="L182" s="396">
        <f>G181</f>
        <v>60800</v>
      </c>
      <c r="M182" s="395">
        <f>SUM(M180:M181)</f>
        <v>0</v>
      </c>
      <c r="N182" s="398">
        <f>SUM(N180:N181)</f>
        <v>60800</v>
      </c>
      <c r="O182" s="386" t="s">
        <v>387</v>
      </c>
    </row>
    <row r="183" spans="1:15">
      <c r="A183" s="189">
        <v>222</v>
      </c>
      <c r="B183" s="95" t="s">
        <v>227</v>
      </c>
      <c r="C183" s="91" t="s">
        <v>227</v>
      </c>
      <c r="D183" s="151"/>
      <c r="E183" s="116"/>
      <c r="F183" s="98"/>
      <c r="G183" s="340">
        <v>0</v>
      </c>
      <c r="H183" s="92"/>
      <c r="I183" s="94"/>
      <c r="J183" s="94"/>
      <c r="K183" s="94"/>
      <c r="L183" s="94"/>
      <c r="M183" s="100">
        <v>0</v>
      </c>
      <c r="N183" s="105">
        <f>G183+M183</f>
        <v>0</v>
      </c>
      <c r="O183" s="386"/>
    </row>
    <row r="184" spans="1:15">
      <c r="A184" s="185"/>
      <c r="B184" s="92"/>
      <c r="C184" s="106" t="s">
        <v>228</v>
      </c>
      <c r="E184" s="97"/>
      <c r="F184" s="61"/>
      <c r="G184" s="107">
        <f>G183</f>
        <v>0</v>
      </c>
      <c r="H184" s="108"/>
      <c r="I184" s="108"/>
      <c r="J184" s="108"/>
      <c r="K184" s="109"/>
      <c r="L184" s="109"/>
      <c r="M184" s="108"/>
      <c r="N184" s="298"/>
      <c r="O184" s="386"/>
    </row>
    <row r="185" spans="1:15">
      <c r="A185" s="185"/>
      <c r="B185" s="92"/>
      <c r="C185" s="264" t="s">
        <v>140</v>
      </c>
      <c r="D185" s="265"/>
      <c r="E185" s="266"/>
      <c r="F185" s="267"/>
      <c r="G185" s="325">
        <v>0</v>
      </c>
      <c r="H185" s="394">
        <f>'LINE ITEM EXP'!C24</f>
        <v>0</v>
      </c>
      <c r="I185" s="395">
        <f>'LINE ITEM EXP'!D24</f>
        <v>0</v>
      </c>
      <c r="J185" s="395">
        <f>'LINE ITEM EXP'!E24</f>
        <v>0</v>
      </c>
      <c r="K185" s="396">
        <f>G185</f>
        <v>0</v>
      </c>
      <c r="L185" s="396">
        <f>G184</f>
        <v>0</v>
      </c>
      <c r="M185" s="395">
        <f>SUM(M183:M184)</f>
        <v>0</v>
      </c>
      <c r="N185" s="397">
        <f>SUM(N183:N184)</f>
        <v>0</v>
      </c>
      <c r="O185" s="386"/>
    </row>
    <row r="186" spans="1:15">
      <c r="A186" s="177">
        <v>225</v>
      </c>
      <c r="B186" s="178" t="s">
        <v>229</v>
      </c>
      <c r="C186" s="269"/>
      <c r="D186" s="331" t="s">
        <v>230</v>
      </c>
      <c r="E186" s="341" t="s">
        <v>231</v>
      </c>
      <c r="F186" s="270"/>
      <c r="G186" s="240"/>
      <c r="H186" s="99"/>
      <c r="I186" s="99"/>
      <c r="J186" s="99"/>
      <c r="K186" s="99"/>
      <c r="L186" s="99"/>
      <c r="M186" s="100"/>
      <c r="N186" s="105"/>
      <c r="O186" s="386"/>
    </row>
    <row r="187" spans="1:15">
      <c r="A187" s="185"/>
      <c r="B187" s="92"/>
      <c r="C187" s="91" t="s">
        <v>229</v>
      </c>
      <c r="D187" s="335">
        <v>10344</v>
      </c>
      <c r="E187" s="344">
        <v>5800</v>
      </c>
      <c r="F187" s="61"/>
      <c r="G187" s="274">
        <f>SUM(D187:E187)</f>
        <v>16144</v>
      </c>
      <c r="H187" s="99"/>
      <c r="I187" s="99"/>
      <c r="J187" s="99"/>
      <c r="K187" s="99"/>
      <c r="L187" s="99"/>
      <c r="M187" s="100">
        <v>0</v>
      </c>
      <c r="N187" s="105">
        <f>G187+M187</f>
        <v>16144</v>
      </c>
      <c r="O187" s="386" t="s">
        <v>385</v>
      </c>
    </row>
    <row r="188" spans="1:15">
      <c r="A188" s="185"/>
      <c r="B188" s="92"/>
      <c r="C188" s="106" t="s">
        <v>232</v>
      </c>
      <c r="E188" s="97"/>
      <c r="F188" s="61"/>
      <c r="G188" s="276">
        <f>G187</f>
        <v>16144</v>
      </c>
      <c r="H188" s="109"/>
      <c r="I188" s="108"/>
      <c r="J188" s="108"/>
      <c r="K188" s="109"/>
      <c r="L188" s="109"/>
      <c r="M188" s="108"/>
      <c r="N188" s="298"/>
      <c r="O188" s="386"/>
    </row>
    <row r="189" spans="1:15">
      <c r="A189" s="204"/>
      <c r="B189" s="342"/>
      <c r="C189" s="278" t="s">
        <v>140</v>
      </c>
      <c r="D189" s="343"/>
      <c r="E189" s="343"/>
      <c r="F189" s="288"/>
      <c r="G189" s="282">
        <v>11196</v>
      </c>
      <c r="H189" s="394">
        <f>'LINE ITEM EXP'!C25</f>
        <v>3686</v>
      </c>
      <c r="I189" s="395">
        <f>'LINE ITEM EXP'!D25</f>
        <v>4632</v>
      </c>
      <c r="J189" s="395">
        <f>'LINE ITEM EXP'!E25</f>
        <v>9976</v>
      </c>
      <c r="K189" s="396">
        <f>G189</f>
        <v>11196</v>
      </c>
      <c r="L189" s="396">
        <f>G188</f>
        <v>16144</v>
      </c>
      <c r="M189" s="395">
        <f>SUM(M187:M188)</f>
        <v>0</v>
      </c>
      <c r="N189" s="397">
        <f>SUM(N187:N188)</f>
        <v>16144</v>
      </c>
      <c r="O189" s="386"/>
    </row>
    <row r="190" spans="1:15">
      <c r="A190" s="189">
        <v>240</v>
      </c>
      <c r="B190" s="95" t="s">
        <v>233</v>
      </c>
      <c r="C190" s="128" t="s">
        <v>234</v>
      </c>
      <c r="D190" s="161"/>
      <c r="E190" s="148"/>
      <c r="F190" s="61"/>
      <c r="G190" s="345">
        <v>5000</v>
      </c>
      <c r="H190" s="99"/>
      <c r="I190" s="120"/>
      <c r="J190" s="99"/>
      <c r="K190" s="99"/>
      <c r="L190" s="99"/>
      <c r="M190" s="100">
        <v>0</v>
      </c>
      <c r="N190" s="105">
        <f>G190+M190</f>
        <v>5000</v>
      </c>
      <c r="O190" s="386"/>
    </row>
    <row r="191" spans="1:15">
      <c r="A191" s="185"/>
      <c r="B191" s="92"/>
      <c r="C191" s="119" t="s">
        <v>235</v>
      </c>
      <c r="D191" s="115"/>
      <c r="E191" s="148"/>
      <c r="F191" s="61"/>
      <c r="G191" s="336">
        <f>14400+13000</f>
        <v>27400</v>
      </c>
      <c r="H191" s="99"/>
      <c r="I191" s="99"/>
      <c r="J191" s="99"/>
      <c r="K191" s="99"/>
      <c r="L191" s="99"/>
      <c r="M191" s="100">
        <v>0</v>
      </c>
      <c r="N191" s="105">
        <f>G191+M191</f>
        <v>27400</v>
      </c>
      <c r="O191" s="386"/>
    </row>
    <row r="192" spans="1:15">
      <c r="A192" s="185"/>
      <c r="B192" s="92"/>
      <c r="C192" s="91" t="s">
        <v>236</v>
      </c>
      <c r="D192" s="61"/>
      <c r="E192" s="61"/>
      <c r="F192" s="61"/>
      <c r="G192" s="346">
        <v>3300</v>
      </c>
      <c r="H192" s="99"/>
      <c r="I192" s="120"/>
      <c r="J192" s="99"/>
      <c r="K192" s="99"/>
      <c r="L192" s="99"/>
      <c r="M192" s="108">
        <v>0</v>
      </c>
      <c r="N192" s="105">
        <f>G192+M192</f>
        <v>3300</v>
      </c>
      <c r="O192" s="386"/>
    </row>
    <row r="193" spans="1:15">
      <c r="A193" s="185"/>
      <c r="B193" s="92"/>
      <c r="C193" s="106" t="s">
        <v>237</v>
      </c>
      <c r="E193" s="97"/>
      <c r="F193" s="61"/>
      <c r="G193" s="107">
        <f>SUM(G190:G192)</f>
        <v>35700</v>
      </c>
      <c r="H193" s="108"/>
      <c r="I193" s="108"/>
      <c r="J193" s="108"/>
      <c r="K193" s="109"/>
      <c r="L193" s="109"/>
      <c r="M193" s="108"/>
      <c r="N193" s="298"/>
      <c r="O193" s="386"/>
    </row>
    <row r="194" spans="1:15">
      <c r="A194" s="185"/>
      <c r="B194" s="92"/>
      <c r="C194" s="264" t="s">
        <v>140</v>
      </c>
      <c r="E194" s="97"/>
      <c r="F194" s="61"/>
      <c r="G194" s="325">
        <v>14159</v>
      </c>
      <c r="H194" s="394">
        <f>'LINE ITEM EXP'!C26</f>
        <v>44216</v>
      </c>
      <c r="I194" s="395">
        <f>'LINE ITEM EXP'!D26</f>
        <v>6834</v>
      </c>
      <c r="J194" s="395">
        <f>'LINE ITEM EXP'!E26</f>
        <v>17594</v>
      </c>
      <c r="K194" s="396">
        <f>G194</f>
        <v>14159</v>
      </c>
      <c r="L194" s="396">
        <f>G193</f>
        <v>35700</v>
      </c>
      <c r="M194" s="395">
        <f>SUM(M190:M193)</f>
        <v>0</v>
      </c>
      <c r="N194" s="397">
        <f>SUM(N190:N193)</f>
        <v>35700</v>
      </c>
      <c r="O194" s="386"/>
    </row>
    <row r="195" spans="1:15">
      <c r="A195" s="177">
        <v>290</v>
      </c>
      <c r="B195" s="178" t="s">
        <v>238</v>
      </c>
      <c r="C195" s="269"/>
      <c r="D195" s="184"/>
      <c r="E195" s="328"/>
      <c r="F195" s="184"/>
      <c r="G195" s="345">
        <v>0</v>
      </c>
      <c r="H195" s="99"/>
      <c r="I195" s="99"/>
      <c r="J195" s="99"/>
      <c r="K195" s="99"/>
      <c r="L195" s="99"/>
      <c r="M195" s="100">
        <v>0</v>
      </c>
      <c r="N195" s="105">
        <f t="shared" ref="N195:N208" si="51">G195+M195</f>
        <v>0</v>
      </c>
      <c r="O195" s="386"/>
    </row>
    <row r="196" spans="1:15">
      <c r="A196" s="185"/>
      <c r="B196" s="92"/>
      <c r="C196" s="91" t="s">
        <v>239</v>
      </c>
      <c r="D196" s="61"/>
      <c r="E196" s="61"/>
      <c r="F196" s="61"/>
      <c r="G196" s="347">
        <v>26180</v>
      </c>
      <c r="H196" s="99"/>
      <c r="I196" s="99"/>
      <c r="J196" s="99"/>
      <c r="K196" s="99"/>
      <c r="L196" s="99"/>
      <c r="M196" s="100">
        <v>0</v>
      </c>
      <c r="N196" s="105">
        <f t="shared" si="51"/>
        <v>26180</v>
      </c>
      <c r="O196" s="386" t="s">
        <v>388</v>
      </c>
    </row>
    <row r="197" spans="1:15">
      <c r="A197" s="185"/>
      <c r="B197" s="92"/>
      <c r="C197" s="91" t="s">
        <v>240</v>
      </c>
      <c r="D197" s="162"/>
      <c r="E197" s="61"/>
      <c r="F197" s="61"/>
      <c r="G197" s="336">
        <v>220</v>
      </c>
      <c r="H197" s="99"/>
      <c r="I197" s="99"/>
      <c r="J197" s="99"/>
      <c r="K197" s="99"/>
      <c r="L197" s="99"/>
      <c r="M197" s="100">
        <v>0</v>
      </c>
      <c r="N197" s="105">
        <f t="shared" si="51"/>
        <v>220</v>
      </c>
      <c r="O197" s="386"/>
    </row>
    <row r="198" spans="1:15">
      <c r="A198" s="185"/>
      <c r="B198" s="92"/>
      <c r="C198" s="91" t="s">
        <v>241</v>
      </c>
      <c r="D198" s="162"/>
      <c r="E198" s="61"/>
      <c r="F198" s="61"/>
      <c r="G198" s="348">
        <v>408</v>
      </c>
      <c r="H198" s="99"/>
      <c r="I198" s="99"/>
      <c r="J198" s="99"/>
      <c r="K198" s="99"/>
      <c r="L198" s="99"/>
      <c r="M198" s="100">
        <v>0</v>
      </c>
      <c r="N198" s="105">
        <f t="shared" si="51"/>
        <v>408</v>
      </c>
      <c r="O198" s="386"/>
    </row>
    <row r="199" spans="1:15">
      <c r="A199" s="185"/>
      <c r="B199" s="92"/>
      <c r="C199" s="91" t="s">
        <v>242</v>
      </c>
      <c r="D199" s="162"/>
      <c r="E199" s="61"/>
      <c r="F199" s="61"/>
      <c r="G199" s="336">
        <v>800</v>
      </c>
      <c r="H199" s="99"/>
      <c r="I199" s="99"/>
      <c r="J199" s="99"/>
      <c r="K199" s="99"/>
      <c r="L199" s="99"/>
      <c r="M199" s="100">
        <v>0</v>
      </c>
      <c r="N199" s="105">
        <f t="shared" si="51"/>
        <v>800</v>
      </c>
      <c r="O199" s="386"/>
    </row>
    <row r="200" spans="1:15">
      <c r="A200" s="185"/>
      <c r="B200" s="92"/>
      <c r="C200" s="91" t="s">
        <v>243</v>
      </c>
      <c r="D200" s="162"/>
      <c r="E200" s="61"/>
      <c r="F200" s="61"/>
      <c r="G200" s="348">
        <v>8480</v>
      </c>
      <c r="H200" s="99"/>
      <c r="I200" s="99"/>
      <c r="J200" s="99"/>
      <c r="K200" s="99"/>
      <c r="L200" s="99"/>
      <c r="M200" s="100">
        <v>0</v>
      </c>
      <c r="N200" s="105">
        <f>G200+M200</f>
        <v>8480</v>
      </c>
      <c r="O200" s="386"/>
    </row>
    <row r="201" spans="1:15">
      <c r="A201" s="185"/>
      <c r="B201" s="92"/>
      <c r="C201" s="91" t="s">
        <v>244</v>
      </c>
      <c r="D201" s="162"/>
      <c r="E201" s="61"/>
      <c r="F201" s="61"/>
      <c r="G201" s="336">
        <v>730</v>
      </c>
      <c r="H201" s="99"/>
      <c r="I201" s="99"/>
      <c r="J201" s="99"/>
      <c r="K201" s="99"/>
      <c r="L201" s="99"/>
      <c r="M201" s="100">
        <v>0</v>
      </c>
      <c r="N201" s="105">
        <f>G201+M201</f>
        <v>730</v>
      </c>
      <c r="O201" s="386"/>
    </row>
    <row r="202" spans="1:15">
      <c r="A202" s="185"/>
      <c r="B202" s="92"/>
      <c r="C202" s="91" t="s">
        <v>245</v>
      </c>
      <c r="D202" s="162"/>
      <c r="E202" s="61"/>
      <c r="F202" s="61"/>
      <c r="G202" s="348">
        <v>225</v>
      </c>
      <c r="H202" s="99"/>
      <c r="I202" s="99"/>
      <c r="J202" s="99"/>
      <c r="K202" s="99"/>
      <c r="L202" s="99"/>
      <c r="M202" s="100">
        <v>0</v>
      </c>
      <c r="N202" s="105">
        <f>G202+M202</f>
        <v>225</v>
      </c>
      <c r="O202" s="386"/>
    </row>
    <row r="203" spans="1:15">
      <c r="A203" s="185"/>
      <c r="B203" s="92"/>
      <c r="C203" s="91" t="s">
        <v>246</v>
      </c>
      <c r="D203" s="162"/>
      <c r="E203" s="61"/>
      <c r="F203" s="61"/>
      <c r="G203" s="336">
        <v>7390</v>
      </c>
      <c r="H203" s="99"/>
      <c r="I203" s="99"/>
      <c r="J203" s="99"/>
      <c r="K203" s="99"/>
      <c r="L203" s="99"/>
      <c r="M203" s="100">
        <v>0</v>
      </c>
      <c r="N203" s="105">
        <f>G203+M203</f>
        <v>7390</v>
      </c>
      <c r="O203" s="386"/>
    </row>
    <row r="204" spans="1:15">
      <c r="A204" s="185"/>
      <c r="B204" s="92"/>
      <c r="C204" s="91" t="s">
        <v>386</v>
      </c>
      <c r="D204" s="61"/>
      <c r="E204" s="61"/>
      <c r="F204" s="61"/>
      <c r="G204" s="348">
        <v>483</v>
      </c>
      <c r="H204" s="99"/>
      <c r="I204" s="99"/>
      <c r="J204" s="99"/>
      <c r="K204" s="99"/>
      <c r="L204" s="99"/>
      <c r="M204" s="100">
        <v>0</v>
      </c>
      <c r="N204" s="105">
        <f t="shared" si="51"/>
        <v>483</v>
      </c>
      <c r="O204" s="386"/>
    </row>
    <row r="205" spans="1:15">
      <c r="A205" s="185"/>
      <c r="B205" s="92"/>
      <c r="C205" s="91" t="s">
        <v>247</v>
      </c>
      <c r="D205" s="162"/>
      <c r="E205" s="61"/>
      <c r="F205" s="61"/>
      <c r="G205" s="336">
        <v>300</v>
      </c>
      <c r="H205" s="99"/>
      <c r="I205" s="99"/>
      <c r="J205" s="99"/>
      <c r="K205" s="99"/>
      <c r="L205" s="99"/>
      <c r="M205" s="100">
        <v>0</v>
      </c>
      <c r="N205" s="105">
        <f t="shared" si="51"/>
        <v>300</v>
      </c>
      <c r="O205" s="386"/>
    </row>
    <row r="206" spans="1:15">
      <c r="A206" s="185"/>
      <c r="B206" s="92"/>
      <c r="C206" s="91" t="s">
        <v>396</v>
      </c>
      <c r="D206" s="162"/>
      <c r="E206" s="61"/>
      <c r="F206" s="61"/>
      <c r="G206" s="336">
        <v>0</v>
      </c>
      <c r="H206" s="99"/>
      <c r="I206" s="99"/>
      <c r="J206" s="99"/>
      <c r="K206" s="99"/>
      <c r="L206" s="99"/>
      <c r="M206" s="100">
        <v>0</v>
      </c>
      <c r="N206" s="105">
        <f t="shared" si="51"/>
        <v>0</v>
      </c>
      <c r="O206" s="386"/>
    </row>
    <row r="207" spans="1:15">
      <c r="A207" s="185"/>
      <c r="B207" s="92"/>
      <c r="C207" s="91"/>
      <c r="D207" s="162"/>
      <c r="E207" s="61"/>
      <c r="F207" s="61"/>
      <c r="G207" s="346">
        <v>0</v>
      </c>
      <c r="H207" s="99"/>
      <c r="I207" s="99"/>
      <c r="J207" s="99"/>
      <c r="K207" s="99"/>
      <c r="L207" s="99"/>
      <c r="M207" s="100">
        <v>0</v>
      </c>
      <c r="N207" s="105">
        <f t="shared" si="51"/>
        <v>0</v>
      </c>
      <c r="O207" s="386"/>
    </row>
    <row r="208" spans="1:15">
      <c r="A208" s="185"/>
      <c r="B208" s="92"/>
      <c r="C208" s="91"/>
      <c r="D208" s="61"/>
      <c r="E208" s="61"/>
      <c r="F208" s="61"/>
      <c r="G208" s="346">
        <v>0</v>
      </c>
      <c r="H208" s="99"/>
      <c r="I208" s="99"/>
      <c r="J208" s="99"/>
      <c r="K208" s="99"/>
      <c r="L208" s="99"/>
      <c r="M208" s="100">
        <v>0</v>
      </c>
      <c r="N208" s="105">
        <f t="shared" si="51"/>
        <v>0</v>
      </c>
      <c r="O208" s="386"/>
    </row>
    <row r="209" spans="1:15">
      <c r="A209" s="185"/>
      <c r="B209" s="92"/>
      <c r="C209" s="106" t="s">
        <v>248</v>
      </c>
      <c r="E209" s="97"/>
      <c r="F209" s="61"/>
      <c r="G209" s="276">
        <f>SUM(G195:G208)</f>
        <v>45216</v>
      </c>
      <c r="H209" s="109"/>
      <c r="I209" s="108"/>
      <c r="J209" s="108"/>
      <c r="K209" s="109"/>
      <c r="L209" s="109"/>
      <c r="M209" s="108"/>
      <c r="N209" s="298"/>
      <c r="O209" s="386"/>
    </row>
    <row r="210" spans="1:15">
      <c r="A210" s="204"/>
      <c r="B210" s="277"/>
      <c r="C210" s="278" t="s">
        <v>140</v>
      </c>
      <c r="D210" s="205"/>
      <c r="E210" s="349"/>
      <c r="F210" s="350"/>
      <c r="G210" s="282">
        <v>39333</v>
      </c>
      <c r="H210" s="394">
        <f>'LINE ITEM EXP'!C27</f>
        <v>37687</v>
      </c>
      <c r="I210" s="395">
        <f>'LINE ITEM EXP'!D27</f>
        <v>18243</v>
      </c>
      <c r="J210" s="395">
        <f>'LINE ITEM EXP'!E27</f>
        <v>50976</v>
      </c>
      <c r="K210" s="396">
        <f>G210</f>
        <v>39333</v>
      </c>
      <c r="L210" s="396">
        <f>G209</f>
        <v>45216</v>
      </c>
      <c r="M210" s="395">
        <f>SUM(M195:M209)</f>
        <v>0</v>
      </c>
      <c r="N210" s="397">
        <f>SUM(N195:N209)</f>
        <v>45216</v>
      </c>
      <c r="O210" s="386"/>
    </row>
    <row r="211" spans="1:15">
      <c r="A211" s="177">
        <v>295</v>
      </c>
      <c r="B211" s="178" t="s">
        <v>249</v>
      </c>
      <c r="C211" s="269" t="s">
        <v>250</v>
      </c>
      <c r="D211" s="179"/>
      <c r="E211" s="328"/>
      <c r="F211" s="184"/>
      <c r="G211" s="340">
        <v>100</v>
      </c>
      <c r="H211" s="99"/>
      <c r="I211" s="99"/>
      <c r="J211" s="99"/>
      <c r="K211" s="99"/>
      <c r="L211" s="99"/>
      <c r="M211" s="100">
        <v>0</v>
      </c>
      <c r="N211" s="105">
        <f>G211+M211</f>
        <v>100</v>
      </c>
      <c r="O211" s="386"/>
    </row>
    <row r="212" spans="1:15">
      <c r="A212" s="185"/>
      <c r="B212" s="92"/>
      <c r="C212" s="106" t="s">
        <v>251</v>
      </c>
      <c r="E212" s="97"/>
      <c r="F212" s="61"/>
      <c r="G212" s="276">
        <f>G211</f>
        <v>100</v>
      </c>
      <c r="H212" s="109"/>
      <c r="I212" s="108"/>
      <c r="J212" s="108"/>
      <c r="K212" s="109"/>
      <c r="L212" s="109"/>
      <c r="M212" s="108"/>
      <c r="N212" s="298"/>
      <c r="O212" s="386"/>
    </row>
    <row r="213" spans="1:15">
      <c r="A213" s="204"/>
      <c r="B213" s="277"/>
      <c r="C213" s="278" t="s">
        <v>140</v>
      </c>
      <c r="D213" s="205"/>
      <c r="E213" s="349"/>
      <c r="F213" s="350"/>
      <c r="G213" s="282">
        <v>0</v>
      </c>
      <c r="H213" s="394">
        <f>'LINE ITEM EXP'!C28</f>
        <v>345</v>
      </c>
      <c r="I213" s="395">
        <f>'LINE ITEM EXP'!D28</f>
        <v>0</v>
      </c>
      <c r="J213" s="395">
        <f>'LINE ITEM EXP'!E28</f>
        <v>100</v>
      </c>
      <c r="K213" s="396">
        <f>G213</f>
        <v>0</v>
      </c>
      <c r="L213" s="396">
        <f>G212</f>
        <v>100</v>
      </c>
      <c r="M213" s="395">
        <f>SUM(M211:M212)</f>
        <v>0</v>
      </c>
      <c r="N213" s="397">
        <f>SUM(N211:N212)</f>
        <v>100</v>
      </c>
      <c r="O213" s="386"/>
    </row>
    <row r="214" spans="1:15">
      <c r="A214" s="189">
        <v>310</v>
      </c>
      <c r="B214" s="95" t="s">
        <v>252</v>
      </c>
      <c r="C214" s="91" t="s">
        <v>252</v>
      </c>
      <c r="D214" s="115" t="s">
        <v>253</v>
      </c>
      <c r="E214" s="148"/>
      <c r="F214" s="61"/>
      <c r="G214" s="340">
        <v>0</v>
      </c>
      <c r="H214" s="99"/>
      <c r="I214" s="99"/>
      <c r="J214" s="99"/>
      <c r="K214" s="99"/>
      <c r="L214" s="99"/>
      <c r="M214" s="100">
        <v>0</v>
      </c>
      <c r="N214" s="105">
        <f>G214+M214</f>
        <v>0</v>
      </c>
      <c r="O214" s="386"/>
    </row>
    <row r="215" spans="1:15">
      <c r="A215" s="185"/>
      <c r="B215" s="92"/>
      <c r="C215" s="106" t="s">
        <v>251</v>
      </c>
      <c r="E215" s="97"/>
      <c r="F215" s="61"/>
      <c r="G215" s="107">
        <f>G214</f>
        <v>0</v>
      </c>
      <c r="H215" s="108"/>
      <c r="I215" s="108"/>
      <c r="J215" s="108"/>
      <c r="K215" s="109"/>
      <c r="L215" s="109"/>
      <c r="M215" s="108"/>
      <c r="N215" s="298"/>
      <c r="O215" s="386"/>
    </row>
    <row r="216" spans="1:15">
      <c r="A216" s="185"/>
      <c r="B216" s="92"/>
      <c r="C216" s="264" t="s">
        <v>140</v>
      </c>
      <c r="E216" s="97"/>
      <c r="F216" s="61"/>
      <c r="G216" s="325">
        <v>0</v>
      </c>
      <c r="H216" s="394">
        <f>'LINE ITEM EXP'!C29</f>
        <v>0</v>
      </c>
      <c r="I216" s="395">
        <f>'LINE ITEM EXP'!D29</f>
        <v>0</v>
      </c>
      <c r="J216" s="395">
        <f>'LINE ITEM EXP'!E29</f>
        <v>0</v>
      </c>
      <c r="K216" s="396">
        <f>G216</f>
        <v>0</v>
      </c>
      <c r="L216" s="396">
        <f>G215</f>
        <v>0</v>
      </c>
      <c r="M216" s="395">
        <f>SUM(M214:M215)</f>
        <v>0</v>
      </c>
      <c r="N216" s="397">
        <f>SUM(N214:N215)</f>
        <v>0</v>
      </c>
      <c r="O216" s="386"/>
    </row>
    <row r="217" spans="1:15">
      <c r="A217" s="177">
        <v>310</v>
      </c>
      <c r="B217" s="178" t="s">
        <v>252</v>
      </c>
      <c r="C217" s="269" t="s">
        <v>254</v>
      </c>
      <c r="D217" s="351"/>
      <c r="E217" s="328"/>
      <c r="F217" s="184"/>
      <c r="G217" s="329">
        <v>0</v>
      </c>
      <c r="H217" s="99"/>
      <c r="I217" s="99"/>
      <c r="J217" s="99"/>
      <c r="K217" s="99"/>
      <c r="L217" s="99"/>
      <c r="M217" s="100">
        <v>0</v>
      </c>
      <c r="N217" s="105">
        <f>G217+M217</f>
        <v>0</v>
      </c>
      <c r="O217" s="386"/>
    </row>
    <row r="218" spans="1:15">
      <c r="A218" s="185">
        <v>505</v>
      </c>
      <c r="B218" s="92" t="s">
        <v>255</v>
      </c>
      <c r="C218" s="106" t="s">
        <v>256</v>
      </c>
      <c r="E218" s="97"/>
      <c r="F218" s="61"/>
      <c r="G218" s="276">
        <f>G217</f>
        <v>0</v>
      </c>
      <c r="H218" s="109"/>
      <c r="I218" s="108"/>
      <c r="J218" s="108"/>
      <c r="K218" s="109"/>
      <c r="L218" s="109"/>
      <c r="M218" s="108"/>
      <c r="N218" s="298"/>
      <c r="O218" s="386"/>
    </row>
    <row r="219" spans="1:15">
      <c r="A219" s="204"/>
      <c r="B219" s="277"/>
      <c r="C219" s="278" t="s">
        <v>140</v>
      </c>
      <c r="D219" s="205"/>
      <c r="E219" s="349"/>
      <c r="F219" s="350"/>
      <c r="G219" s="282">
        <v>0</v>
      </c>
      <c r="H219" s="394">
        <f>'LINE ITEM EXP'!C30</f>
        <v>0</v>
      </c>
      <c r="I219" s="395">
        <f>'LINE ITEM EXP'!D30</f>
        <v>0</v>
      </c>
      <c r="J219" s="395">
        <f>'LINE ITEM EXP'!E30</f>
        <v>0</v>
      </c>
      <c r="K219" s="396">
        <f>G219</f>
        <v>0</v>
      </c>
      <c r="L219" s="396">
        <f>G218</f>
        <v>0</v>
      </c>
      <c r="M219" s="395">
        <f>SUM(M217:M218)</f>
        <v>0</v>
      </c>
      <c r="N219" s="397">
        <f>SUM(N217:N218)</f>
        <v>0</v>
      </c>
      <c r="O219" s="386"/>
    </row>
    <row r="220" spans="1:15">
      <c r="A220" s="189">
        <v>320</v>
      </c>
      <c r="B220" s="95" t="s">
        <v>257</v>
      </c>
      <c r="C220" s="91" t="s">
        <v>258</v>
      </c>
      <c r="D220" s="161" t="s">
        <v>259</v>
      </c>
      <c r="E220" s="148"/>
      <c r="F220" s="61"/>
      <c r="G220" s="345">
        <v>795</v>
      </c>
      <c r="H220" s="99"/>
      <c r="I220" s="99"/>
      <c r="J220" s="99"/>
      <c r="K220" s="99"/>
      <c r="L220" s="99"/>
      <c r="M220" s="100">
        <v>0</v>
      </c>
      <c r="N220" s="105">
        <f>G220+M220</f>
        <v>795</v>
      </c>
      <c r="O220" s="386"/>
    </row>
    <row r="221" spans="1:15">
      <c r="A221" s="185"/>
      <c r="B221" s="92"/>
      <c r="C221" s="91" t="s">
        <v>260</v>
      </c>
      <c r="D221" s="7" t="s">
        <v>261</v>
      </c>
      <c r="E221" s="148"/>
      <c r="F221" s="61"/>
      <c r="G221" s="352">
        <v>820</v>
      </c>
      <c r="H221" s="99"/>
      <c r="I221" s="99"/>
      <c r="J221" s="99"/>
      <c r="K221" s="99"/>
      <c r="L221" s="99"/>
      <c r="M221" s="100">
        <v>0</v>
      </c>
      <c r="N221" s="105">
        <f>G221+M221</f>
        <v>820</v>
      </c>
      <c r="O221" s="386"/>
    </row>
    <row r="222" spans="1:15">
      <c r="A222" s="185"/>
      <c r="B222" s="92"/>
      <c r="C222" s="106" t="s">
        <v>262</v>
      </c>
      <c r="E222" s="97"/>
      <c r="F222" s="61"/>
      <c r="G222" s="107">
        <f>SUM(G220:G221)</f>
        <v>1615</v>
      </c>
      <c r="H222" s="108"/>
      <c r="I222" s="108"/>
      <c r="J222" s="108"/>
      <c r="K222" s="109"/>
      <c r="L222" s="109"/>
      <c r="M222" s="108"/>
      <c r="N222" s="298"/>
      <c r="O222" s="386"/>
    </row>
    <row r="223" spans="1:15" ht="13.5" thickBot="1">
      <c r="A223" s="185"/>
      <c r="B223" s="92"/>
      <c r="C223" s="264" t="s">
        <v>140</v>
      </c>
      <c r="E223" s="97"/>
      <c r="F223" s="61"/>
      <c r="G223" s="325">
        <v>1615</v>
      </c>
      <c r="H223" s="394">
        <f>'LINE ITEM EXP'!C31</f>
        <v>1108</v>
      </c>
      <c r="I223" s="395">
        <f>'LINE ITEM EXP'!D31</f>
        <v>20</v>
      </c>
      <c r="J223" s="395">
        <f>'LINE ITEM EXP'!E31</f>
        <v>1862</v>
      </c>
      <c r="K223" s="396">
        <f>G223</f>
        <v>1615</v>
      </c>
      <c r="L223" s="396">
        <f>G222</f>
        <v>1615</v>
      </c>
      <c r="M223" s="395">
        <f>SUM(M220:M222)</f>
        <v>0</v>
      </c>
      <c r="N223" s="397">
        <f>SUM(N220:N222)</f>
        <v>1615</v>
      </c>
      <c r="O223" s="399"/>
    </row>
    <row r="224" spans="1:15">
      <c r="A224" s="177">
        <v>330</v>
      </c>
      <c r="B224" s="178" t="s">
        <v>263</v>
      </c>
      <c r="C224" s="269" t="s">
        <v>264</v>
      </c>
      <c r="D224" s="179" t="s">
        <v>449</v>
      </c>
      <c r="E224" s="328"/>
      <c r="F224" s="184"/>
      <c r="G224" s="345">
        <v>1500</v>
      </c>
      <c r="H224" s="99"/>
      <c r="I224" s="99"/>
      <c r="J224" s="99"/>
      <c r="K224" s="99"/>
      <c r="L224" s="99"/>
      <c r="M224" s="100">
        <v>0</v>
      </c>
      <c r="N224" s="105">
        <f>G224+M224</f>
        <v>1500</v>
      </c>
      <c r="O224" s="400"/>
    </row>
    <row r="225" spans="1:15">
      <c r="A225" s="185"/>
      <c r="B225" s="95"/>
      <c r="C225" s="91" t="s">
        <v>265</v>
      </c>
      <c r="D225" s="61"/>
      <c r="E225" s="61"/>
      <c r="F225" s="61"/>
      <c r="G225" s="336">
        <v>3500</v>
      </c>
      <c r="H225" s="99"/>
      <c r="I225" s="99"/>
      <c r="J225" s="99"/>
      <c r="K225" s="99"/>
      <c r="L225" s="99"/>
      <c r="M225" s="100">
        <v>0</v>
      </c>
      <c r="N225" s="105">
        <f>G225+M225</f>
        <v>3500</v>
      </c>
      <c r="O225" s="386"/>
    </row>
    <row r="226" spans="1:15">
      <c r="A226" s="185"/>
      <c r="B226" s="92"/>
      <c r="C226" s="119" t="s">
        <v>266</v>
      </c>
      <c r="D226" s="61"/>
      <c r="E226" s="61"/>
      <c r="F226" s="61"/>
      <c r="G226" s="346">
        <v>1600</v>
      </c>
      <c r="H226" s="99"/>
      <c r="I226" s="99"/>
      <c r="J226" s="99"/>
      <c r="K226" s="99"/>
      <c r="L226" s="99"/>
      <c r="M226" s="100">
        <v>0</v>
      </c>
      <c r="N226" s="105">
        <f>G226+M226</f>
        <v>1600</v>
      </c>
      <c r="O226" s="386"/>
    </row>
    <row r="227" spans="1:15">
      <c r="A227" s="185"/>
      <c r="B227" s="92"/>
      <c r="C227" s="106" t="s">
        <v>267</v>
      </c>
      <c r="E227" s="97"/>
      <c r="F227" s="61"/>
      <c r="G227" s="276">
        <f>SUM(G224:G226)</f>
        <v>6600</v>
      </c>
      <c r="H227" s="109"/>
      <c r="I227" s="108"/>
      <c r="J227" s="108"/>
      <c r="K227" s="109"/>
      <c r="L227" s="109"/>
      <c r="M227" s="108"/>
      <c r="N227" s="298"/>
      <c r="O227" s="386"/>
    </row>
    <row r="228" spans="1:15">
      <c r="A228" s="204"/>
      <c r="B228" s="277"/>
      <c r="C228" s="278" t="s">
        <v>140</v>
      </c>
      <c r="D228" s="205"/>
      <c r="E228" s="349"/>
      <c r="F228" s="350"/>
      <c r="G228" s="282">
        <v>6389</v>
      </c>
      <c r="H228" s="394">
        <f>'LINE ITEM EXP'!C32</f>
        <v>7998</v>
      </c>
      <c r="I228" s="395">
        <f>'LINE ITEM EXP'!D32</f>
        <v>736</v>
      </c>
      <c r="J228" s="395">
        <f>'LINE ITEM EXP'!E32</f>
        <v>6675</v>
      </c>
      <c r="K228" s="396">
        <f>G228</f>
        <v>6389</v>
      </c>
      <c r="L228" s="396">
        <f>G227</f>
        <v>6600</v>
      </c>
      <c r="M228" s="395">
        <f>SUM(M224:M227)</f>
        <v>0</v>
      </c>
      <c r="N228" s="397">
        <f>SUM(N224:N227)</f>
        <v>6600</v>
      </c>
      <c r="O228" s="386"/>
    </row>
    <row r="229" spans="1:15">
      <c r="A229" s="177">
        <v>335</v>
      </c>
      <c r="B229" s="178" t="s">
        <v>268</v>
      </c>
      <c r="C229" s="269" t="s">
        <v>269</v>
      </c>
      <c r="D229" s="179"/>
      <c r="E229" s="328"/>
      <c r="F229" s="184"/>
      <c r="G229" s="345">
        <v>1785</v>
      </c>
      <c r="H229" s="99"/>
      <c r="I229" s="99"/>
      <c r="J229" s="99"/>
      <c r="K229" s="99"/>
      <c r="L229" s="99"/>
      <c r="M229" s="100">
        <v>0</v>
      </c>
      <c r="N229" s="105">
        <f>G229+M229</f>
        <v>1785</v>
      </c>
      <c r="O229" s="386"/>
    </row>
    <row r="230" spans="1:15">
      <c r="A230" s="189"/>
      <c r="B230" s="95"/>
      <c r="C230" s="119" t="s">
        <v>270</v>
      </c>
      <c r="D230" s="115"/>
      <c r="E230" s="148"/>
      <c r="F230" s="61"/>
      <c r="G230" s="340">
        <v>1545</v>
      </c>
      <c r="H230" s="99"/>
      <c r="I230" s="99"/>
      <c r="J230" s="99"/>
      <c r="K230" s="99"/>
      <c r="L230" s="99"/>
      <c r="M230" s="100">
        <v>0</v>
      </c>
      <c r="N230" s="105">
        <f>G230+M230</f>
        <v>1545</v>
      </c>
      <c r="O230" s="386"/>
    </row>
    <row r="231" spans="1:15">
      <c r="A231" s="185"/>
      <c r="B231" s="92"/>
      <c r="C231" s="91" t="s">
        <v>271</v>
      </c>
      <c r="E231" s="61"/>
      <c r="F231" s="61"/>
      <c r="G231" s="346">
        <v>700</v>
      </c>
      <c r="H231" s="99"/>
      <c r="I231" s="99"/>
      <c r="J231" s="99"/>
      <c r="K231" s="99"/>
      <c r="L231" s="99"/>
      <c r="M231" s="100">
        <v>0</v>
      </c>
      <c r="N231" s="105">
        <f>G231+M231</f>
        <v>700</v>
      </c>
      <c r="O231" s="386"/>
    </row>
    <row r="232" spans="1:15">
      <c r="A232" s="185"/>
      <c r="B232" s="92"/>
      <c r="C232" s="106" t="s">
        <v>272</v>
      </c>
      <c r="D232" s="163"/>
      <c r="E232" s="97"/>
      <c r="F232" s="61"/>
      <c r="G232" s="276">
        <f>SUM(G229:G231)</f>
        <v>4030</v>
      </c>
      <c r="H232" s="109"/>
      <c r="I232" s="108"/>
      <c r="J232" s="108"/>
      <c r="K232" s="109"/>
      <c r="L232" s="109"/>
      <c r="M232" s="108"/>
      <c r="N232" s="298"/>
      <c r="O232" s="386"/>
    </row>
    <row r="233" spans="1:15">
      <c r="A233" s="204"/>
      <c r="B233" s="277"/>
      <c r="C233" s="278" t="s">
        <v>140</v>
      </c>
      <c r="D233" s="353"/>
      <c r="E233" s="349"/>
      <c r="F233" s="350"/>
      <c r="G233" s="282">
        <v>4040</v>
      </c>
      <c r="H233" s="394">
        <f>'LINE ITEM EXP'!C33</f>
        <v>4055</v>
      </c>
      <c r="I233" s="395">
        <f>'LINE ITEM EXP'!D33</f>
        <v>1962</v>
      </c>
      <c r="J233" s="395">
        <f>'LINE ITEM EXP'!E33</f>
        <v>4030</v>
      </c>
      <c r="K233" s="396">
        <f>G233</f>
        <v>4040</v>
      </c>
      <c r="L233" s="396">
        <f>G232</f>
        <v>4030</v>
      </c>
      <c r="M233" s="395">
        <f>SUM(M229:M232)</f>
        <v>0</v>
      </c>
      <c r="N233" s="397">
        <f>SUM(N229:N232)</f>
        <v>4030</v>
      </c>
      <c r="O233" s="386"/>
    </row>
    <row r="234" spans="1:15">
      <c r="A234" s="177">
        <v>340</v>
      </c>
      <c r="B234" s="178" t="s">
        <v>273</v>
      </c>
      <c r="C234" s="269" t="s">
        <v>274</v>
      </c>
      <c r="D234" s="184"/>
      <c r="E234" s="184"/>
      <c r="F234" s="184"/>
      <c r="G234" s="354">
        <v>3800</v>
      </c>
      <c r="H234" s="99"/>
      <c r="I234" s="99"/>
      <c r="J234" s="99"/>
      <c r="K234" s="99"/>
      <c r="L234" s="99"/>
      <c r="M234" s="100">
        <v>0</v>
      </c>
      <c r="N234" s="105">
        <f>G234+M234</f>
        <v>3800</v>
      </c>
      <c r="O234" s="386"/>
    </row>
    <row r="235" spans="1:15">
      <c r="A235" s="189"/>
      <c r="B235" s="95"/>
      <c r="C235" s="91" t="s">
        <v>390</v>
      </c>
      <c r="D235" s="115"/>
      <c r="F235" s="61"/>
      <c r="G235" s="355">
        <v>4810</v>
      </c>
      <c r="H235" s="99"/>
      <c r="I235" s="99"/>
      <c r="J235" s="99"/>
      <c r="K235" s="99"/>
      <c r="L235" s="99"/>
      <c r="M235" s="100">
        <v>0</v>
      </c>
      <c r="N235" s="105">
        <f t="shared" ref="N235:N241" si="52">G235+M235</f>
        <v>4810</v>
      </c>
      <c r="O235" s="386"/>
    </row>
    <row r="236" spans="1:15">
      <c r="A236" s="189"/>
      <c r="B236" s="95"/>
      <c r="C236" s="91" t="s">
        <v>391</v>
      </c>
      <c r="D236" s="115"/>
      <c r="F236" s="61"/>
      <c r="G236" s="355">
        <v>3650</v>
      </c>
      <c r="H236" s="99"/>
      <c r="I236" s="99"/>
      <c r="J236" s="99"/>
      <c r="K236" s="99"/>
      <c r="L236" s="99"/>
      <c r="M236" s="100">
        <v>0</v>
      </c>
      <c r="N236" s="105">
        <f t="shared" si="52"/>
        <v>3650</v>
      </c>
      <c r="O236" s="386"/>
    </row>
    <row r="237" spans="1:15">
      <c r="A237" s="189"/>
      <c r="B237" s="95"/>
      <c r="C237" s="427" t="s">
        <v>275</v>
      </c>
      <c r="D237" s="115"/>
      <c r="F237" s="61"/>
      <c r="G237" s="355">
        <v>2980</v>
      </c>
      <c r="H237" s="99"/>
      <c r="I237" s="99"/>
      <c r="J237" s="99"/>
      <c r="K237" s="99"/>
      <c r="L237" s="99"/>
      <c r="M237" s="100">
        <v>0</v>
      </c>
      <c r="N237" s="105">
        <f t="shared" si="52"/>
        <v>2980</v>
      </c>
      <c r="O237" s="386"/>
    </row>
    <row r="238" spans="1:15">
      <c r="A238" s="189"/>
      <c r="B238" s="95"/>
      <c r="C238" s="91" t="s">
        <v>276</v>
      </c>
      <c r="D238" s="115"/>
      <c r="F238" s="61"/>
      <c r="G238" s="355">
        <v>2900</v>
      </c>
      <c r="H238" s="99"/>
      <c r="I238" s="99"/>
      <c r="J238" s="99"/>
      <c r="K238" s="99"/>
      <c r="L238" s="99"/>
      <c r="M238" s="100">
        <v>0</v>
      </c>
      <c r="N238" s="105">
        <f>G238+M238</f>
        <v>2900</v>
      </c>
      <c r="O238" s="386"/>
    </row>
    <row r="239" spans="1:15">
      <c r="A239" s="189"/>
      <c r="B239" s="95"/>
      <c r="C239" s="91" t="s">
        <v>392</v>
      </c>
      <c r="D239" s="115"/>
      <c r="F239" s="61"/>
      <c r="G239" s="355">
        <v>7700</v>
      </c>
      <c r="H239" s="99"/>
      <c r="I239" s="99"/>
      <c r="J239" s="99"/>
      <c r="K239" s="99"/>
      <c r="L239" s="99"/>
      <c r="M239" s="100">
        <v>0</v>
      </c>
      <c r="N239" s="105">
        <f>G239+M239</f>
        <v>7700</v>
      </c>
      <c r="O239" s="386"/>
    </row>
    <row r="240" spans="1:15">
      <c r="A240" s="189"/>
      <c r="B240" s="95"/>
      <c r="C240" s="91" t="s">
        <v>394</v>
      </c>
      <c r="D240" s="115"/>
      <c r="F240" s="61"/>
      <c r="G240" s="355">
        <v>3700</v>
      </c>
      <c r="H240" s="99"/>
      <c r="I240" s="99"/>
      <c r="J240" s="99"/>
      <c r="K240" s="99"/>
      <c r="L240" s="99"/>
      <c r="M240" s="100">
        <v>0</v>
      </c>
      <c r="N240" s="105">
        <f t="shared" si="52"/>
        <v>3700</v>
      </c>
      <c r="O240" s="386"/>
    </row>
    <row r="241" spans="1:15">
      <c r="A241" s="189"/>
      <c r="B241" s="95"/>
      <c r="C241" s="91" t="s">
        <v>393</v>
      </c>
      <c r="D241" s="115"/>
      <c r="F241" s="61"/>
      <c r="G241" s="355">
        <v>2000</v>
      </c>
      <c r="H241" s="99"/>
      <c r="I241" s="99"/>
      <c r="J241" s="99"/>
      <c r="K241" s="99"/>
      <c r="L241" s="99"/>
      <c r="M241" s="100">
        <v>0</v>
      </c>
      <c r="N241" s="105">
        <f t="shared" si="52"/>
        <v>2000</v>
      </c>
      <c r="O241" s="386"/>
    </row>
    <row r="242" spans="1:15">
      <c r="A242" s="185"/>
      <c r="B242" s="92"/>
      <c r="C242" s="91"/>
      <c r="D242" s="61"/>
      <c r="E242" s="61"/>
      <c r="F242" s="61"/>
      <c r="G242" s="355"/>
      <c r="H242" s="99"/>
      <c r="I242" s="99"/>
      <c r="J242" s="99"/>
      <c r="K242" s="99"/>
      <c r="L242" s="99"/>
      <c r="M242" s="100">
        <v>0</v>
      </c>
      <c r="N242" s="105">
        <f>G242+M242</f>
        <v>0</v>
      </c>
      <c r="O242" s="386"/>
    </row>
    <row r="243" spans="1:15">
      <c r="A243" s="185"/>
      <c r="B243" s="92"/>
      <c r="C243" s="106" t="s">
        <v>277</v>
      </c>
      <c r="E243" s="97"/>
      <c r="F243" s="61"/>
      <c r="G243" s="276">
        <f>SUM(G234:G242)</f>
        <v>31540</v>
      </c>
      <c r="H243" s="109"/>
      <c r="I243" s="108"/>
      <c r="J243" s="108"/>
      <c r="K243" s="109"/>
      <c r="L243" s="109"/>
      <c r="M243" s="108"/>
      <c r="N243" s="298"/>
      <c r="O243" s="386"/>
    </row>
    <row r="244" spans="1:15">
      <c r="A244" s="204"/>
      <c r="B244" s="277"/>
      <c r="C244" s="278" t="s">
        <v>140</v>
      </c>
      <c r="D244" s="205"/>
      <c r="E244" s="349"/>
      <c r="F244" s="350"/>
      <c r="G244" s="282">
        <v>29980</v>
      </c>
      <c r="H244" s="394">
        <f>'LINE ITEM EXP'!C34</f>
        <v>25953</v>
      </c>
      <c r="I244" s="395">
        <f>'LINE ITEM EXP'!D34</f>
        <v>18873</v>
      </c>
      <c r="J244" s="395">
        <f>'LINE ITEM EXP'!E34</f>
        <v>29980</v>
      </c>
      <c r="K244" s="396">
        <f>G244</f>
        <v>29980</v>
      </c>
      <c r="L244" s="396">
        <f>G243</f>
        <v>31540</v>
      </c>
      <c r="M244" s="395">
        <f>SUM(M234:M243)</f>
        <v>0</v>
      </c>
      <c r="N244" s="397">
        <f>SUM(N234:N243)</f>
        <v>31540</v>
      </c>
      <c r="O244" s="386" t="s">
        <v>389</v>
      </c>
    </row>
    <row r="245" spans="1:15">
      <c r="A245" s="177">
        <v>350</v>
      </c>
      <c r="B245" s="178" t="s">
        <v>278</v>
      </c>
      <c r="C245" s="269" t="s">
        <v>279</v>
      </c>
      <c r="D245" s="179"/>
      <c r="E245" s="270"/>
      <c r="F245" s="184"/>
      <c r="G245" s="340">
        <v>2000</v>
      </c>
      <c r="H245" s="99"/>
      <c r="I245" s="99"/>
      <c r="J245" s="99"/>
      <c r="K245" s="99"/>
      <c r="L245" s="99"/>
      <c r="M245" s="100">
        <v>0</v>
      </c>
      <c r="N245" s="105">
        <f t="shared" ref="N245:N251" si="53">G245+M245</f>
        <v>2000</v>
      </c>
      <c r="O245" s="386"/>
    </row>
    <row r="246" spans="1:15">
      <c r="A246" s="189"/>
      <c r="B246" s="95"/>
      <c r="C246" s="91" t="s">
        <v>280</v>
      </c>
      <c r="D246" s="61"/>
      <c r="E246" s="61"/>
      <c r="F246" s="61"/>
      <c r="G246" s="336">
        <v>75</v>
      </c>
      <c r="H246" s="99"/>
      <c r="I246" s="99"/>
      <c r="J246" s="99"/>
      <c r="K246" s="99"/>
      <c r="L246" s="99"/>
      <c r="M246" s="100">
        <v>0</v>
      </c>
      <c r="N246" s="105">
        <f t="shared" si="53"/>
        <v>75</v>
      </c>
      <c r="O246" s="386"/>
    </row>
    <row r="247" spans="1:15">
      <c r="A247" s="189"/>
      <c r="B247" s="95"/>
      <c r="C247" s="91"/>
      <c r="D247" s="115"/>
      <c r="F247" s="61"/>
      <c r="G247" s="336">
        <v>0</v>
      </c>
      <c r="H247" s="99"/>
      <c r="I247" s="99"/>
      <c r="J247" s="99"/>
      <c r="K247" s="99"/>
      <c r="L247" s="99"/>
      <c r="M247" s="100">
        <v>0</v>
      </c>
      <c r="N247" s="105">
        <f t="shared" si="53"/>
        <v>0</v>
      </c>
      <c r="O247" s="386"/>
    </row>
    <row r="248" spans="1:15">
      <c r="A248" s="189"/>
      <c r="B248" s="95"/>
      <c r="C248" s="91"/>
      <c r="D248" s="115"/>
      <c r="F248" s="61"/>
      <c r="G248" s="336">
        <v>0</v>
      </c>
      <c r="H248" s="99"/>
      <c r="I248" s="99"/>
      <c r="J248" s="99"/>
      <c r="K248" s="99"/>
      <c r="L248" s="99"/>
      <c r="M248" s="100">
        <v>0</v>
      </c>
      <c r="N248" s="105">
        <f t="shared" si="53"/>
        <v>0</v>
      </c>
      <c r="O248" s="386"/>
    </row>
    <row r="249" spans="1:15">
      <c r="A249" s="189"/>
      <c r="B249" s="95"/>
      <c r="C249" s="91"/>
      <c r="D249" s="115"/>
      <c r="F249" s="61"/>
      <c r="G249" s="336">
        <v>0</v>
      </c>
      <c r="H249" s="99"/>
      <c r="I249" s="99"/>
      <c r="J249" s="99"/>
      <c r="K249" s="99"/>
      <c r="L249" s="99"/>
      <c r="M249" s="100">
        <v>0</v>
      </c>
      <c r="N249" s="105">
        <f t="shared" si="53"/>
        <v>0</v>
      </c>
      <c r="O249" s="386"/>
    </row>
    <row r="250" spans="1:15">
      <c r="A250" s="189"/>
      <c r="B250" s="95"/>
      <c r="C250" s="91"/>
      <c r="D250" s="61"/>
      <c r="E250" s="61"/>
      <c r="F250" s="61"/>
      <c r="G250" s="336"/>
      <c r="H250" s="99"/>
      <c r="I250" s="99"/>
      <c r="J250" s="99"/>
      <c r="K250" s="99"/>
      <c r="L250" s="99"/>
      <c r="M250" s="100">
        <v>0</v>
      </c>
      <c r="N250" s="275">
        <f t="shared" si="53"/>
        <v>0</v>
      </c>
      <c r="O250" s="386"/>
    </row>
    <row r="251" spans="1:15">
      <c r="A251" s="185"/>
      <c r="B251" s="92"/>
      <c r="C251" s="91"/>
      <c r="D251" s="61"/>
      <c r="E251" s="61"/>
      <c r="F251" s="61"/>
      <c r="G251" s="336"/>
      <c r="H251" s="99"/>
      <c r="I251" s="99"/>
      <c r="J251" s="99"/>
      <c r="K251" s="99"/>
      <c r="L251" s="99"/>
      <c r="M251" s="100">
        <v>0</v>
      </c>
      <c r="N251" s="105">
        <f t="shared" si="53"/>
        <v>0</v>
      </c>
      <c r="O251" s="386"/>
    </row>
    <row r="252" spans="1:15">
      <c r="A252" s="185"/>
      <c r="B252" s="92"/>
      <c r="C252" s="106" t="s">
        <v>281</v>
      </c>
      <c r="E252" s="97"/>
      <c r="F252" s="61"/>
      <c r="G252" s="276">
        <f>SUM(G245:G251)</f>
        <v>2075</v>
      </c>
      <c r="H252" s="109"/>
      <c r="I252" s="108"/>
      <c r="J252" s="108"/>
      <c r="K252" s="109"/>
      <c r="L252" s="109"/>
      <c r="M252" s="108"/>
      <c r="N252" s="298"/>
      <c r="O252" s="386"/>
    </row>
    <row r="253" spans="1:15">
      <c r="A253" s="204"/>
      <c r="B253" s="277"/>
      <c r="C253" s="278" t="s">
        <v>140</v>
      </c>
      <c r="D253" s="205"/>
      <c r="E253" s="349"/>
      <c r="F253" s="350"/>
      <c r="G253" s="282">
        <v>711</v>
      </c>
      <c r="H253" s="394">
        <f>'LINE ITEM EXP'!C35</f>
        <v>1480</v>
      </c>
      <c r="I253" s="395">
        <f>'LINE ITEM EXP'!D35</f>
        <v>415</v>
      </c>
      <c r="J253" s="395">
        <f>'LINE ITEM EXP'!E35</f>
        <v>2075</v>
      </c>
      <c r="K253" s="396">
        <f>G253</f>
        <v>711</v>
      </c>
      <c r="L253" s="396">
        <f>G252</f>
        <v>2075</v>
      </c>
      <c r="M253" s="395">
        <f>SUM(M245:M251)</f>
        <v>0</v>
      </c>
      <c r="N253" s="397">
        <f>SUM(N245:N252)</f>
        <v>2075</v>
      </c>
      <c r="O253" s="386"/>
    </row>
    <row r="254" spans="1:15">
      <c r="A254" s="177">
        <v>380</v>
      </c>
      <c r="B254" s="178" t="s">
        <v>282</v>
      </c>
      <c r="C254" s="269" t="s">
        <v>283</v>
      </c>
      <c r="D254" s="179"/>
      <c r="E254" s="270"/>
      <c r="F254" s="184"/>
      <c r="G254" s="340">
        <v>1500</v>
      </c>
      <c r="H254" s="99"/>
      <c r="I254" s="99"/>
      <c r="J254" s="99"/>
      <c r="K254" s="99"/>
      <c r="L254" s="99"/>
      <c r="M254" s="100">
        <v>0</v>
      </c>
      <c r="N254" s="105">
        <f>G254+M254</f>
        <v>1500</v>
      </c>
      <c r="O254" s="386"/>
    </row>
    <row r="255" spans="1:15">
      <c r="A255" s="185"/>
      <c r="B255" s="92"/>
      <c r="C255" s="106" t="s">
        <v>284</v>
      </c>
      <c r="E255" s="97"/>
      <c r="F255" s="61"/>
      <c r="G255" s="276">
        <f>G254</f>
        <v>1500</v>
      </c>
      <c r="H255" s="109"/>
      <c r="I255" s="108"/>
      <c r="J255" s="108"/>
      <c r="K255" s="109"/>
      <c r="L255" s="109"/>
      <c r="M255" s="108"/>
      <c r="N255" s="298"/>
      <c r="O255" s="386"/>
    </row>
    <row r="256" spans="1:15">
      <c r="A256" s="204"/>
      <c r="B256" s="277"/>
      <c r="C256" s="278" t="s">
        <v>140</v>
      </c>
      <c r="D256" s="205"/>
      <c r="E256" s="349"/>
      <c r="F256" s="350"/>
      <c r="G256" s="282">
        <v>424</v>
      </c>
      <c r="H256" s="394">
        <f>'LINE ITEM EXP'!C36</f>
        <v>918</v>
      </c>
      <c r="I256" s="395">
        <f>'LINE ITEM EXP'!D36</f>
        <v>212</v>
      </c>
      <c r="J256" s="395">
        <f>'LINE ITEM EXP'!E36</f>
        <v>1500</v>
      </c>
      <c r="K256" s="396">
        <f>G256</f>
        <v>424</v>
      </c>
      <c r="L256" s="396">
        <f>G255</f>
        <v>1500</v>
      </c>
      <c r="M256" s="395">
        <f>SUM(M254:M255)</f>
        <v>0</v>
      </c>
      <c r="N256" s="397">
        <f>SUM(N254:N255)</f>
        <v>1500</v>
      </c>
      <c r="O256" s="386"/>
    </row>
    <row r="257" spans="1:15">
      <c r="A257" s="177">
        <v>450</v>
      </c>
      <c r="B257" s="178" t="s">
        <v>285</v>
      </c>
      <c r="C257" s="269" t="s">
        <v>286</v>
      </c>
      <c r="D257" s="356"/>
      <c r="E257" s="357"/>
      <c r="F257" s="358"/>
      <c r="G257" s="340">
        <v>87187</v>
      </c>
      <c r="H257" s="99"/>
      <c r="I257" s="99"/>
      <c r="J257" s="99"/>
      <c r="K257" s="99"/>
      <c r="L257" s="99"/>
      <c r="M257" s="100">
        <v>0</v>
      </c>
      <c r="N257" s="105">
        <f t="shared" ref="N257:N263" si="54">G257+M257</f>
        <v>87187</v>
      </c>
      <c r="O257" s="386" t="s">
        <v>395</v>
      </c>
    </row>
    <row r="258" spans="1:15">
      <c r="A258" s="189"/>
      <c r="B258" s="95"/>
      <c r="C258" s="91" t="s">
        <v>287</v>
      </c>
      <c r="D258" s="164"/>
      <c r="E258" s="165"/>
      <c r="F258" s="166"/>
      <c r="G258" s="340">
        <v>18496</v>
      </c>
      <c r="H258" s="99"/>
      <c r="I258" s="99"/>
      <c r="J258" s="99"/>
      <c r="K258" s="99"/>
      <c r="L258" s="99"/>
      <c r="M258" s="100">
        <v>0</v>
      </c>
      <c r="N258" s="105">
        <f t="shared" si="54"/>
        <v>18496</v>
      </c>
      <c r="O258" s="386"/>
    </row>
    <row r="259" spans="1:15">
      <c r="A259" s="189"/>
      <c r="B259" s="95"/>
      <c r="C259" s="91" t="s">
        <v>288</v>
      </c>
      <c r="D259" s="164"/>
      <c r="E259" s="165"/>
      <c r="F259" s="166"/>
      <c r="G259" s="340">
        <v>1296</v>
      </c>
      <c r="H259" s="99"/>
      <c r="I259" s="99"/>
      <c r="J259" s="99"/>
      <c r="K259" s="99"/>
      <c r="L259" s="99"/>
      <c r="M259" s="100">
        <v>0</v>
      </c>
      <c r="N259" s="105">
        <f t="shared" si="54"/>
        <v>1296</v>
      </c>
      <c r="O259" s="386"/>
    </row>
    <row r="260" spans="1:15">
      <c r="A260" s="189"/>
      <c r="B260" s="95"/>
      <c r="C260" s="119" t="s">
        <v>289</v>
      </c>
      <c r="D260" s="164"/>
      <c r="E260" s="165"/>
      <c r="F260" s="166"/>
      <c r="G260" s="340">
        <v>1290</v>
      </c>
      <c r="H260" s="99"/>
      <c r="I260" s="99"/>
      <c r="J260" s="99"/>
      <c r="K260" s="99"/>
      <c r="L260" s="99"/>
      <c r="M260" s="100">
        <v>0</v>
      </c>
      <c r="N260" s="105">
        <f t="shared" si="54"/>
        <v>1290</v>
      </c>
      <c r="O260" s="386"/>
    </row>
    <row r="261" spans="1:15">
      <c r="A261" s="189"/>
      <c r="B261" s="95"/>
      <c r="C261" s="119" t="s">
        <v>290</v>
      </c>
      <c r="D261" s="164"/>
      <c r="E261" s="165"/>
      <c r="F261" s="166"/>
      <c r="G261" s="340">
        <v>250</v>
      </c>
      <c r="H261" s="99"/>
      <c r="I261" s="99"/>
      <c r="J261" s="99"/>
      <c r="K261" s="99"/>
      <c r="L261" s="99"/>
      <c r="M261" s="100">
        <v>0</v>
      </c>
      <c r="N261" s="105">
        <f t="shared" si="54"/>
        <v>250</v>
      </c>
      <c r="O261" s="386"/>
    </row>
    <row r="262" spans="1:15">
      <c r="A262" s="189"/>
      <c r="B262" s="95"/>
      <c r="C262" s="119" t="s">
        <v>291</v>
      </c>
      <c r="D262" s="164"/>
      <c r="E262" s="167"/>
      <c r="F262" s="166"/>
      <c r="G262" s="340">
        <v>1594</v>
      </c>
      <c r="H262" s="99"/>
      <c r="I262" s="99"/>
      <c r="J262" s="99"/>
      <c r="K262" s="99"/>
      <c r="L262" s="99"/>
      <c r="M262" s="100">
        <v>0</v>
      </c>
      <c r="N262" s="105">
        <f t="shared" si="54"/>
        <v>1594</v>
      </c>
      <c r="O262" s="386"/>
    </row>
    <row r="263" spans="1:15">
      <c r="A263" s="189"/>
      <c r="B263" s="95"/>
      <c r="C263" s="119" t="s">
        <v>292</v>
      </c>
      <c r="D263" s="164"/>
      <c r="E263" s="165"/>
      <c r="F263" s="166"/>
      <c r="G263" s="340">
        <v>1632</v>
      </c>
      <c r="H263" s="99"/>
      <c r="I263" s="99"/>
      <c r="J263" s="99"/>
      <c r="K263" s="99"/>
      <c r="L263" s="99"/>
      <c r="M263" s="100">
        <v>0</v>
      </c>
      <c r="N263" s="105">
        <f t="shared" si="54"/>
        <v>1632</v>
      </c>
      <c r="O263" s="386"/>
    </row>
    <row r="264" spans="1:15">
      <c r="A264" s="185"/>
      <c r="B264" s="92"/>
      <c r="C264" s="106" t="s">
        <v>284</v>
      </c>
      <c r="D264" s="41" t="s">
        <v>293</v>
      </c>
      <c r="E264" s="168"/>
      <c r="F264" s="166"/>
      <c r="G264" s="276">
        <f>SUM(G257:G263)</f>
        <v>111745</v>
      </c>
      <c r="H264" s="109"/>
      <c r="I264" s="108"/>
      <c r="J264" s="108"/>
      <c r="K264" s="109"/>
      <c r="L264" s="109"/>
      <c r="M264" s="100"/>
      <c r="N264" s="105"/>
      <c r="O264" s="386"/>
    </row>
    <row r="265" spans="1:15">
      <c r="A265" s="204"/>
      <c r="B265" s="277"/>
      <c r="C265" s="278" t="s">
        <v>140</v>
      </c>
      <c r="D265" s="205"/>
      <c r="E265" s="349"/>
      <c r="F265" s="350"/>
      <c r="G265" s="282">
        <v>103569</v>
      </c>
      <c r="H265" s="394">
        <f>'LINE ITEM EXP'!C37</f>
        <v>103392</v>
      </c>
      <c r="I265" s="395">
        <f>'LINE ITEM EXP'!D37</f>
        <v>101370</v>
      </c>
      <c r="J265" s="395">
        <f>'LINE ITEM EXP'!E37</f>
        <v>107286</v>
      </c>
      <c r="K265" s="396">
        <f>G265</f>
        <v>103569</v>
      </c>
      <c r="L265" s="396">
        <f>G264</f>
        <v>111745</v>
      </c>
      <c r="M265" s="395">
        <f>SUM(M257:M264)</f>
        <v>0</v>
      </c>
      <c r="N265" s="397">
        <f>SUM(N257:N264)</f>
        <v>111745</v>
      </c>
      <c r="O265" s="386"/>
    </row>
    <row r="266" spans="1:15">
      <c r="A266" s="189">
        <v>510</v>
      </c>
      <c r="B266" s="95" t="s">
        <v>294</v>
      </c>
      <c r="C266" s="91"/>
      <c r="D266" s="115"/>
      <c r="E266" s="169"/>
      <c r="F266" s="61"/>
      <c r="G266" s="124"/>
      <c r="H266" s="100"/>
      <c r="I266" s="99"/>
      <c r="J266" s="99"/>
      <c r="K266" s="99"/>
      <c r="L266" s="99"/>
      <c r="M266" s="100">
        <v>0</v>
      </c>
      <c r="N266" s="105">
        <f>G266+M266</f>
        <v>0</v>
      </c>
      <c r="O266" s="386"/>
    </row>
    <row r="267" spans="1:15">
      <c r="A267" s="185"/>
      <c r="B267" s="92"/>
      <c r="C267" s="91" t="s">
        <v>295</v>
      </c>
      <c r="D267" s="170"/>
      <c r="E267" s="171"/>
      <c r="F267" s="61"/>
      <c r="G267" s="359">
        <v>1100</v>
      </c>
      <c r="H267" s="99"/>
      <c r="I267" s="99"/>
      <c r="J267" s="99"/>
      <c r="K267" s="99"/>
      <c r="L267" s="99"/>
      <c r="M267" s="100">
        <v>0</v>
      </c>
      <c r="N267" s="105">
        <f>G267+M267</f>
        <v>1100</v>
      </c>
      <c r="O267" s="386"/>
    </row>
    <row r="268" spans="1:15">
      <c r="A268" s="185"/>
      <c r="B268" s="92"/>
      <c r="C268" s="91" t="s">
        <v>296</v>
      </c>
      <c r="D268" s="170"/>
      <c r="E268" s="172"/>
      <c r="F268" s="61"/>
      <c r="G268" s="336">
        <f>5700+300+200+1300+100</f>
        <v>7600</v>
      </c>
      <c r="H268" s="99"/>
      <c r="I268" s="99"/>
      <c r="J268" s="99"/>
      <c r="K268" s="99"/>
      <c r="L268" s="99"/>
      <c r="M268" s="100">
        <v>0</v>
      </c>
      <c r="N268" s="105">
        <f>G268+M268</f>
        <v>7600</v>
      </c>
      <c r="O268" s="386"/>
    </row>
    <row r="269" spans="1:15">
      <c r="A269" s="185"/>
      <c r="B269" s="92"/>
      <c r="C269" s="91" t="s">
        <v>297</v>
      </c>
      <c r="D269" s="170"/>
      <c r="E269" s="172"/>
      <c r="F269" s="61"/>
      <c r="G269" s="360">
        <v>5800</v>
      </c>
      <c r="H269" s="99"/>
      <c r="I269" s="99"/>
      <c r="J269" s="99"/>
      <c r="K269" s="99"/>
      <c r="L269" s="99"/>
      <c r="M269" s="108">
        <v>0</v>
      </c>
      <c r="N269" s="105">
        <f>G269+M269</f>
        <v>5800</v>
      </c>
      <c r="O269" s="386"/>
    </row>
    <row r="270" spans="1:15">
      <c r="A270" s="185"/>
      <c r="B270" s="92"/>
      <c r="C270" s="106" t="s">
        <v>298</v>
      </c>
      <c r="D270" s="170"/>
      <c r="E270" s="173"/>
      <c r="F270" s="61"/>
      <c r="G270" s="107">
        <f>+G266+G267+G268+G269</f>
        <v>14500</v>
      </c>
      <c r="H270" s="108"/>
      <c r="I270" s="108"/>
      <c r="J270" s="108"/>
      <c r="K270" s="109"/>
      <c r="L270" s="109"/>
      <c r="M270" s="108"/>
      <c r="N270" s="298"/>
      <c r="O270" s="386"/>
    </row>
    <row r="271" spans="1:15">
      <c r="A271" s="185"/>
      <c r="B271" s="92"/>
      <c r="C271" s="264" t="s">
        <v>140</v>
      </c>
      <c r="E271" s="97"/>
      <c r="F271" s="61"/>
      <c r="G271" s="325">
        <v>15650</v>
      </c>
      <c r="H271" s="394">
        <f>'LINE ITEM EXP'!C38</f>
        <v>15650</v>
      </c>
      <c r="I271" s="395">
        <f>'LINE ITEM EXP'!D38</f>
        <v>14001</v>
      </c>
      <c r="J271" s="395">
        <f>'LINE ITEM EXP'!E38</f>
        <v>20500</v>
      </c>
      <c r="K271" s="396">
        <f>G271</f>
        <v>15650</v>
      </c>
      <c r="L271" s="396">
        <f>G270</f>
        <v>14500</v>
      </c>
      <c r="M271" s="395">
        <f>SUM(M266:M270)</f>
        <v>0</v>
      </c>
      <c r="N271" s="397">
        <f>SUM(N266:N270)</f>
        <v>14500</v>
      </c>
      <c r="O271" s="386"/>
    </row>
    <row r="272" spans="1:15">
      <c r="A272" s="177">
        <v>530</v>
      </c>
      <c r="B272" s="178" t="s">
        <v>299</v>
      </c>
      <c r="C272" s="269" t="s">
        <v>300</v>
      </c>
      <c r="D272" s="361" t="s">
        <v>301</v>
      </c>
      <c r="E272" s="362" t="s">
        <v>302</v>
      </c>
      <c r="F272" s="184"/>
      <c r="G272" s="329"/>
      <c r="H272" s="99"/>
      <c r="I272" s="99"/>
      <c r="J272" s="99"/>
      <c r="K272" s="99"/>
      <c r="L272" s="99"/>
      <c r="M272" s="100"/>
      <c r="N272" s="105"/>
      <c r="O272" s="386"/>
    </row>
    <row r="273" spans="1:15">
      <c r="A273" s="185"/>
      <c r="B273" s="92"/>
      <c r="C273" s="91" t="s">
        <v>303</v>
      </c>
      <c r="D273" s="345">
        <v>816</v>
      </c>
      <c r="E273" s="336">
        <v>12</v>
      </c>
      <c r="F273" s="61"/>
      <c r="G273" s="364">
        <f>ROUND(D273*E273,0)</f>
        <v>9792</v>
      </c>
      <c r="H273" s="99"/>
      <c r="I273" s="99"/>
      <c r="J273" s="99"/>
      <c r="K273" s="99"/>
      <c r="L273" s="99"/>
      <c r="M273" s="100">
        <v>0</v>
      </c>
      <c r="N273" s="105">
        <f>M273+G273</f>
        <v>9792</v>
      </c>
      <c r="O273" s="386"/>
    </row>
    <row r="274" spans="1:15">
      <c r="A274" s="185"/>
      <c r="B274" s="92"/>
      <c r="C274" s="91" t="s">
        <v>304</v>
      </c>
      <c r="D274" s="336">
        <v>0</v>
      </c>
      <c r="E274" s="344">
        <v>1</v>
      </c>
      <c r="F274" s="61"/>
      <c r="G274" s="105">
        <f>ROUND(D274*E274,0)</f>
        <v>0</v>
      </c>
      <c r="H274" s="99"/>
      <c r="I274" s="99"/>
      <c r="J274" s="99"/>
      <c r="K274" s="99"/>
      <c r="L274" s="99"/>
      <c r="M274" s="100">
        <v>0</v>
      </c>
      <c r="N274" s="105">
        <f>M274+G274</f>
        <v>0</v>
      </c>
      <c r="O274" s="386"/>
    </row>
    <row r="275" spans="1:15">
      <c r="A275" s="185"/>
      <c r="B275" s="92"/>
      <c r="C275" s="91" t="s">
        <v>305</v>
      </c>
      <c r="D275" s="174"/>
      <c r="E275" s="175"/>
      <c r="F275" s="61"/>
      <c r="G275" s="363">
        <v>307</v>
      </c>
      <c r="H275" s="99"/>
      <c r="I275" s="99"/>
      <c r="J275" s="99"/>
      <c r="K275" s="99"/>
      <c r="L275" s="99"/>
      <c r="M275" s="100">
        <v>0</v>
      </c>
      <c r="N275" s="105">
        <f>M275+G275</f>
        <v>307</v>
      </c>
      <c r="O275" s="386"/>
    </row>
    <row r="276" spans="1:15">
      <c r="A276" s="185"/>
      <c r="B276" s="92"/>
      <c r="C276" s="106" t="s">
        <v>306</v>
      </c>
      <c r="E276" s="97"/>
      <c r="F276" s="61"/>
      <c r="G276" s="276">
        <f>SUM(G273:G275)</f>
        <v>10099</v>
      </c>
      <c r="H276" s="109"/>
      <c r="I276" s="108"/>
      <c r="J276" s="108"/>
      <c r="K276" s="109"/>
      <c r="L276" s="109"/>
      <c r="M276" s="108"/>
      <c r="N276" s="298"/>
      <c r="O276" s="386"/>
    </row>
    <row r="277" spans="1:15" ht="15">
      <c r="A277" s="204"/>
      <c r="B277" s="277"/>
      <c r="C277" s="278" t="s">
        <v>140</v>
      </c>
      <c r="D277" s="205"/>
      <c r="E277" s="349"/>
      <c r="F277" s="365"/>
      <c r="G277" s="282">
        <v>8359</v>
      </c>
      <c r="H277" s="394">
        <f>'LINE ITEM EXP'!C39</f>
        <v>9660</v>
      </c>
      <c r="I277" s="395">
        <f>'LINE ITEM EXP'!D39</f>
        <v>3482</v>
      </c>
      <c r="J277" s="395">
        <f>'LINE ITEM EXP'!E39</f>
        <v>10375</v>
      </c>
      <c r="K277" s="396">
        <f>G277</f>
        <v>8359</v>
      </c>
      <c r="L277" s="396">
        <f>G276</f>
        <v>10099</v>
      </c>
      <c r="M277" s="395">
        <f>SUM(M273:M276)</f>
        <v>0</v>
      </c>
      <c r="N277" s="397">
        <f>SUM(N273:N276)</f>
        <v>10099</v>
      </c>
      <c r="O277" s="386"/>
    </row>
    <row r="278" spans="1:15" ht="15">
      <c r="A278" s="177">
        <v>540</v>
      </c>
      <c r="B278" s="178" t="s">
        <v>307</v>
      </c>
      <c r="C278" s="269"/>
      <c r="D278" s="270"/>
      <c r="E278" s="366"/>
      <c r="F278" s="367"/>
      <c r="G278" s="387"/>
      <c r="H278" s="388"/>
      <c r="I278" s="388"/>
      <c r="J278" s="388"/>
      <c r="K278" s="388"/>
      <c r="L278" s="388"/>
      <c r="M278" s="388"/>
      <c r="N278" s="388"/>
      <c r="O278" s="386"/>
    </row>
    <row r="279" spans="1:15">
      <c r="A279" s="189"/>
      <c r="B279" s="95"/>
      <c r="C279" s="91" t="s">
        <v>308</v>
      </c>
      <c r="D279" s="115"/>
      <c r="F279" s="61"/>
      <c r="G279" s="385">
        <v>5200</v>
      </c>
      <c r="H279" s="348"/>
      <c r="I279" s="348"/>
      <c r="J279" s="348"/>
      <c r="K279" s="348"/>
      <c r="L279" s="348"/>
      <c r="M279" s="348">
        <v>0</v>
      </c>
      <c r="N279" s="348">
        <f>G279+M279</f>
        <v>5200</v>
      </c>
      <c r="O279" s="386"/>
    </row>
    <row r="280" spans="1:15">
      <c r="A280" s="189"/>
      <c r="B280" s="95"/>
      <c r="C280" s="91" t="s">
        <v>309</v>
      </c>
      <c r="D280" s="115"/>
      <c r="F280" s="61"/>
      <c r="G280" s="385">
        <v>1800</v>
      </c>
      <c r="H280" s="348"/>
      <c r="I280" s="348"/>
      <c r="J280" s="348"/>
      <c r="K280" s="348"/>
      <c r="L280" s="348"/>
      <c r="M280" s="348">
        <v>0</v>
      </c>
      <c r="N280" s="348">
        <f>G280+M280</f>
        <v>1800</v>
      </c>
      <c r="O280" s="386"/>
    </row>
    <row r="281" spans="1:15">
      <c r="A281" s="189"/>
      <c r="B281" s="95"/>
      <c r="C281" s="91" t="s">
        <v>310</v>
      </c>
      <c r="D281" s="115"/>
      <c r="F281" s="61"/>
      <c r="G281" s="385">
        <v>4200</v>
      </c>
      <c r="H281" s="348"/>
      <c r="I281" s="348"/>
      <c r="J281" s="348"/>
      <c r="K281" s="348"/>
      <c r="L281" s="348"/>
      <c r="M281" s="348">
        <v>0</v>
      </c>
      <c r="N281" s="348">
        <f>G281+M281</f>
        <v>4200</v>
      </c>
      <c r="O281" s="386"/>
    </row>
    <row r="282" spans="1:15">
      <c r="A282" s="189"/>
      <c r="B282" s="95"/>
      <c r="C282" s="91" t="s">
        <v>376</v>
      </c>
      <c r="D282" s="115"/>
      <c r="F282" s="61"/>
      <c r="G282" s="385">
        <v>4160</v>
      </c>
      <c r="H282" s="348"/>
      <c r="I282" s="348"/>
      <c r="J282" s="348"/>
      <c r="K282" s="348"/>
      <c r="L282" s="348"/>
      <c r="M282" s="348">
        <v>0</v>
      </c>
      <c r="N282" s="348">
        <f>G282+M282</f>
        <v>4160</v>
      </c>
      <c r="O282" s="386" t="s">
        <v>377</v>
      </c>
    </row>
    <row r="283" spans="1:15">
      <c r="A283" s="185"/>
      <c r="B283" s="92"/>
      <c r="C283" s="106" t="s">
        <v>311</v>
      </c>
      <c r="E283" s="97"/>
      <c r="F283" s="61"/>
      <c r="G283" s="324">
        <f>SUM(G279:G282)</f>
        <v>15360</v>
      </c>
      <c r="H283" s="389"/>
      <c r="I283" s="389"/>
      <c r="J283" s="389"/>
      <c r="K283" s="389"/>
      <c r="L283" s="389"/>
      <c r="M283" s="389"/>
      <c r="N283" s="389"/>
      <c r="O283" s="386"/>
    </row>
    <row r="284" spans="1:15">
      <c r="A284" s="204"/>
      <c r="B284" s="277"/>
      <c r="C284" s="278" t="s">
        <v>140</v>
      </c>
      <c r="D284" s="205"/>
      <c r="E284" s="349"/>
      <c r="F284" s="350"/>
      <c r="G284" s="282">
        <v>11360</v>
      </c>
      <c r="H284" s="390">
        <f>+'LINE ITEM EXP'!C40</f>
        <v>11371</v>
      </c>
      <c r="I284" s="391">
        <f>+'LINE ITEM EXP'!D40</f>
        <v>6478</v>
      </c>
      <c r="J284" s="391">
        <f>+'LINE ITEM EXP'!E40</f>
        <v>12860</v>
      </c>
      <c r="K284" s="392">
        <f>G284</f>
        <v>11360</v>
      </c>
      <c r="L284" s="392">
        <f>G283</f>
        <v>15360</v>
      </c>
      <c r="M284" s="391">
        <f>SUM(M279:M283)</f>
        <v>0</v>
      </c>
      <c r="N284" s="393">
        <f>SUM(N279:N283)</f>
        <v>15360</v>
      </c>
      <c r="O284" s="386"/>
    </row>
    <row r="285" spans="1:15">
      <c r="A285" s="177">
        <v>790</v>
      </c>
      <c r="B285" s="178" t="s">
        <v>312</v>
      </c>
      <c r="C285" s="269" t="s">
        <v>313</v>
      </c>
      <c r="D285" s="179"/>
      <c r="E285" s="270"/>
      <c r="F285" s="184"/>
      <c r="G285" s="340">
        <v>0</v>
      </c>
      <c r="H285" s="99"/>
      <c r="I285" s="99"/>
      <c r="J285" s="99"/>
      <c r="K285" s="99"/>
      <c r="L285" s="99"/>
      <c r="M285" s="100">
        <v>0</v>
      </c>
      <c r="N285" s="105">
        <f>G285+M285</f>
        <v>0</v>
      </c>
      <c r="O285" s="386"/>
    </row>
    <row r="286" spans="1:15">
      <c r="A286" s="185"/>
      <c r="B286" s="92"/>
      <c r="C286" s="106" t="s">
        <v>311</v>
      </c>
      <c r="E286" s="97"/>
      <c r="F286" s="61"/>
      <c r="G286" s="276">
        <f>G285</f>
        <v>0</v>
      </c>
      <c r="H286" s="109"/>
      <c r="I286" s="108"/>
      <c r="J286" s="108"/>
      <c r="K286" s="109"/>
      <c r="L286" s="109"/>
      <c r="M286" s="100">
        <v>0</v>
      </c>
      <c r="N286" s="105"/>
      <c r="O286" s="386"/>
    </row>
    <row r="287" spans="1:15">
      <c r="A287" s="204"/>
      <c r="B287" s="277"/>
      <c r="C287" s="278" t="s">
        <v>140</v>
      </c>
      <c r="D287" s="205"/>
      <c r="E287" s="349"/>
      <c r="F287" s="350"/>
      <c r="G287" s="368">
        <v>46110</v>
      </c>
      <c r="H287" s="394">
        <f>'LINE ITEM EXP'!C41</f>
        <v>79970</v>
      </c>
      <c r="I287" s="395">
        <f>'LINE ITEM EXP'!D41</f>
        <v>23055</v>
      </c>
      <c r="J287" s="395">
        <f>'LINE ITEM EXP'!E41</f>
        <v>3500</v>
      </c>
      <c r="K287" s="396">
        <f>G287</f>
        <v>46110</v>
      </c>
      <c r="L287" s="396">
        <f>G286</f>
        <v>0</v>
      </c>
      <c r="M287" s="395">
        <f>SUM(M285:M286)</f>
        <v>0</v>
      </c>
      <c r="N287" s="397">
        <f>SUM(N285:N286)</f>
        <v>0</v>
      </c>
      <c r="O287" s="386"/>
    </row>
    <row r="288" spans="1:15" ht="13.5" thickBot="1">
      <c r="A288" s="189"/>
      <c r="B288" s="95"/>
      <c r="C288" s="152" t="s">
        <v>82</v>
      </c>
      <c r="E288" s="97"/>
      <c r="F288" s="61"/>
      <c r="G288" s="99"/>
      <c r="H288" s="158">
        <f>H287+H284+H277+H271+H265+H253+H244+H233+H228+H223+H219+H216+H210+H194+H189+H185+H182+H178+H256+H213+H175</f>
        <v>399730</v>
      </c>
      <c r="I288" s="158">
        <f>I287+I284+I277+I271+I265+I253+I244+I233+I228+I223+I219+I216+I210+I194+I189+I185+I182+I178+I256+I213+I175</f>
        <v>232302</v>
      </c>
      <c r="J288" s="158">
        <f>J287+J284+J277+J271+J265+J253+J244+J233+J228+J223+J219+J216+J210+J194+J189+J185+J182+J178+J256+J213+J175</f>
        <v>342089</v>
      </c>
      <c r="K288" s="158">
        <f>+K287+K284+K277+K271+K265+K253+K244+K233+K228+K223+K219+K216+K210+K194+K189+K185+K182+K178+K256+K213+K175</f>
        <v>353210</v>
      </c>
      <c r="L288" s="158">
        <f>L287+L284+L277+L271+L265+L253+L244+L233+L228+L223+L219+L216+L210+L194+L189+L185+L182+L178+L256+L213+L175</f>
        <v>358724</v>
      </c>
      <c r="M288" s="158">
        <f>M287+M284+M277+M271+M265+M253+M244+M233+M228+M223+M219+M216+M210+M194+M189+M185+M182+M178+M256+M213+M175</f>
        <v>0</v>
      </c>
      <c r="N288" s="407">
        <f>N287+N284+N277+N271+N265+N253+N244+N233+N228+N223+N219+N216+N210+N194+N189+N185+N182+N178+N256+N213+N175</f>
        <v>358724</v>
      </c>
      <c r="O288" s="399"/>
    </row>
    <row r="289" spans="1:15" ht="13.5" thickTop="1">
      <c r="A289" s="177">
        <v>810</v>
      </c>
      <c r="B289" s="326" t="s">
        <v>314</v>
      </c>
      <c r="C289" s="369" t="s">
        <v>315</v>
      </c>
      <c r="D289" s="179"/>
      <c r="E289" s="180"/>
      <c r="F289" s="181"/>
      <c r="G289" s="340">
        <v>0</v>
      </c>
      <c r="H289" s="182"/>
      <c r="I289" s="182"/>
      <c r="J289" s="182"/>
      <c r="K289" s="182"/>
      <c r="L289" s="182"/>
      <c r="M289" s="183">
        <v>0</v>
      </c>
      <c r="N289" s="408">
        <f>G289+M289</f>
        <v>0</v>
      </c>
      <c r="O289" s="400" t="s">
        <v>384</v>
      </c>
    </row>
    <row r="290" spans="1:15">
      <c r="A290" s="185"/>
      <c r="B290" s="92"/>
      <c r="C290" s="91" t="s">
        <v>316</v>
      </c>
      <c r="D290" s="61"/>
      <c r="E290" s="186"/>
      <c r="F290" s="187"/>
      <c r="G290" s="340">
        <v>10000</v>
      </c>
      <c r="H290" s="99"/>
      <c r="I290" s="120"/>
      <c r="J290" s="99"/>
      <c r="K290" s="99"/>
      <c r="L290" s="99"/>
      <c r="M290" s="100">
        <v>0</v>
      </c>
      <c r="N290" s="105">
        <f>G290+M290</f>
        <v>10000</v>
      </c>
      <c r="O290" s="386"/>
    </row>
    <row r="291" spans="1:15">
      <c r="A291" s="185"/>
      <c r="B291" s="92"/>
      <c r="C291" s="106" t="s">
        <v>317</v>
      </c>
      <c r="E291" s="188"/>
      <c r="F291" s="187"/>
      <c r="G291" s="276">
        <f>+G289+G290</f>
        <v>10000</v>
      </c>
      <c r="H291" s="109"/>
      <c r="I291" s="108"/>
      <c r="J291" s="108"/>
      <c r="K291" s="109"/>
      <c r="L291" s="109"/>
      <c r="M291" s="108"/>
      <c r="N291" s="298"/>
      <c r="O291" s="386"/>
    </row>
    <row r="292" spans="1:15">
      <c r="A292" s="204"/>
      <c r="B292" s="277"/>
      <c r="C292" s="278" t="s">
        <v>140</v>
      </c>
      <c r="D292" s="205"/>
      <c r="E292" s="349"/>
      <c r="F292" s="350"/>
      <c r="G292" s="282">
        <v>10000</v>
      </c>
      <c r="H292" s="394">
        <f>'LINE ITEM EXP'!C46</f>
        <v>8757</v>
      </c>
      <c r="I292" s="395">
        <f>'LINE ITEM EXP'!D46</f>
        <v>13796</v>
      </c>
      <c r="J292" s="395">
        <f>'LINE ITEM EXP'!E46</f>
        <v>19200</v>
      </c>
      <c r="K292" s="396">
        <f>G292</f>
        <v>10000</v>
      </c>
      <c r="L292" s="396">
        <f>G291</f>
        <v>10000</v>
      </c>
      <c r="M292" s="395">
        <f>SUM(M289:M291)</f>
        <v>0</v>
      </c>
      <c r="N292" s="397">
        <f>SUM(N289:N291)</f>
        <v>10000</v>
      </c>
      <c r="O292" s="386"/>
    </row>
    <row r="293" spans="1:15">
      <c r="A293" s="177">
        <v>815</v>
      </c>
      <c r="B293" s="178" t="s">
        <v>318</v>
      </c>
      <c r="C293" s="269"/>
      <c r="D293" s="179"/>
      <c r="E293" s="328"/>
      <c r="F293" s="184"/>
      <c r="G293" s="329"/>
      <c r="H293" s="99"/>
      <c r="I293" s="99"/>
      <c r="J293" s="99"/>
      <c r="K293" s="99"/>
      <c r="L293" s="99"/>
      <c r="M293" s="100"/>
      <c r="N293" s="105"/>
      <c r="O293" s="386"/>
    </row>
    <row r="294" spans="1:15">
      <c r="A294" s="185">
        <v>501</v>
      </c>
      <c r="B294" s="92" t="s">
        <v>319</v>
      </c>
      <c r="C294" s="91" t="s">
        <v>320</v>
      </c>
      <c r="D294" s="61"/>
      <c r="E294" s="148"/>
      <c r="F294" s="61"/>
      <c r="G294" s="340">
        <v>55323</v>
      </c>
      <c r="H294" s="99"/>
      <c r="I294" s="99"/>
      <c r="J294" s="99"/>
      <c r="K294" s="99"/>
      <c r="L294" s="99"/>
      <c r="M294" s="100">
        <v>0</v>
      </c>
      <c r="N294" s="105">
        <f>G294+M294</f>
        <v>55323</v>
      </c>
      <c r="O294" s="386"/>
    </row>
    <row r="295" spans="1:15">
      <c r="A295" s="185"/>
      <c r="B295" s="92"/>
      <c r="C295" s="106" t="s">
        <v>321</v>
      </c>
      <c r="E295" s="97"/>
      <c r="F295" s="61"/>
      <c r="G295" s="276">
        <f>SUM(G293:G294)</f>
        <v>55323</v>
      </c>
      <c r="H295" s="109"/>
      <c r="I295" s="108"/>
      <c r="J295" s="108"/>
      <c r="K295" s="109"/>
      <c r="L295" s="109"/>
      <c r="M295" s="108"/>
      <c r="N295" s="298"/>
      <c r="O295" s="386"/>
    </row>
    <row r="296" spans="1:15">
      <c r="A296" s="204"/>
      <c r="B296" s="277"/>
      <c r="C296" s="278" t="s">
        <v>140</v>
      </c>
      <c r="D296" s="205"/>
      <c r="E296" s="349"/>
      <c r="F296" s="350"/>
      <c r="G296" s="282">
        <v>53727</v>
      </c>
      <c r="H296" s="394">
        <f>'LINE ITEM EXP'!C47</f>
        <v>52409</v>
      </c>
      <c r="I296" s="395">
        <f>'LINE ITEM EXP'!D47</f>
        <v>17777</v>
      </c>
      <c r="J296" s="395">
        <f>'LINE ITEM EXP'!E47</f>
        <v>53727</v>
      </c>
      <c r="K296" s="396">
        <f>G296</f>
        <v>53727</v>
      </c>
      <c r="L296" s="396">
        <v>55876</v>
      </c>
      <c r="M296" s="395">
        <f>SUM(M293:M295)</f>
        <v>0</v>
      </c>
      <c r="N296" s="397">
        <v>55876</v>
      </c>
      <c r="O296" s="386" t="s">
        <v>378</v>
      </c>
    </row>
    <row r="297" spans="1:15">
      <c r="A297" s="177">
        <v>815</v>
      </c>
      <c r="B297" s="178" t="s">
        <v>318</v>
      </c>
      <c r="C297" s="269"/>
      <c r="D297" s="179"/>
      <c r="E297" s="328"/>
      <c r="F297" s="184"/>
      <c r="G297" s="329"/>
      <c r="H297" s="99"/>
      <c r="I297" s="99"/>
      <c r="J297" s="99"/>
      <c r="K297" s="99"/>
      <c r="L297" s="99"/>
      <c r="M297" s="100"/>
      <c r="N297" s="105"/>
      <c r="O297" s="386"/>
    </row>
    <row r="298" spans="1:15">
      <c r="A298" s="185">
        <v>502</v>
      </c>
      <c r="B298" s="92" t="s">
        <v>322</v>
      </c>
      <c r="C298" s="91" t="s">
        <v>320</v>
      </c>
      <c r="D298" s="102"/>
      <c r="E298" s="148"/>
      <c r="F298" s="61"/>
      <c r="G298" s="340">
        <v>57574</v>
      </c>
      <c r="H298" s="99"/>
      <c r="I298" s="99"/>
      <c r="J298" s="99"/>
      <c r="K298" s="99"/>
      <c r="L298" s="99"/>
      <c r="M298" s="100">
        <v>0</v>
      </c>
      <c r="N298" s="105">
        <f>G298+M298</f>
        <v>57574</v>
      </c>
      <c r="O298" s="386"/>
    </row>
    <row r="299" spans="1:15">
      <c r="A299" s="185"/>
      <c r="B299" s="92"/>
      <c r="C299" s="106" t="s">
        <v>321</v>
      </c>
      <c r="E299" s="97"/>
      <c r="F299" s="61"/>
      <c r="G299" s="276">
        <f>SUM(G298:G298)</f>
        <v>57574</v>
      </c>
      <c r="H299" s="109"/>
      <c r="I299" s="108"/>
      <c r="J299" s="108"/>
      <c r="K299" s="109"/>
      <c r="L299" s="109"/>
      <c r="M299" s="108"/>
      <c r="N299" s="298"/>
      <c r="O299" s="386"/>
    </row>
    <row r="300" spans="1:15">
      <c r="A300" s="204"/>
      <c r="B300" s="277"/>
      <c r="C300" s="278" t="s">
        <v>140</v>
      </c>
      <c r="D300" s="205"/>
      <c r="E300" s="349"/>
      <c r="F300" s="350"/>
      <c r="G300" s="282">
        <v>56817</v>
      </c>
      <c r="H300" s="394">
        <f>'LINE ITEM EXP'!C48</f>
        <v>54184</v>
      </c>
      <c r="I300" s="395">
        <f>'LINE ITEM EXP'!D48</f>
        <v>20395</v>
      </c>
      <c r="J300" s="395">
        <f>'LINE ITEM EXP'!E48</f>
        <v>56817</v>
      </c>
      <c r="K300" s="396">
        <f>G300</f>
        <v>56817</v>
      </c>
      <c r="L300" s="396">
        <v>59090</v>
      </c>
      <c r="M300" s="395">
        <f>SUM(M297:M299)</f>
        <v>0</v>
      </c>
      <c r="N300" s="397">
        <v>59090</v>
      </c>
      <c r="O300" s="386" t="s">
        <v>378</v>
      </c>
    </row>
    <row r="301" spans="1:15">
      <c r="A301" s="189">
        <v>815</v>
      </c>
      <c r="B301" s="95" t="s">
        <v>318</v>
      </c>
      <c r="C301" s="91"/>
      <c r="D301" s="115"/>
      <c r="E301" s="148"/>
      <c r="F301" s="61"/>
      <c r="G301" s="124"/>
      <c r="H301" s="100"/>
      <c r="I301" s="99"/>
      <c r="J301" s="99"/>
      <c r="K301" s="99"/>
      <c r="L301" s="99"/>
      <c r="M301" s="100"/>
      <c r="N301" s="105"/>
      <c r="O301" s="386"/>
    </row>
    <row r="302" spans="1:15">
      <c r="A302" s="185">
        <v>503</v>
      </c>
      <c r="B302" s="92" t="s">
        <v>323</v>
      </c>
      <c r="C302" s="91" t="s">
        <v>450</v>
      </c>
      <c r="D302" s="61"/>
      <c r="E302" s="148"/>
      <c r="F302" s="61"/>
      <c r="G302" s="340">
        <f>10500+6600</f>
        <v>17100</v>
      </c>
      <c r="H302" s="99"/>
      <c r="I302" s="99"/>
      <c r="J302" s="99"/>
      <c r="K302" s="99"/>
      <c r="L302" s="99"/>
      <c r="M302" s="100">
        <v>0</v>
      </c>
      <c r="N302" s="105">
        <f>G302+M302</f>
        <v>17100</v>
      </c>
      <c r="O302" s="386"/>
    </row>
    <row r="303" spans="1:15">
      <c r="A303" s="185"/>
      <c r="B303" s="92"/>
      <c r="C303" s="106" t="s">
        <v>321</v>
      </c>
      <c r="E303" s="97"/>
      <c r="F303" s="61"/>
      <c r="G303" s="107">
        <f>SUM(G302:G302)</f>
        <v>17100</v>
      </c>
      <c r="H303" s="108"/>
      <c r="I303" s="108"/>
      <c r="J303" s="108"/>
      <c r="K303" s="109"/>
      <c r="L303" s="109"/>
      <c r="M303" s="108"/>
      <c r="N303" s="298"/>
      <c r="O303" s="386"/>
    </row>
    <row r="304" spans="1:15">
      <c r="A304" s="185"/>
      <c r="B304" s="92"/>
      <c r="C304" s="264" t="s">
        <v>140</v>
      </c>
      <c r="E304" s="97"/>
      <c r="F304" s="61"/>
      <c r="G304" s="325">
        <v>10500</v>
      </c>
      <c r="H304" s="394">
        <f>'LINE ITEM EXP'!C49</f>
        <v>10340</v>
      </c>
      <c r="I304" s="395">
        <f>'LINE ITEM EXP'!D49</f>
        <v>3117</v>
      </c>
      <c r="J304" s="395">
        <f>'LINE ITEM EXP'!E49</f>
        <v>10500</v>
      </c>
      <c r="K304" s="396">
        <f>G304</f>
        <v>10500</v>
      </c>
      <c r="L304" s="396">
        <f>G303</f>
        <v>17100</v>
      </c>
      <c r="M304" s="395">
        <f>SUM(M301:M303)</f>
        <v>0</v>
      </c>
      <c r="N304" s="397">
        <f>SUM(N302:N303)</f>
        <v>17100</v>
      </c>
      <c r="O304" s="386"/>
    </row>
    <row r="305" spans="1:15">
      <c r="A305" s="177">
        <v>815</v>
      </c>
      <c r="B305" s="178" t="s">
        <v>318</v>
      </c>
      <c r="C305" s="269"/>
      <c r="D305" s="179"/>
      <c r="E305" s="328"/>
      <c r="F305" s="184"/>
      <c r="G305" s="329"/>
      <c r="H305" s="99"/>
      <c r="I305" s="99"/>
      <c r="J305" s="99"/>
      <c r="K305" s="99"/>
      <c r="L305" s="99"/>
      <c r="M305" s="100"/>
      <c r="N305" s="105"/>
      <c r="O305" s="386"/>
    </row>
    <row r="306" spans="1:15">
      <c r="A306" s="185">
        <v>504</v>
      </c>
      <c r="B306" s="92" t="s">
        <v>324</v>
      </c>
      <c r="C306" s="91" t="s">
        <v>324</v>
      </c>
      <c r="D306" s="190"/>
      <c r="E306" s="191"/>
      <c r="F306" s="192"/>
      <c r="G306" s="340">
        <v>13020</v>
      </c>
      <c r="H306" s="99"/>
      <c r="I306" s="99"/>
      <c r="J306" s="99"/>
      <c r="K306" s="99"/>
      <c r="L306" s="99"/>
      <c r="M306" s="100">
        <v>0</v>
      </c>
      <c r="N306" s="105">
        <f>G306+M306</f>
        <v>13020</v>
      </c>
      <c r="O306" s="386"/>
    </row>
    <row r="307" spans="1:15">
      <c r="A307" s="185"/>
      <c r="B307" s="92"/>
      <c r="C307" s="106" t="s">
        <v>321</v>
      </c>
      <c r="D307" s="193"/>
      <c r="E307" s="194"/>
      <c r="F307" s="192"/>
      <c r="G307" s="276">
        <f>G306</f>
        <v>13020</v>
      </c>
      <c r="H307" s="109"/>
      <c r="I307" s="108"/>
      <c r="J307" s="108"/>
      <c r="K307" s="109"/>
      <c r="L307" s="109"/>
      <c r="M307" s="108"/>
      <c r="N307" s="298"/>
      <c r="O307" s="386"/>
    </row>
    <row r="308" spans="1:15">
      <c r="A308" s="204"/>
      <c r="B308" s="277"/>
      <c r="C308" s="278" t="s">
        <v>140</v>
      </c>
      <c r="D308" s="370"/>
      <c r="E308" s="371"/>
      <c r="F308" s="372"/>
      <c r="G308" s="282">
        <v>13020</v>
      </c>
      <c r="H308" s="394">
        <f>'LINE ITEM EXP'!C50</f>
        <v>10287</v>
      </c>
      <c r="I308" s="395">
        <f>'LINE ITEM EXP'!D50</f>
        <v>4338</v>
      </c>
      <c r="J308" s="395">
        <f>'LINE ITEM EXP'!E50</f>
        <v>13020</v>
      </c>
      <c r="K308" s="396">
        <f>G308</f>
        <v>13020</v>
      </c>
      <c r="L308" s="396">
        <f>G307</f>
        <v>13020</v>
      </c>
      <c r="M308" s="395">
        <f>SUM(M305:M307)</f>
        <v>0</v>
      </c>
      <c r="N308" s="397">
        <f>SUM(N306:N307)</f>
        <v>13020</v>
      </c>
      <c r="O308" s="386"/>
    </row>
    <row r="309" spans="1:15">
      <c r="A309" s="177">
        <v>815</v>
      </c>
      <c r="B309" s="178" t="s">
        <v>318</v>
      </c>
      <c r="C309" s="269"/>
      <c r="D309" s="179"/>
      <c r="E309" s="328"/>
      <c r="F309" s="184"/>
      <c r="G309" s="329"/>
      <c r="H309" s="99"/>
      <c r="I309" s="99"/>
      <c r="J309" s="99"/>
      <c r="K309" s="99"/>
      <c r="L309" s="99"/>
      <c r="M309" s="100"/>
      <c r="N309" s="105"/>
      <c r="O309" s="386"/>
    </row>
    <row r="310" spans="1:15">
      <c r="A310" s="185">
        <v>506</v>
      </c>
      <c r="B310" s="92" t="s">
        <v>325</v>
      </c>
      <c r="C310" s="91" t="s">
        <v>326</v>
      </c>
      <c r="D310" s="61"/>
      <c r="E310" s="148"/>
      <c r="F310" s="61"/>
      <c r="G310" s="340">
        <v>16325</v>
      </c>
      <c r="H310" s="99"/>
      <c r="I310" s="99"/>
      <c r="J310" s="99"/>
      <c r="K310" s="99"/>
      <c r="L310" s="99"/>
      <c r="M310" s="100">
        <v>0</v>
      </c>
      <c r="N310" s="105">
        <f>G310+M310</f>
        <v>16325</v>
      </c>
      <c r="O310" s="386"/>
    </row>
    <row r="311" spans="1:15">
      <c r="A311" s="185"/>
      <c r="B311" s="92"/>
      <c r="C311" s="106" t="s">
        <v>321</v>
      </c>
      <c r="E311" s="97"/>
      <c r="F311" s="61"/>
      <c r="G311" s="276">
        <f>G310</f>
        <v>16325</v>
      </c>
      <c r="H311" s="109"/>
      <c r="I311" s="108"/>
      <c r="J311" s="108"/>
      <c r="K311" s="109"/>
      <c r="L311" s="109"/>
      <c r="M311" s="108"/>
      <c r="N311" s="298"/>
      <c r="O311" s="386"/>
    </row>
    <row r="312" spans="1:15">
      <c r="A312" s="204"/>
      <c r="B312" s="277"/>
      <c r="C312" s="278" t="s">
        <v>140</v>
      </c>
      <c r="D312" s="205"/>
      <c r="E312" s="349"/>
      <c r="F312" s="350"/>
      <c r="G312" s="282">
        <v>15760</v>
      </c>
      <c r="H312" s="394">
        <f>'LINE ITEM EXP'!C51</f>
        <v>14374</v>
      </c>
      <c r="I312" s="395">
        <f>'LINE ITEM EXP'!D51</f>
        <v>15761</v>
      </c>
      <c r="J312" s="395">
        <f>'LINE ITEM EXP'!E51</f>
        <v>14634</v>
      </c>
      <c r="K312" s="396">
        <f>G312</f>
        <v>15760</v>
      </c>
      <c r="L312" s="396">
        <f>G311</f>
        <v>16325</v>
      </c>
      <c r="M312" s="395">
        <f>SUM(M309:M311)</f>
        <v>0</v>
      </c>
      <c r="N312" s="397">
        <f>SUM(N310:N311)</f>
        <v>16325</v>
      </c>
      <c r="O312" s="386" t="s">
        <v>327</v>
      </c>
    </row>
    <row r="313" spans="1:15">
      <c r="A313" s="177">
        <v>815</v>
      </c>
      <c r="B313" s="178" t="s">
        <v>318</v>
      </c>
      <c r="C313" s="269"/>
      <c r="D313" s="179"/>
      <c r="E313" s="328"/>
      <c r="F313" s="184"/>
      <c r="G313" s="329"/>
      <c r="H313" s="99"/>
      <c r="I313" s="99"/>
      <c r="J313" s="99"/>
      <c r="K313" s="99"/>
      <c r="L313" s="99"/>
      <c r="M313" s="100"/>
      <c r="N313" s="105"/>
      <c r="O313" s="386"/>
    </row>
    <row r="314" spans="1:15">
      <c r="A314" s="185">
        <v>508</v>
      </c>
      <c r="B314" s="92" t="s">
        <v>328</v>
      </c>
      <c r="C314" s="91" t="s">
        <v>329</v>
      </c>
      <c r="D314" s="61"/>
      <c r="E314" s="148"/>
      <c r="F314" s="61"/>
      <c r="G314" s="340">
        <v>6637</v>
      </c>
      <c r="H314" s="99"/>
      <c r="I314" s="99"/>
      <c r="J314" s="99"/>
      <c r="K314" s="99"/>
      <c r="L314" s="99"/>
      <c r="M314" s="100">
        <v>0</v>
      </c>
      <c r="N314" s="105">
        <f>G314+M314</f>
        <v>6637</v>
      </c>
      <c r="O314" s="386"/>
    </row>
    <row r="315" spans="1:15">
      <c r="A315" s="185"/>
      <c r="B315" s="92"/>
      <c r="C315" s="106" t="s">
        <v>321</v>
      </c>
      <c r="E315" s="97"/>
      <c r="F315" s="61"/>
      <c r="G315" s="276">
        <f>G314</f>
        <v>6637</v>
      </c>
      <c r="H315" s="109"/>
      <c r="I315" s="108"/>
      <c r="J315" s="108"/>
      <c r="K315" s="109"/>
      <c r="L315" s="109"/>
      <c r="M315" s="108"/>
      <c r="N315" s="298"/>
      <c r="O315" s="386"/>
    </row>
    <row r="316" spans="1:15">
      <c r="A316" s="204"/>
      <c r="B316" s="277"/>
      <c r="C316" s="278" t="s">
        <v>140</v>
      </c>
      <c r="D316" s="205"/>
      <c r="E316" s="349"/>
      <c r="F316" s="350"/>
      <c r="G316" s="282">
        <v>6836</v>
      </c>
      <c r="H316" s="394">
        <f>+'LINE ITEM EXP'!C52</f>
        <v>6441</v>
      </c>
      <c r="I316" s="395">
        <f>+'LINE ITEM EXP'!D52</f>
        <v>6426</v>
      </c>
      <c r="J316" s="395">
        <f>+'LINE ITEM EXP'!E52</f>
        <v>6836</v>
      </c>
      <c r="K316" s="396">
        <f>G316</f>
        <v>6836</v>
      </c>
      <c r="L316" s="396">
        <f>G315</f>
        <v>6637</v>
      </c>
      <c r="M316" s="395">
        <f>SUM(M313:M315)</f>
        <v>0</v>
      </c>
      <c r="N316" s="397">
        <f>SUM(N314:N315)</f>
        <v>6637</v>
      </c>
      <c r="O316" s="386"/>
    </row>
    <row r="317" spans="1:15">
      <c r="A317" s="177">
        <v>850</v>
      </c>
      <c r="B317" s="178" t="s">
        <v>330</v>
      </c>
      <c r="C317" s="373"/>
      <c r="D317" s="374"/>
      <c r="E317" s="328"/>
      <c r="F317" s="184"/>
      <c r="G317" s="329"/>
      <c r="H317" s="99"/>
      <c r="I317" s="99"/>
      <c r="J317" s="99"/>
      <c r="K317" s="99"/>
      <c r="L317" s="99"/>
      <c r="M317" s="100"/>
      <c r="N317" s="105"/>
      <c r="O317" s="386"/>
    </row>
    <row r="318" spans="1:15">
      <c r="A318" s="185"/>
      <c r="B318" s="95" t="s">
        <v>331</v>
      </c>
      <c r="C318" s="119" t="s">
        <v>332</v>
      </c>
      <c r="D318" s="61"/>
      <c r="E318" s="148"/>
      <c r="F318" s="61"/>
      <c r="G318" s="340">
        <v>0</v>
      </c>
      <c r="H318" s="99"/>
      <c r="I318" s="120"/>
      <c r="J318" s="99"/>
      <c r="K318" s="99"/>
      <c r="L318" s="99"/>
      <c r="M318" s="100">
        <v>0</v>
      </c>
      <c r="N318" s="105">
        <f>G318+M318</f>
        <v>0</v>
      </c>
      <c r="O318" s="386"/>
    </row>
    <row r="319" spans="1:15">
      <c r="A319" s="185"/>
      <c r="B319" s="92"/>
      <c r="C319" s="106" t="s">
        <v>333</v>
      </c>
      <c r="E319" s="97"/>
      <c r="F319" s="61"/>
      <c r="G319" s="276">
        <f>G318</f>
        <v>0</v>
      </c>
      <c r="H319" s="109"/>
      <c r="I319" s="108"/>
      <c r="J319" s="108"/>
      <c r="K319" s="109"/>
      <c r="L319" s="109"/>
      <c r="M319" s="108"/>
      <c r="N319" s="298"/>
      <c r="O319" s="386"/>
    </row>
    <row r="320" spans="1:15">
      <c r="A320" s="204"/>
      <c r="B320" s="277"/>
      <c r="C320" s="278" t="s">
        <v>140</v>
      </c>
      <c r="D320" s="205"/>
      <c r="E320" s="349"/>
      <c r="F320" s="350"/>
      <c r="G320" s="282">
        <v>0</v>
      </c>
      <c r="H320" s="394">
        <f>'LINE ITEM EXP'!C53</f>
        <v>0</v>
      </c>
      <c r="I320" s="395">
        <f>'LINE ITEM EXP'!D53</f>
        <v>0</v>
      </c>
      <c r="J320" s="395">
        <f>'LINE ITEM EXP'!E53</f>
        <v>70000</v>
      </c>
      <c r="K320" s="396">
        <f>G320</f>
        <v>0</v>
      </c>
      <c r="L320" s="396">
        <f>G319</f>
        <v>0</v>
      </c>
      <c r="M320" s="395">
        <f>SUM(M318:M319)</f>
        <v>0</v>
      </c>
      <c r="N320" s="397">
        <f>SUM(N318:N319)</f>
        <v>0</v>
      </c>
      <c r="O320" s="386"/>
    </row>
    <row r="321" spans="1:15">
      <c r="A321" s="177">
        <v>899</v>
      </c>
      <c r="B321" s="178" t="s">
        <v>334</v>
      </c>
      <c r="C321" s="269"/>
      <c r="D321" s="179"/>
      <c r="E321" s="328"/>
      <c r="F321" s="184"/>
      <c r="G321" s="329"/>
      <c r="H321" s="99"/>
      <c r="I321" s="99"/>
      <c r="J321" s="99"/>
      <c r="K321" s="99"/>
      <c r="L321" s="99"/>
      <c r="M321" s="100"/>
      <c r="N321" s="105"/>
      <c r="O321" s="386"/>
    </row>
    <row r="322" spans="1:15">
      <c r="A322" s="185"/>
      <c r="B322" s="92"/>
      <c r="C322" s="119" t="s">
        <v>335</v>
      </c>
      <c r="D322" s="162"/>
      <c r="E322" s="148"/>
      <c r="F322" s="61"/>
      <c r="G322" s="340"/>
      <c r="H322" s="99"/>
      <c r="I322" s="120"/>
      <c r="J322" s="99"/>
      <c r="K322" s="99"/>
      <c r="L322" s="99"/>
      <c r="M322" s="100">
        <v>0</v>
      </c>
      <c r="N322" s="298">
        <f>G322+M322</f>
        <v>0</v>
      </c>
      <c r="O322" s="386"/>
    </row>
    <row r="323" spans="1:15">
      <c r="A323" s="185"/>
      <c r="B323" s="92"/>
      <c r="C323" s="106" t="s">
        <v>321</v>
      </c>
      <c r="E323" s="97"/>
      <c r="F323" s="61"/>
      <c r="G323" s="276">
        <f>G322</f>
        <v>0</v>
      </c>
      <c r="H323" s="109"/>
      <c r="I323" s="108"/>
      <c r="J323" s="108"/>
      <c r="K323" s="109"/>
      <c r="L323" s="109"/>
      <c r="M323" s="108"/>
      <c r="N323" s="298"/>
      <c r="O323" s="386"/>
    </row>
    <row r="324" spans="1:15">
      <c r="A324" s="204"/>
      <c r="B324" s="277"/>
      <c r="C324" s="278" t="s">
        <v>140</v>
      </c>
      <c r="D324" s="205"/>
      <c r="E324" s="349"/>
      <c r="F324" s="350"/>
      <c r="G324" s="282">
        <v>0</v>
      </c>
      <c r="H324" s="394">
        <f>+'LINE ITEM EXP'!C54</f>
        <v>0</v>
      </c>
      <c r="I324" s="395">
        <f>+'LINE ITEM EXP'!D54</f>
        <v>0</v>
      </c>
      <c r="J324" s="395">
        <f>+'LINE ITEM EXP'!E54</f>
        <v>0</v>
      </c>
      <c r="K324" s="396">
        <f>G324</f>
        <v>0</v>
      </c>
      <c r="L324" s="396">
        <f>G323</f>
        <v>0</v>
      </c>
      <c r="M324" s="395">
        <f>SUM(M321:M323)</f>
        <v>0</v>
      </c>
      <c r="N324" s="397">
        <f>SUM(N322:N323)</f>
        <v>0</v>
      </c>
      <c r="O324" s="386"/>
    </row>
    <row r="325" spans="1:15" ht="13.5" thickBot="1">
      <c r="A325" s="361"/>
      <c r="B325" s="375"/>
      <c r="C325" s="376" t="s">
        <v>336</v>
      </c>
      <c r="D325" s="377"/>
      <c r="E325" s="378"/>
      <c r="F325" s="379"/>
      <c r="G325" s="380"/>
      <c r="H325" s="158">
        <f t="shared" ref="H325:K325" si="55">H308+H304+H300+H296+H292+H324+H312+H320+H316</f>
        <v>156792</v>
      </c>
      <c r="I325" s="199">
        <f t="shared" si="55"/>
        <v>81610</v>
      </c>
      <c r="J325" s="199">
        <f t="shared" si="55"/>
        <v>244734</v>
      </c>
      <c r="K325" s="199">
        <f t="shared" si="55"/>
        <v>166660</v>
      </c>
      <c r="L325" s="199">
        <f>L308+L304+L300+L296+L292+L324+L312+L320+L316</f>
        <v>178048</v>
      </c>
      <c r="M325" s="199">
        <f t="shared" ref="M325:N325" si="56">M308+M304+M300+M296+M292+M324+M312+M320+M316</f>
        <v>0</v>
      </c>
      <c r="N325" s="409">
        <f t="shared" si="56"/>
        <v>178048</v>
      </c>
      <c r="O325" s="386"/>
    </row>
    <row r="326" spans="1:15" ht="13.5" thickTop="1">
      <c r="A326" s="185"/>
      <c r="B326" s="92"/>
      <c r="C326" s="91"/>
      <c r="E326" s="113"/>
      <c r="F326" s="131"/>
      <c r="G326" s="114"/>
      <c r="H326" s="100"/>
      <c r="I326" s="99"/>
      <c r="J326" s="99"/>
      <c r="K326" s="99"/>
      <c r="L326" s="99"/>
      <c r="M326" s="108"/>
      <c r="N326" s="298"/>
      <c r="O326" s="386"/>
    </row>
    <row r="327" spans="1:15" ht="13.5" thickBot="1">
      <c r="A327" s="200"/>
      <c r="B327" s="153"/>
      <c r="C327" s="154" t="s">
        <v>337</v>
      </c>
      <c r="D327" s="155"/>
      <c r="E327" s="156"/>
      <c r="F327" s="157"/>
      <c r="G327" s="176"/>
      <c r="H327" s="159">
        <f t="shared" ref="H327:N327" si="57">H321+H325</f>
        <v>156792</v>
      </c>
      <c r="I327" s="159">
        <f t="shared" si="57"/>
        <v>81610</v>
      </c>
      <c r="J327" s="159">
        <f t="shared" si="57"/>
        <v>244734</v>
      </c>
      <c r="K327" s="159">
        <f t="shared" si="57"/>
        <v>166660</v>
      </c>
      <c r="L327" s="159">
        <f t="shared" si="57"/>
        <v>178048</v>
      </c>
      <c r="M327" s="159">
        <f>M325</f>
        <v>0</v>
      </c>
      <c r="N327" s="405">
        <f t="shared" si="57"/>
        <v>178048</v>
      </c>
      <c r="O327" s="386"/>
    </row>
    <row r="328" spans="1:15" ht="13.5" thickTop="1">
      <c r="A328" s="201" t="s">
        <v>338</v>
      </c>
      <c r="B328" s="95" t="s">
        <v>318</v>
      </c>
      <c r="C328" s="91"/>
      <c r="D328" s="115"/>
      <c r="E328" s="148"/>
      <c r="F328" s="61"/>
      <c r="G328" s="124"/>
      <c r="H328" s="100"/>
      <c r="I328" s="99"/>
      <c r="J328" s="99"/>
      <c r="K328" s="99"/>
      <c r="L328" s="99"/>
      <c r="M328" s="100"/>
      <c r="N328" s="105"/>
      <c r="O328" s="386"/>
    </row>
    <row r="329" spans="1:15">
      <c r="A329" s="202"/>
      <c r="B329" s="95"/>
      <c r="C329" s="91"/>
      <c r="D329" s="61"/>
      <c r="E329" s="148"/>
      <c r="F329" s="61"/>
      <c r="G329" s="340">
        <v>0</v>
      </c>
      <c r="H329" s="99"/>
      <c r="I329" s="99"/>
      <c r="J329" s="99"/>
      <c r="K329" s="99"/>
      <c r="L329" s="99"/>
      <c r="M329" s="100">
        <v>0</v>
      </c>
      <c r="N329" s="105">
        <f>G329+M329</f>
        <v>0</v>
      </c>
      <c r="O329" s="386"/>
    </row>
    <row r="330" spans="1:15">
      <c r="A330" s="185"/>
      <c r="B330" s="92"/>
      <c r="C330" s="106" t="s">
        <v>339</v>
      </c>
      <c r="E330" s="97"/>
      <c r="F330" s="61"/>
      <c r="G330" s="107">
        <f>SUM(G329:G329)</f>
        <v>0</v>
      </c>
      <c r="H330" s="108"/>
      <c r="I330" s="108"/>
      <c r="J330" s="108"/>
      <c r="K330" s="109"/>
      <c r="L330" s="109"/>
      <c r="M330" s="108"/>
      <c r="N330" s="298"/>
      <c r="O330" s="386"/>
    </row>
    <row r="331" spans="1:15">
      <c r="A331" s="185"/>
      <c r="B331" s="92"/>
      <c r="C331" s="264" t="s">
        <v>140</v>
      </c>
      <c r="E331" s="97"/>
      <c r="F331" s="61"/>
      <c r="G331" s="325"/>
      <c r="H331" s="394">
        <v>0</v>
      </c>
      <c r="I331" s="395">
        <v>0</v>
      </c>
      <c r="J331" s="395">
        <v>0</v>
      </c>
      <c r="K331" s="396">
        <f>G331</f>
        <v>0</v>
      </c>
      <c r="L331" s="396">
        <f>G330</f>
        <v>0</v>
      </c>
      <c r="M331" s="395">
        <f>SUM(M328:M330)</f>
        <v>0</v>
      </c>
      <c r="N331" s="397">
        <f>SUM(N329:N330)</f>
        <v>0</v>
      </c>
      <c r="O331" s="386"/>
    </row>
    <row r="332" spans="1:15">
      <c r="A332" s="381" t="s">
        <v>338</v>
      </c>
      <c r="B332" s="178" t="s">
        <v>318</v>
      </c>
      <c r="C332" s="269"/>
      <c r="D332" s="179"/>
      <c r="E332" s="328"/>
      <c r="F332" s="184"/>
      <c r="G332" s="329"/>
      <c r="H332" s="99"/>
      <c r="I332" s="99"/>
      <c r="J332" s="99"/>
      <c r="K332" s="99"/>
      <c r="L332" s="99"/>
      <c r="M332" s="100"/>
      <c r="N332" s="105"/>
      <c r="O332" s="386"/>
    </row>
    <row r="333" spans="1:15">
      <c r="A333" s="202">
        <v>502</v>
      </c>
      <c r="B333" s="95" t="s">
        <v>340</v>
      </c>
      <c r="C333" s="91"/>
      <c r="D333" s="61"/>
      <c r="E333" s="148"/>
      <c r="F333" s="61"/>
      <c r="G333" s="340">
        <v>0</v>
      </c>
      <c r="H333" s="99"/>
      <c r="I333" s="99"/>
      <c r="J333" s="99"/>
      <c r="K333" s="99"/>
      <c r="L333" s="99"/>
      <c r="M333" s="100">
        <v>0</v>
      </c>
      <c r="N333" s="105">
        <f>G333+M333</f>
        <v>0</v>
      </c>
      <c r="O333" s="386"/>
    </row>
    <row r="334" spans="1:15">
      <c r="A334" s="185"/>
      <c r="B334" s="92"/>
      <c r="C334" s="106" t="s">
        <v>341</v>
      </c>
      <c r="E334" s="97"/>
      <c r="F334" s="61"/>
      <c r="G334" s="276">
        <f>SUM(G333:G333)</f>
        <v>0</v>
      </c>
      <c r="H334" s="109"/>
      <c r="I334" s="108"/>
      <c r="J334" s="108"/>
      <c r="K334" s="109"/>
      <c r="L334" s="109"/>
      <c r="M334" s="108"/>
      <c r="N334" s="298"/>
      <c r="O334" s="386"/>
    </row>
    <row r="335" spans="1:15">
      <c r="A335" s="204"/>
      <c r="B335" s="277"/>
      <c r="C335" s="278" t="s">
        <v>140</v>
      </c>
      <c r="D335" s="205"/>
      <c r="E335" s="349"/>
      <c r="F335" s="350"/>
      <c r="G335" s="282">
        <v>0</v>
      </c>
      <c r="H335" s="394">
        <v>0</v>
      </c>
      <c r="I335" s="395">
        <v>0</v>
      </c>
      <c r="J335" s="395">
        <v>0</v>
      </c>
      <c r="K335" s="396">
        <f>G335</f>
        <v>0</v>
      </c>
      <c r="L335" s="396">
        <f>G334</f>
        <v>0</v>
      </c>
      <c r="M335" s="395">
        <f>SUM(M332:M334)</f>
        <v>0</v>
      </c>
      <c r="N335" s="397">
        <f>SUM(N333:N334)</f>
        <v>0</v>
      </c>
      <c r="O335" s="386"/>
    </row>
    <row r="336" spans="1:15">
      <c r="A336" s="381" t="s">
        <v>338</v>
      </c>
      <c r="B336" s="178" t="s">
        <v>318</v>
      </c>
      <c r="C336" s="269"/>
      <c r="D336" s="179"/>
      <c r="E336" s="328"/>
      <c r="F336" s="184"/>
      <c r="G336" s="329"/>
      <c r="H336" s="99"/>
      <c r="I336" s="99"/>
      <c r="J336" s="99"/>
      <c r="K336" s="99"/>
      <c r="L336" s="99"/>
      <c r="M336" s="100"/>
      <c r="N336" s="105"/>
      <c r="O336" s="386"/>
    </row>
    <row r="337" spans="1:15">
      <c r="A337" s="202">
        <v>503</v>
      </c>
      <c r="B337" s="95" t="s">
        <v>342</v>
      </c>
      <c r="C337" s="91"/>
      <c r="D337" s="61"/>
      <c r="E337" s="148"/>
      <c r="F337" s="61"/>
      <c r="G337" s="340">
        <v>0</v>
      </c>
      <c r="H337" s="99"/>
      <c r="I337" s="99"/>
      <c r="J337" s="99"/>
      <c r="K337" s="99"/>
      <c r="L337" s="99"/>
      <c r="M337" s="100">
        <v>0</v>
      </c>
      <c r="N337" s="105">
        <f>G337+M337</f>
        <v>0</v>
      </c>
      <c r="O337" s="386"/>
    </row>
    <row r="338" spans="1:15">
      <c r="A338" s="185"/>
      <c r="B338" s="92"/>
      <c r="C338" s="106" t="s">
        <v>343</v>
      </c>
      <c r="E338" s="97"/>
      <c r="F338" s="61"/>
      <c r="G338" s="276">
        <f>SUM(G337:G337)</f>
        <v>0</v>
      </c>
      <c r="H338" s="109"/>
      <c r="I338" s="108"/>
      <c r="J338" s="108"/>
      <c r="K338" s="109"/>
      <c r="L338" s="109"/>
      <c r="M338" s="108"/>
      <c r="N338" s="298"/>
      <c r="O338" s="386"/>
    </row>
    <row r="339" spans="1:15">
      <c r="A339" s="204"/>
      <c r="B339" s="277"/>
      <c r="C339" s="278" t="s">
        <v>140</v>
      </c>
      <c r="D339" s="205"/>
      <c r="E339" s="349"/>
      <c r="F339" s="350"/>
      <c r="G339" s="282">
        <v>0</v>
      </c>
      <c r="H339" s="394">
        <v>0</v>
      </c>
      <c r="I339" s="395">
        <v>0</v>
      </c>
      <c r="J339" s="395">
        <v>0</v>
      </c>
      <c r="K339" s="396">
        <f>G339</f>
        <v>0</v>
      </c>
      <c r="L339" s="396">
        <f>G338</f>
        <v>0</v>
      </c>
      <c r="M339" s="395">
        <f>SUM(M336:M338)</f>
        <v>0</v>
      </c>
      <c r="N339" s="397">
        <f>SUM(N337:N338)</f>
        <v>0</v>
      </c>
      <c r="O339" s="386"/>
    </row>
    <row r="340" spans="1:15" ht="13.5" thickBot="1">
      <c r="A340" s="195"/>
      <c r="B340" s="196"/>
      <c r="C340" s="197" t="s">
        <v>344</v>
      </c>
      <c r="D340" s="155"/>
      <c r="E340" s="156"/>
      <c r="F340" s="157"/>
      <c r="G340" s="198"/>
      <c r="H340" s="199">
        <f>+H326+H330+H339</f>
        <v>0</v>
      </c>
      <c r="I340" s="199">
        <f>+I326+I330+I339</f>
        <v>0</v>
      </c>
      <c r="J340" s="199">
        <f>+J326+J330+J339</f>
        <v>0</v>
      </c>
      <c r="K340" s="199">
        <f>+K326+K330+K339</f>
        <v>0</v>
      </c>
      <c r="L340" s="199">
        <f>+L326+L331+L339</f>
        <v>0</v>
      </c>
      <c r="M340" s="199">
        <f>+M326+M331+M339</f>
        <v>0</v>
      </c>
      <c r="N340" s="409">
        <f>+N326+N331+N339</f>
        <v>0</v>
      </c>
      <c r="O340" s="386"/>
    </row>
    <row r="341" spans="1:15" ht="13.5" thickTop="1">
      <c r="A341" s="201" t="s">
        <v>345</v>
      </c>
      <c r="B341" s="95" t="s">
        <v>318</v>
      </c>
      <c r="C341" s="119" t="s">
        <v>346</v>
      </c>
      <c r="D341" s="115"/>
      <c r="E341" s="148"/>
      <c r="F341" s="61"/>
      <c r="G341" s="124"/>
      <c r="H341" s="100"/>
      <c r="I341" s="99"/>
      <c r="J341" s="99"/>
      <c r="K341" s="99"/>
      <c r="L341" s="99"/>
      <c r="M341" s="100"/>
      <c r="N341" s="105"/>
      <c r="O341" s="386"/>
    </row>
    <row r="342" spans="1:15">
      <c r="A342" s="202"/>
      <c r="B342" s="95"/>
      <c r="C342" s="91" t="s">
        <v>451</v>
      </c>
      <c r="D342" s="61"/>
      <c r="E342" s="148"/>
      <c r="F342" s="61"/>
      <c r="G342" s="340">
        <v>40000</v>
      </c>
      <c r="H342" s="99"/>
      <c r="I342" s="99"/>
      <c r="J342" s="99"/>
      <c r="K342" s="99"/>
      <c r="L342" s="99"/>
      <c r="M342" s="100">
        <v>0</v>
      </c>
      <c r="N342" s="298">
        <f>G342+M342</f>
        <v>40000</v>
      </c>
      <c r="O342" s="386"/>
    </row>
    <row r="343" spans="1:15">
      <c r="A343" s="202"/>
      <c r="B343" s="95"/>
      <c r="C343" s="91" t="s">
        <v>452</v>
      </c>
      <c r="D343" s="61"/>
      <c r="E343" s="148"/>
      <c r="F343" s="61"/>
      <c r="G343" s="383">
        <v>63000</v>
      </c>
      <c r="H343" s="99"/>
      <c r="I343" s="99"/>
      <c r="J343" s="99"/>
      <c r="K343" s="99"/>
      <c r="L343" s="99"/>
      <c r="M343" s="100">
        <v>0</v>
      </c>
      <c r="N343" s="298">
        <f>G343+M343</f>
        <v>63000</v>
      </c>
      <c r="O343" s="386"/>
    </row>
    <row r="344" spans="1:15">
      <c r="A344" s="185"/>
      <c r="B344" s="92"/>
      <c r="C344" s="106" t="s">
        <v>347</v>
      </c>
      <c r="E344" s="97"/>
      <c r="F344" s="61"/>
      <c r="G344" s="107">
        <f>SUM(G342:G343)</f>
        <v>103000</v>
      </c>
      <c r="H344" s="108"/>
      <c r="I344" s="108"/>
      <c r="J344" s="108"/>
      <c r="K344" s="109"/>
      <c r="L344" s="109"/>
      <c r="M344" s="108"/>
      <c r="N344" s="298"/>
      <c r="O344" s="386"/>
    </row>
    <row r="345" spans="1:15" ht="13.5" thickBot="1">
      <c r="A345" s="204"/>
      <c r="B345" s="277"/>
      <c r="C345" s="278" t="s">
        <v>140</v>
      </c>
      <c r="D345" s="205"/>
      <c r="E345" s="349"/>
      <c r="F345" s="350"/>
      <c r="G345" s="382">
        <v>0</v>
      </c>
      <c r="H345" s="110">
        <f>+'LINE ITEM EXP'!C58</f>
        <v>8290</v>
      </c>
      <c r="I345" s="110">
        <f>+'LINE ITEM EXP'!D58</f>
        <v>0</v>
      </c>
      <c r="J345" s="110">
        <f>+'LINE ITEM EXP'!E58</f>
        <v>0</v>
      </c>
      <c r="K345" s="111">
        <f>G345</f>
        <v>0</v>
      </c>
      <c r="L345" s="111">
        <f>G344</f>
        <v>103000</v>
      </c>
      <c r="M345" s="110">
        <f>SUM(M341:M344)</f>
        <v>0</v>
      </c>
      <c r="N345" s="410">
        <f>SUM(N342:N344)</f>
        <v>103000</v>
      </c>
      <c r="O345" s="386"/>
    </row>
    <row r="346" spans="1:15" ht="14.25" thickTop="1" thickBot="1">
      <c r="A346" s="195"/>
      <c r="B346" s="196"/>
      <c r="C346" s="197" t="s">
        <v>348</v>
      </c>
      <c r="D346" s="155"/>
      <c r="E346" s="156"/>
      <c r="F346" s="157"/>
      <c r="G346" s="198"/>
      <c r="H346" s="199">
        <f t="shared" ref="H346:N346" si="58">+H331+H335+H345+H339</f>
        <v>8290</v>
      </c>
      <c r="I346" s="199">
        <f t="shared" si="58"/>
        <v>0</v>
      </c>
      <c r="J346" s="199">
        <f t="shared" si="58"/>
        <v>0</v>
      </c>
      <c r="K346" s="199">
        <f t="shared" si="58"/>
        <v>0</v>
      </c>
      <c r="L346" s="199">
        <f t="shared" si="58"/>
        <v>103000</v>
      </c>
      <c r="M346" s="199">
        <f t="shared" si="58"/>
        <v>0</v>
      </c>
      <c r="N346" s="409">
        <f t="shared" si="58"/>
        <v>103000</v>
      </c>
      <c r="O346" s="386"/>
    </row>
    <row r="347" spans="1:15" ht="13.5" thickTop="1">
      <c r="A347" s="189"/>
      <c r="B347" s="95" t="s">
        <v>349</v>
      </c>
      <c r="C347" s="91"/>
      <c r="D347" s="115"/>
      <c r="E347" s="148"/>
      <c r="F347" s="61"/>
      <c r="G347" s="124"/>
      <c r="H347" s="100"/>
      <c r="I347" s="99"/>
      <c r="J347" s="99"/>
      <c r="K347" s="99"/>
      <c r="L347" s="99"/>
      <c r="M347" s="100"/>
      <c r="N347" s="105"/>
      <c r="O347" s="386"/>
    </row>
    <row r="348" spans="1:15">
      <c r="A348" s="185"/>
      <c r="B348" s="92"/>
      <c r="C348" s="91" t="s">
        <v>350</v>
      </c>
      <c r="D348" s="61"/>
      <c r="E348" s="148"/>
      <c r="F348" s="61"/>
      <c r="G348" s="115">
        <v>325000</v>
      </c>
      <c r="H348" s="100"/>
      <c r="I348" s="99"/>
      <c r="J348" s="99"/>
      <c r="K348" s="99"/>
      <c r="L348" s="99"/>
      <c r="M348" s="100">
        <v>0</v>
      </c>
      <c r="N348" s="105">
        <f>G348+M348</f>
        <v>325000</v>
      </c>
      <c r="O348" s="386"/>
    </row>
    <row r="349" spans="1:15">
      <c r="A349" s="185"/>
      <c r="B349" s="92"/>
      <c r="C349" s="106" t="s">
        <v>351</v>
      </c>
      <c r="E349" s="97"/>
      <c r="F349" s="61"/>
      <c r="G349" s="107">
        <f>SUM(G348:G348)</f>
        <v>325000</v>
      </c>
      <c r="H349" s="108"/>
      <c r="I349" s="108"/>
      <c r="J349" s="108"/>
      <c r="K349" s="109"/>
      <c r="L349" s="109"/>
      <c r="M349" s="108"/>
      <c r="N349" s="298"/>
      <c r="O349" s="386"/>
    </row>
    <row r="350" spans="1:15" ht="13.5" thickBot="1">
      <c r="A350" s="185"/>
      <c r="B350" s="92"/>
      <c r="C350" s="264" t="s">
        <v>140</v>
      </c>
      <c r="E350" s="97"/>
      <c r="F350" s="61"/>
      <c r="G350" s="384">
        <v>295000</v>
      </c>
      <c r="H350" s="110">
        <f>'LINE ITEM EXP'!C62</f>
        <v>455000</v>
      </c>
      <c r="I350" s="110">
        <f>'LINE ITEM EXP'!D62</f>
        <v>295000</v>
      </c>
      <c r="J350" s="110">
        <f>'LINE ITEM EXP'!E62</f>
        <v>295000</v>
      </c>
      <c r="K350" s="111">
        <f>G350</f>
        <v>295000</v>
      </c>
      <c r="L350" s="111">
        <f>G349</f>
        <v>325000</v>
      </c>
      <c r="M350" s="110">
        <f>SUM(M348:M349)</f>
        <v>0</v>
      </c>
      <c r="N350" s="410">
        <f>SUM(N348:N349)</f>
        <v>325000</v>
      </c>
      <c r="O350" s="386"/>
    </row>
    <row r="351" spans="1:15" ht="13.5" thickTop="1">
      <c r="A351" s="177"/>
      <c r="B351" s="178" t="s">
        <v>349</v>
      </c>
      <c r="C351" s="269"/>
      <c r="D351" s="179"/>
      <c r="E351" s="328"/>
      <c r="F351" s="184"/>
      <c r="G351" s="329"/>
      <c r="H351" s="99"/>
      <c r="I351" s="99"/>
      <c r="J351" s="99"/>
      <c r="K351" s="99"/>
      <c r="L351" s="99"/>
      <c r="M351" s="100"/>
      <c r="N351" s="105"/>
      <c r="O351" s="386"/>
    </row>
    <row r="352" spans="1:15">
      <c r="A352" s="185"/>
      <c r="B352" s="92"/>
      <c r="C352" s="91" t="s">
        <v>352</v>
      </c>
      <c r="D352" s="61"/>
      <c r="E352" s="148"/>
      <c r="F352" s="61"/>
      <c r="G352" s="274">
        <v>57858</v>
      </c>
      <c r="H352" s="99"/>
      <c r="I352" s="99"/>
      <c r="J352" s="99"/>
      <c r="K352" s="99"/>
      <c r="L352" s="99"/>
      <c r="M352" s="100">
        <v>0</v>
      </c>
      <c r="N352" s="105">
        <f>G352+M352</f>
        <v>57858</v>
      </c>
      <c r="O352" s="386"/>
    </row>
    <row r="353" spans="1:15">
      <c r="A353" s="185"/>
      <c r="B353" s="92"/>
      <c r="C353" s="106" t="s">
        <v>353</v>
      </c>
      <c r="E353" s="97"/>
      <c r="F353" s="61"/>
      <c r="G353" s="276">
        <f>SUM(G352:G352)</f>
        <v>57858</v>
      </c>
      <c r="H353" s="109"/>
      <c r="I353" s="108"/>
      <c r="J353" s="108"/>
      <c r="K353" s="109"/>
      <c r="L353" s="109"/>
      <c r="M353" s="108"/>
      <c r="N353" s="298"/>
      <c r="O353" s="386"/>
    </row>
    <row r="354" spans="1:15" ht="13.5" thickBot="1">
      <c r="A354" s="204"/>
      <c r="B354" s="277"/>
      <c r="C354" s="278" t="s">
        <v>140</v>
      </c>
      <c r="D354" s="205"/>
      <c r="E354" s="349"/>
      <c r="F354" s="350"/>
      <c r="G354" s="282">
        <v>66771</v>
      </c>
      <c r="H354" s="111">
        <f>'LINE ITEM EXP'!C63</f>
        <v>87998</v>
      </c>
      <c r="I354" s="110">
        <f>'LINE ITEM EXP'!D63</f>
        <v>66771</v>
      </c>
      <c r="J354" s="110">
        <f>'LINE ITEM EXP'!E63</f>
        <v>66771</v>
      </c>
      <c r="K354" s="111">
        <f>G354</f>
        <v>66771</v>
      </c>
      <c r="L354" s="111">
        <f>G353</f>
        <v>57858</v>
      </c>
      <c r="M354" s="110">
        <f>SUM(M352:M353)</f>
        <v>0</v>
      </c>
      <c r="N354" s="410">
        <f>SUM(N351:N353)</f>
        <v>57858</v>
      </c>
      <c r="O354" s="386"/>
    </row>
    <row r="355" spans="1:15" ht="14.25" thickTop="1" thickBot="1">
      <c r="A355" s="195"/>
      <c r="B355" s="196"/>
      <c r="C355" s="197" t="s">
        <v>99</v>
      </c>
      <c r="D355" s="155"/>
      <c r="E355" s="156"/>
      <c r="F355" s="157"/>
      <c r="G355" s="198"/>
      <c r="H355" s="199">
        <f t="shared" ref="H355:N355" si="59">H354+H350</f>
        <v>542998</v>
      </c>
      <c r="I355" s="199">
        <f t="shared" si="59"/>
        <v>361771</v>
      </c>
      <c r="J355" s="199">
        <f t="shared" si="59"/>
        <v>361771</v>
      </c>
      <c r="K355" s="199">
        <f t="shared" si="59"/>
        <v>361771</v>
      </c>
      <c r="L355" s="199">
        <f t="shared" si="59"/>
        <v>382858</v>
      </c>
      <c r="M355" s="199">
        <f t="shared" si="59"/>
        <v>0</v>
      </c>
      <c r="N355" s="409">
        <f t="shared" si="59"/>
        <v>382858</v>
      </c>
      <c r="O355" s="386"/>
    </row>
    <row r="356" spans="1:15" ht="13.5" thickTop="1">
      <c r="A356" s="185"/>
      <c r="B356" s="92"/>
      <c r="C356" s="94"/>
      <c r="E356" s="203"/>
      <c r="F356" s="114"/>
      <c r="G356" s="114"/>
      <c r="H356" s="100"/>
      <c r="I356" s="99"/>
      <c r="J356" s="99"/>
      <c r="K356" s="99"/>
      <c r="L356" s="99"/>
      <c r="M356" s="108"/>
      <c r="N356" s="298"/>
      <c r="O356" s="386"/>
    </row>
    <row r="357" spans="1:15" ht="13.5" thickBot="1">
      <c r="A357" s="411"/>
      <c r="B357" s="412"/>
      <c r="C357" s="413" t="s">
        <v>354</v>
      </c>
      <c r="D357" s="205"/>
      <c r="E357" s="414"/>
      <c r="F357" s="415"/>
      <c r="G357" s="416">
        <f>G353+G349+G319+G307+G303+G299+G295+G291+G286+G283+G276+G270+G264+G252+G243+G232+G227+G222+G218+G215+G209+G193+G188+G184+G181+G177+G169+G153+G145+G127+G123+G104+G84+G38+G21</f>
        <v>1994991</v>
      </c>
      <c r="H357" s="417">
        <f>+H288+H172+H355+H327+H346</f>
        <v>2004641</v>
      </c>
      <c r="I357" s="417">
        <f>+I288+I172+I355+I327+I346</f>
        <v>1127335</v>
      </c>
      <c r="J357" s="417">
        <f>+J288+J172+J355+J327+J346</f>
        <v>1999371.426</v>
      </c>
      <c r="K357" s="417">
        <f>+K288+K172+K355+K327+K346</f>
        <v>1797681.1600000001</v>
      </c>
      <c r="L357" s="417">
        <f>+L288+L172+L355+L327+L346+L340</f>
        <v>2126322</v>
      </c>
      <c r="M357" s="417">
        <f>+M288+M172+M355+M327+M346+M340</f>
        <v>43148</v>
      </c>
      <c r="N357" s="418">
        <f>+N288+N172+N355+N327+N346+N340</f>
        <v>2169470</v>
      </c>
      <c r="O357" s="399"/>
    </row>
    <row r="358" spans="1:15">
      <c r="A358" s="204"/>
      <c r="B358" s="205"/>
      <c r="C358" s="205"/>
      <c r="D358" s="205"/>
      <c r="E358" s="205"/>
      <c r="F358" s="205"/>
      <c r="G358" s="205"/>
      <c r="H358" s="206" t="str">
        <f>IF(H357='LINE ITEM EXP'!C66,"In Balance","Error")</f>
        <v>In Balance</v>
      </c>
      <c r="I358" s="206" t="str">
        <f>IF(I357='LINE ITEM EXP'!D66,"In Balance","Error")</f>
        <v>In Balance</v>
      </c>
      <c r="J358" s="206" t="str">
        <f>IF(J357='LINE ITEM EXP'!E66,"In Balance","Error")</f>
        <v>In Balance</v>
      </c>
      <c r="K358" s="206" t="str">
        <f>IF(K357='LINE ITEM EXP'!F66,"In Balance","Error")</f>
        <v>In Balance</v>
      </c>
      <c r="L358" s="206" t="str">
        <f>IF(L357='LINE ITEM EXP'!G66,"In Balance","Error")</f>
        <v>In Balance</v>
      </c>
      <c r="M358" s="206" t="str">
        <f>IF(M357='LINE ITEM EXP'!H66,"In Balance","Error")</f>
        <v>In Balance</v>
      </c>
      <c r="N358" s="207" t="str">
        <f>IF(N357='LINE ITEM EXP'!I66,"In Balance","Error")</f>
        <v>In Balance</v>
      </c>
    </row>
  </sheetData>
  <protectedRanges>
    <protectedRange sqref="O8:O358" name="Range91"/>
    <protectedRange sqref="G271" name="Range89"/>
    <protectedRange sqref="D51:D53 D20 D56:D65 D43:D47" name="Range85"/>
    <protectedRange sqref="C75:D82" name="Range82"/>
    <protectedRange sqref="F66:F67" name="Range80"/>
    <protectedRange sqref="G176" name="Range75"/>
    <protectedRange sqref="G335" name="Range73"/>
    <protectedRange sqref="C289:G289" name="Range71"/>
    <protectedRange sqref="D182:F182" name="Range70"/>
    <protectedRange sqref="C342:G343 C337:G337" name="Range69"/>
    <protectedRange sqref="C329:G329" name="Range67"/>
    <protectedRange sqref="C317:G318" name="Range65"/>
    <protectedRange sqref="C310:G310" name="Range63"/>
    <protectedRange sqref="C302:G302" name="Range61"/>
    <protectedRange sqref="C293:G294" name="Range59"/>
    <protectedRange sqref="G324" name="Range57"/>
    <protectedRange sqref="G316" name="Range55"/>
    <protectedRange sqref="G308" name="Range53"/>
    <protectedRange sqref="G300" name="Range51"/>
    <protectedRange sqref="G292" name="Range49"/>
    <protectedRange sqref="C279:G282" name="Range47"/>
    <protectedRange sqref="G275" name="Range45"/>
    <protectedRange sqref="C257:G263" name="Range43"/>
    <protectedRange sqref="C245:G251" name="Range41"/>
    <protectedRange sqref="C229:G231" name="Range39"/>
    <protectedRange sqref="G287" name="Range37"/>
    <protectedRange sqref="G277" name="Range35"/>
    <protectedRange sqref="G256" name="Range33"/>
    <protectedRange sqref="G244" name="Range31"/>
    <protectedRange sqref="G228" name="Range29"/>
    <protectedRange sqref="C217:G217" name="Range27"/>
    <protectedRange sqref="C211:G211" name="Range25"/>
    <protectedRange sqref="C190:G192" name="Range23"/>
    <protectedRange sqref="D183:G183" name="Range21"/>
    <protectedRange sqref="G223" name="Range19"/>
    <protectedRange sqref="G216" name="Range17"/>
    <protectedRange sqref="G210" name="Range15"/>
    <protectedRange sqref="G189" name="Range13"/>
    <protectedRange sqref="G170" name="Range9"/>
    <protectedRange sqref="G146" name="Range7"/>
    <protectedRange sqref="G124" name="Range5"/>
    <protectedRange sqref="G105" name="Range4"/>
    <protectedRange sqref="G39" name="Range2"/>
    <protectedRange sqref="G22" name="Range1"/>
    <protectedRange sqref="G85" name="Range3"/>
    <protectedRange sqref="G128" name="Range6"/>
    <protectedRange sqref="G154" name="Range8"/>
    <protectedRange sqref="G178 G175" name="Range10"/>
    <protectedRange sqref="G185" name="Range12"/>
    <protectedRange sqref="G194" name="Range14"/>
    <protectedRange sqref="G213" name="Range16"/>
    <protectedRange sqref="G219" name="Range18"/>
    <protectedRange sqref="D180:F180" name="Range20"/>
    <protectedRange sqref="D187:E187" name="Range22"/>
    <protectedRange sqref="C195:G208" name="Range24"/>
    <protectedRange sqref="C214:G214" name="Range26"/>
    <protectedRange sqref="C220:G221" name="Range28"/>
    <protectedRange sqref="G233" name="Range30"/>
    <protectedRange sqref="G253" name="Range32"/>
    <protectedRange sqref="G265" name="Range34"/>
    <protectedRange sqref="G284" name="Range36"/>
    <protectedRange sqref="C224:G226" name="Range38"/>
    <protectedRange sqref="C234:G242" name="Range40"/>
    <protectedRange sqref="C254:G254" name="Range42"/>
    <protectedRange sqref="C272:E274" name="Range44"/>
    <protectedRange sqref="C275:F275" name="Range46"/>
    <protectedRange sqref="C285:G285" name="Range48"/>
    <protectedRange sqref="G296" name="Range50"/>
    <protectedRange sqref="G304" name="Range52"/>
    <protectedRange sqref="G312" name="Range54"/>
    <protectedRange sqref="G320" name="Range56"/>
    <protectedRange sqref="C289:G290" name="Range58"/>
    <protectedRange sqref="C297:G298" name="Range60"/>
    <protectedRange sqref="C306:G306" name="Range62"/>
    <protectedRange sqref="C314:G314" name="Range64"/>
    <protectedRange sqref="C322:G322" name="Range66"/>
    <protectedRange sqref="C333:G333" name="Range68"/>
    <protectedRange sqref="G331" name="Range72"/>
    <protectedRange sqref="G345 G339" name="Range74"/>
    <protectedRange sqref="A11:A20" name="Range76"/>
    <protectedRange sqref="B119 B167 B20 A43:B83" name="Range77"/>
    <protectedRange sqref="D66:D67" name="Range79"/>
    <protectedRange sqref="C66:C67" name="Range81"/>
    <protectedRange sqref="D50 D66:D67 D54:D55" name="Range86"/>
    <protectedRange sqref="D70:D82" name="Range88"/>
  </protectedRanges>
  <mergeCells count="2">
    <mergeCell ref="C4:G4"/>
    <mergeCell ref="H4:N4"/>
  </mergeCells>
  <pageMargins left="0.25" right="0.25" top="0.75" bottom="0.75" header="0.3" footer="0.3"/>
  <pageSetup scale="5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REVENUE</vt:lpstr>
      <vt:lpstr>LINE ITEM EXP</vt:lpstr>
      <vt:lpstr>JUSTIFICATION</vt:lpstr>
      <vt:lpstr>JUSTIFICATION!Print_Area</vt:lpstr>
      <vt:lpstr>'LINE ITEM EXP'!Print_Area</vt:lpstr>
      <vt:lpstr>REVENUE!Print_Area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 Walsh</dc:creator>
  <cp:lastModifiedBy>SCLS</cp:lastModifiedBy>
  <cp:lastPrinted>2018-07-17T21:45:20Z</cp:lastPrinted>
  <dcterms:created xsi:type="dcterms:W3CDTF">2017-04-25T20:28:31Z</dcterms:created>
  <dcterms:modified xsi:type="dcterms:W3CDTF">2020-03-04T21:35:39Z</dcterms:modified>
</cp:coreProperties>
</file>