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lib\Desktop\"/>
    </mc:Choice>
  </mc:AlternateContent>
  <bookViews>
    <workbookView xWindow="0" yWindow="0" windowWidth="18060" windowHeight="10050" activeTab="2"/>
  </bookViews>
  <sheets>
    <sheet name="REVENUE" sheetId="1" r:id="rId1"/>
    <sheet name="LINE ITEM EXP" sheetId="2" r:id="rId2"/>
    <sheet name="JUSTIFICATION" sheetId="3" r:id="rId3"/>
  </sheets>
  <definedNames>
    <definedName name="_xlnm.Print_Area" localSheetId="2">JUSTIFICATION!$A$1:$N$367</definedName>
    <definedName name="_xlnm.Print_Area" localSheetId="1">'LINE ITEM EXP'!$A$1:$J$66</definedName>
    <definedName name="_xlnm.Print_Area" localSheetId="0">REVENUE!$A$1:$H$27</definedName>
  </definedNames>
  <calcPr calcId="162913"/>
</workbook>
</file>

<file path=xl/calcChain.xml><?xml version="1.0" encoding="utf-8"?>
<calcChain xmlns="http://schemas.openxmlformats.org/spreadsheetml/2006/main">
  <c r="G9" i="1" l="1"/>
  <c r="K11" i="1"/>
  <c r="G117" i="3"/>
  <c r="G115" i="3"/>
  <c r="D112" i="3"/>
  <c r="E110" i="3"/>
  <c r="N123" i="3"/>
  <c r="G353" i="3" l="1"/>
  <c r="K8" i="1" l="1"/>
  <c r="K9" i="1"/>
  <c r="J9" i="1"/>
  <c r="L309" i="3" l="1"/>
  <c r="L305" i="3"/>
  <c r="G300" i="3"/>
  <c r="N298" i="3"/>
  <c r="N287" i="3" l="1"/>
  <c r="G68" i="3" l="1"/>
  <c r="G85" i="3"/>
  <c r="M85" i="3" s="1"/>
  <c r="E85" i="3"/>
  <c r="N289" i="3"/>
  <c r="M68" i="3" l="1"/>
  <c r="N68" i="3" s="1"/>
  <c r="N85" i="3"/>
  <c r="D58" i="2"/>
  <c r="G10" i="1"/>
  <c r="S59" i="3" l="1"/>
  <c r="N122" i="3"/>
  <c r="E20" i="3"/>
  <c r="G20" i="3" s="1"/>
  <c r="A145" i="3"/>
  <c r="F145" i="3" s="1"/>
  <c r="A134" i="3"/>
  <c r="F134" i="3" s="1"/>
  <c r="S52" i="3" l="1"/>
  <c r="M20" i="3"/>
  <c r="N20" i="3" s="1"/>
  <c r="N111" i="3"/>
  <c r="S57" i="3" l="1"/>
  <c r="C21" i="2" l="1"/>
  <c r="E27" i="1"/>
  <c r="G96" i="3" l="1"/>
  <c r="G197" i="3" l="1"/>
  <c r="G275" i="3"/>
  <c r="G93" i="3"/>
  <c r="G193" i="3" l="1"/>
  <c r="N93" i="3" l="1"/>
  <c r="G62" i="3"/>
  <c r="M62" i="3" s="1"/>
  <c r="N62" i="3" s="1"/>
  <c r="E62" i="3"/>
  <c r="D86" i="3"/>
  <c r="G67" i="3"/>
  <c r="G66" i="3"/>
  <c r="G65" i="3"/>
  <c r="M65" i="3" s="1"/>
  <c r="G64" i="3"/>
  <c r="M64" i="3" s="1"/>
  <c r="N64" i="3" s="1"/>
  <c r="G61" i="3"/>
  <c r="M61" i="3" s="1"/>
  <c r="G63" i="3"/>
  <c r="N65" i="3" l="1"/>
  <c r="M67" i="3"/>
  <c r="N67" i="3" s="1"/>
  <c r="M63" i="3"/>
  <c r="N63" i="3" s="1"/>
  <c r="M66" i="3"/>
  <c r="N66" i="3" s="1"/>
  <c r="G94" i="3"/>
  <c r="G98" i="3"/>
  <c r="G26" i="3" l="1"/>
  <c r="F141" i="3"/>
  <c r="A133" i="3"/>
  <c r="F133" i="3" s="1"/>
  <c r="A38" i="3"/>
  <c r="E38" i="3" s="1"/>
  <c r="A25" i="3"/>
  <c r="E25" i="3" s="1"/>
  <c r="A26" i="3"/>
  <c r="A27" i="3"/>
  <c r="E27" i="3" s="1"/>
  <c r="A28" i="3"/>
  <c r="E28" i="3" s="1"/>
  <c r="A29" i="3"/>
  <c r="E29" i="3" s="1"/>
  <c r="A30" i="3"/>
  <c r="E30" i="3" s="1"/>
  <c r="A31" i="3"/>
  <c r="E31" i="3" s="1"/>
  <c r="A32" i="3"/>
  <c r="E32" i="3" s="1"/>
  <c r="A33" i="3"/>
  <c r="E33" i="3" s="1"/>
  <c r="A34" i="3"/>
  <c r="E34" i="3" s="1"/>
  <c r="A35" i="3"/>
  <c r="E35" i="3" s="1"/>
  <c r="A36" i="3"/>
  <c r="E36" i="3" s="1"/>
  <c r="A37" i="3"/>
  <c r="E37" i="3" s="1"/>
  <c r="M325" i="3" l="1"/>
  <c r="M329" i="3"/>
  <c r="M359" i="3"/>
  <c r="M363" i="3"/>
  <c r="M309" i="3"/>
  <c r="M305" i="3"/>
  <c r="M292" i="3"/>
  <c r="M284" i="3"/>
  <c r="M278" i="3"/>
  <c r="M272" i="3"/>
  <c r="M263" i="3"/>
  <c r="M260" i="3"/>
  <c r="M251" i="3"/>
  <c r="M239" i="3"/>
  <c r="M234" i="3"/>
  <c r="M229" i="3"/>
  <c r="M216" i="3"/>
  <c r="M200" i="3"/>
  <c r="M195" i="3"/>
  <c r="M152" i="3"/>
  <c r="M127" i="3"/>
  <c r="M108" i="3"/>
  <c r="G83" i="3" l="1"/>
  <c r="M83" i="3" s="1"/>
  <c r="N83" i="3" s="1"/>
  <c r="E83" i="3"/>
  <c r="A60" i="3"/>
  <c r="G60" i="3"/>
  <c r="M60" i="3" l="1"/>
  <c r="N60" i="3" s="1"/>
  <c r="G48" i="3"/>
  <c r="D33" i="3" s="1"/>
  <c r="E48" i="3"/>
  <c r="M48" i="3" l="1"/>
  <c r="M33" i="3" s="1"/>
  <c r="M364" i="3"/>
  <c r="H62" i="2"/>
  <c r="J363" i="3"/>
  <c r="I363" i="3"/>
  <c r="H363" i="3"/>
  <c r="J359" i="3"/>
  <c r="I359" i="3"/>
  <c r="H359" i="3"/>
  <c r="J354" i="3"/>
  <c r="I354" i="3"/>
  <c r="H354" i="3"/>
  <c r="J349" i="3"/>
  <c r="I349" i="3"/>
  <c r="J333" i="3"/>
  <c r="I333" i="3"/>
  <c r="H333" i="3"/>
  <c r="J329" i="3"/>
  <c r="I329" i="3"/>
  <c r="H329" i="3"/>
  <c r="J325" i="3"/>
  <c r="I325" i="3"/>
  <c r="H325" i="3"/>
  <c r="J321" i="3"/>
  <c r="I321" i="3"/>
  <c r="H321" i="3"/>
  <c r="J317" i="3"/>
  <c r="I317" i="3"/>
  <c r="H317" i="3"/>
  <c r="J313" i="3"/>
  <c r="I313" i="3"/>
  <c r="H313" i="3"/>
  <c r="J309" i="3"/>
  <c r="I309" i="3"/>
  <c r="H309" i="3"/>
  <c r="J305" i="3"/>
  <c r="I305" i="3"/>
  <c r="H305" i="3"/>
  <c r="J301" i="3"/>
  <c r="I301" i="3"/>
  <c r="H301" i="3"/>
  <c r="J295" i="3"/>
  <c r="I295" i="3"/>
  <c r="H295" i="3"/>
  <c r="J292" i="3"/>
  <c r="I292" i="3"/>
  <c r="H292" i="3"/>
  <c r="J284" i="3"/>
  <c r="I284" i="3"/>
  <c r="H284" i="3"/>
  <c r="J278" i="3"/>
  <c r="I278" i="3"/>
  <c r="H278" i="3"/>
  <c r="J272" i="3"/>
  <c r="I272" i="3"/>
  <c r="H272" i="3"/>
  <c r="J263" i="3"/>
  <c r="I263" i="3"/>
  <c r="H263" i="3"/>
  <c r="J260" i="3"/>
  <c r="I260" i="3"/>
  <c r="H260" i="3"/>
  <c r="J251" i="3"/>
  <c r="I251" i="3"/>
  <c r="H251" i="3"/>
  <c r="J239" i="3"/>
  <c r="I239" i="3"/>
  <c r="H239" i="3"/>
  <c r="J234" i="3"/>
  <c r="I234" i="3"/>
  <c r="H234" i="3"/>
  <c r="J229" i="3"/>
  <c r="I229" i="3"/>
  <c r="H229" i="3"/>
  <c r="J225" i="3"/>
  <c r="I225" i="3"/>
  <c r="H225" i="3"/>
  <c r="J222" i="3"/>
  <c r="I222" i="3"/>
  <c r="H222" i="3"/>
  <c r="J219" i="3"/>
  <c r="I219" i="3"/>
  <c r="H219" i="3"/>
  <c r="J216" i="3"/>
  <c r="I216" i="3"/>
  <c r="H216" i="3"/>
  <c r="J200" i="3"/>
  <c r="I200" i="3"/>
  <c r="H200" i="3"/>
  <c r="J195" i="3"/>
  <c r="I195" i="3"/>
  <c r="H195" i="3"/>
  <c r="J191" i="3"/>
  <c r="I191" i="3"/>
  <c r="H191" i="3"/>
  <c r="J188" i="3"/>
  <c r="I188" i="3"/>
  <c r="H188" i="3"/>
  <c r="J184" i="3"/>
  <c r="I184" i="3"/>
  <c r="H184" i="3"/>
  <c r="J181" i="3"/>
  <c r="I181" i="3"/>
  <c r="H181" i="3"/>
  <c r="J176" i="3"/>
  <c r="I176" i="3"/>
  <c r="H176" i="3"/>
  <c r="J160" i="3"/>
  <c r="I160" i="3"/>
  <c r="H160" i="3"/>
  <c r="J152" i="3"/>
  <c r="I152" i="3"/>
  <c r="H152" i="3"/>
  <c r="J131" i="3"/>
  <c r="I131" i="3"/>
  <c r="H131" i="3"/>
  <c r="J127" i="3"/>
  <c r="I127" i="3"/>
  <c r="H127" i="3"/>
  <c r="J108" i="3"/>
  <c r="I108" i="3"/>
  <c r="H108" i="3"/>
  <c r="J88" i="3"/>
  <c r="I88" i="3"/>
  <c r="H88" i="3"/>
  <c r="J40" i="3"/>
  <c r="I40" i="3"/>
  <c r="H40" i="3"/>
  <c r="J23" i="3"/>
  <c r="I23" i="3"/>
  <c r="H23" i="3"/>
  <c r="H63" i="2"/>
  <c r="H53" i="2"/>
  <c r="H52" i="2"/>
  <c r="H48" i="2"/>
  <c r="H47" i="2"/>
  <c r="H41" i="2"/>
  <c r="H40" i="2"/>
  <c r="H39" i="2"/>
  <c r="H37" i="2"/>
  <c r="H36" i="2"/>
  <c r="H34" i="2"/>
  <c r="H31" i="2"/>
  <c r="H27" i="2"/>
  <c r="H26" i="2"/>
  <c r="H25" i="2"/>
  <c r="H13" i="2"/>
  <c r="H12" i="2"/>
  <c r="K363" i="3"/>
  <c r="F63" i="2" s="1"/>
  <c r="G362" i="3"/>
  <c r="L363" i="3" s="1"/>
  <c r="G63" i="2" s="1"/>
  <c r="N361" i="3"/>
  <c r="N363" i="3" s="1"/>
  <c r="K359" i="3"/>
  <c r="F62" i="2" s="1"/>
  <c r="G358" i="3"/>
  <c r="L359" i="3" s="1"/>
  <c r="G62" i="2" s="1"/>
  <c r="N357" i="3"/>
  <c r="N359" i="3" s="1"/>
  <c r="M354" i="3"/>
  <c r="H58" i="2" s="1"/>
  <c r="K354" i="3"/>
  <c r="F58" i="2" s="1"/>
  <c r="L354" i="3"/>
  <c r="N352" i="3"/>
  <c r="N351" i="3"/>
  <c r="G58" i="2" s="1"/>
  <c r="M348" i="3"/>
  <c r="K348" i="3"/>
  <c r="K349" i="3" s="1"/>
  <c r="G347" i="3"/>
  <c r="L348" i="3" s="1"/>
  <c r="N346" i="3"/>
  <c r="N348" i="3" s="1"/>
  <c r="M344" i="3"/>
  <c r="K344" i="3"/>
  <c r="G343" i="3"/>
  <c r="L344" i="3" s="1"/>
  <c r="N342" i="3"/>
  <c r="N344" i="3" s="1"/>
  <c r="M340" i="3"/>
  <c r="K340" i="3"/>
  <c r="G339" i="3"/>
  <c r="L340" i="3" s="1"/>
  <c r="N338" i="3"/>
  <c r="N340" i="3" s="1"/>
  <c r="M333" i="3"/>
  <c r="H54" i="2" s="1"/>
  <c r="K333" i="3"/>
  <c r="F54" i="2" s="1"/>
  <c r="G332" i="3"/>
  <c r="L333" i="3" s="1"/>
  <c r="G54" i="2" s="1"/>
  <c r="N331" i="3"/>
  <c r="N333" i="3" s="1"/>
  <c r="K329" i="3"/>
  <c r="F53" i="2" s="1"/>
  <c r="G328" i="3"/>
  <c r="L329" i="3" s="1"/>
  <c r="G53" i="2" s="1"/>
  <c r="N327" i="3"/>
  <c r="N329" i="3" s="1"/>
  <c r="F52" i="2"/>
  <c r="G324" i="3"/>
  <c r="L325" i="3" s="1"/>
  <c r="G52" i="2" s="1"/>
  <c r="N323" i="3"/>
  <c r="N325" i="3" s="1"/>
  <c r="M321" i="3"/>
  <c r="H51" i="2" s="1"/>
  <c r="K321" i="3"/>
  <c r="F51" i="2" s="1"/>
  <c r="G320" i="3"/>
  <c r="L321" i="3" s="1"/>
  <c r="G51" i="2" s="1"/>
  <c r="N319" i="3"/>
  <c r="N321" i="3" s="1"/>
  <c r="M317" i="3"/>
  <c r="H50" i="2" s="1"/>
  <c r="K317" i="3"/>
  <c r="F50" i="2" s="1"/>
  <c r="G316" i="3"/>
  <c r="L317" i="3" s="1"/>
  <c r="N315" i="3"/>
  <c r="N317" i="3" s="1"/>
  <c r="M313" i="3"/>
  <c r="H49" i="2" s="1"/>
  <c r="K313" i="3"/>
  <c r="F49" i="2" s="1"/>
  <c r="G312" i="3"/>
  <c r="L313" i="3" s="1"/>
  <c r="G49" i="2" s="1"/>
  <c r="N311" i="3"/>
  <c r="N313" i="3" s="1"/>
  <c r="K309" i="3"/>
  <c r="F48" i="2" s="1"/>
  <c r="G308" i="3"/>
  <c r="G48" i="2" s="1"/>
  <c r="N307" i="3"/>
  <c r="N309" i="3" s="1"/>
  <c r="K305" i="3"/>
  <c r="F47" i="2" s="1"/>
  <c r="G304" i="3"/>
  <c r="G47" i="2" s="1"/>
  <c r="N303" i="3"/>
  <c r="N305" i="3" s="1"/>
  <c r="M301" i="3"/>
  <c r="H46" i="2" s="1"/>
  <c r="K301" i="3"/>
  <c r="F46" i="2" s="1"/>
  <c r="L301" i="3"/>
  <c r="G46" i="2" s="1"/>
  <c r="N299" i="3"/>
  <c r="N297" i="3"/>
  <c r="M295" i="3"/>
  <c r="F41" i="2"/>
  <c r="G294" i="3"/>
  <c r="L295" i="3" s="1"/>
  <c r="G42" i="2" s="1"/>
  <c r="N293" i="3"/>
  <c r="N295" i="3" s="1"/>
  <c r="K292" i="3"/>
  <c r="F40" i="2" s="1"/>
  <c r="G291" i="3"/>
  <c r="L292" i="3" s="1"/>
  <c r="G40" i="2" s="1"/>
  <c r="N290" i="3"/>
  <c r="N288" i="3"/>
  <c r="N286" i="3"/>
  <c r="F39" i="2"/>
  <c r="N282" i="3"/>
  <c r="G281" i="3"/>
  <c r="N281" i="3" s="1"/>
  <c r="G280" i="3"/>
  <c r="N280" i="3" s="1"/>
  <c r="H38" i="2"/>
  <c r="K278" i="3"/>
  <c r="F38" i="2" s="1"/>
  <c r="G277" i="3"/>
  <c r="L278" i="3" s="1"/>
  <c r="G38" i="2" s="1"/>
  <c r="N276" i="3"/>
  <c r="N275" i="3"/>
  <c r="N274" i="3"/>
  <c r="N273" i="3"/>
  <c r="K272" i="3"/>
  <c r="F37" i="2" s="1"/>
  <c r="G271" i="3"/>
  <c r="L272" i="3" s="1"/>
  <c r="G37" i="2" s="1"/>
  <c r="N270" i="3"/>
  <c r="N269" i="3"/>
  <c r="N268" i="3"/>
  <c r="N267" i="3"/>
  <c r="N266" i="3"/>
  <c r="N265" i="3"/>
  <c r="N264" i="3"/>
  <c r="F36" i="2"/>
  <c r="G262" i="3"/>
  <c r="L263" i="3" s="1"/>
  <c r="G36" i="2" s="1"/>
  <c r="N261" i="3"/>
  <c r="N263" i="3" s="1"/>
  <c r="H35" i="2"/>
  <c r="K260" i="3"/>
  <c r="F35" i="2" s="1"/>
  <c r="G259" i="3"/>
  <c r="L260" i="3" s="1"/>
  <c r="G35" i="2" s="1"/>
  <c r="N258" i="3"/>
  <c r="N257" i="3"/>
  <c r="N256" i="3"/>
  <c r="N255" i="3"/>
  <c r="N254" i="3"/>
  <c r="N253" i="3"/>
  <c r="N252" i="3"/>
  <c r="K251" i="3"/>
  <c r="F34" i="2" s="1"/>
  <c r="G250" i="3"/>
  <c r="L251" i="3" s="1"/>
  <c r="G34" i="2" s="1"/>
  <c r="N249" i="3"/>
  <c r="N247" i="3"/>
  <c r="N246" i="3"/>
  <c r="N245" i="3"/>
  <c r="N244" i="3"/>
  <c r="N243" i="3"/>
  <c r="N242" i="3"/>
  <c r="N241" i="3"/>
  <c r="N240" i="3"/>
  <c r="H33" i="2"/>
  <c r="K239" i="3"/>
  <c r="F33" i="2" s="1"/>
  <c r="G238" i="3"/>
  <c r="L239" i="3" s="1"/>
  <c r="G33" i="2" s="1"/>
  <c r="N237" i="3"/>
  <c r="N236" i="3"/>
  <c r="N235" i="3"/>
  <c r="H32" i="2"/>
  <c r="K234" i="3"/>
  <c r="F32" i="2" s="1"/>
  <c r="G233" i="3"/>
  <c r="L234" i="3" s="1"/>
  <c r="G32" i="2" s="1"/>
  <c r="N232" i="3"/>
  <c r="N231" i="3"/>
  <c r="N230" i="3"/>
  <c r="K229" i="3"/>
  <c r="F31" i="2" s="1"/>
  <c r="G228" i="3"/>
  <c r="L229" i="3" s="1"/>
  <c r="G31" i="2" s="1"/>
  <c r="N227" i="3"/>
  <c r="N226" i="3"/>
  <c r="M225" i="3"/>
  <c r="H30" i="2" s="1"/>
  <c r="K225" i="3"/>
  <c r="F30" i="2" s="1"/>
  <c r="G224" i="3"/>
  <c r="L225" i="3" s="1"/>
  <c r="G30" i="2" s="1"/>
  <c r="N223" i="3"/>
  <c r="N225" i="3" s="1"/>
  <c r="M222" i="3"/>
  <c r="H29" i="2" s="1"/>
  <c r="K222" i="3"/>
  <c r="F29" i="2" s="1"/>
  <c r="G221" i="3"/>
  <c r="L222" i="3" s="1"/>
  <c r="G29" i="2" s="1"/>
  <c r="N220" i="3"/>
  <c r="N222" i="3" s="1"/>
  <c r="M219" i="3"/>
  <c r="H28" i="2" s="1"/>
  <c r="F28" i="2"/>
  <c r="G218" i="3"/>
  <c r="L219" i="3" s="1"/>
  <c r="G28" i="2" s="1"/>
  <c r="N217" i="3"/>
  <c r="N219" i="3" s="1"/>
  <c r="F27" i="2"/>
  <c r="G215" i="3"/>
  <c r="L216" i="3" s="1"/>
  <c r="G27" i="2" s="1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F26" i="2"/>
  <c r="G199" i="3"/>
  <c r="L200" i="3" s="1"/>
  <c r="G26" i="2" s="1"/>
  <c r="N198" i="3"/>
  <c r="N197" i="3"/>
  <c r="N196" i="3"/>
  <c r="F25" i="2"/>
  <c r="G194" i="3"/>
  <c r="L195" i="3" s="1"/>
  <c r="G25" i="2" s="1"/>
  <c r="N193" i="3"/>
  <c r="N195" i="3" s="1"/>
  <c r="M191" i="3"/>
  <c r="H24" i="2" s="1"/>
  <c r="K191" i="3"/>
  <c r="F24" i="2" s="1"/>
  <c r="G190" i="3"/>
  <c r="L191" i="3" s="1"/>
  <c r="G24" i="2" s="1"/>
  <c r="N189" i="3"/>
  <c r="N191" i="3" s="1"/>
  <c r="M188" i="3"/>
  <c r="H23" i="2" s="1"/>
  <c r="K188" i="3"/>
  <c r="F23" i="2" s="1"/>
  <c r="G186" i="3"/>
  <c r="G187" i="3" s="1"/>
  <c r="L188" i="3" s="1"/>
  <c r="G23" i="2" s="1"/>
  <c r="M184" i="3"/>
  <c r="H22" i="2" s="1"/>
  <c r="K184" i="3"/>
  <c r="F22" i="2" s="1"/>
  <c r="G183" i="3"/>
  <c r="L184" i="3" s="1"/>
  <c r="G22" i="2" s="1"/>
  <c r="N182" i="3"/>
  <c r="N184" i="3" s="1"/>
  <c r="M181" i="3"/>
  <c r="H21" i="2" s="1"/>
  <c r="K181" i="3"/>
  <c r="F21" i="2" s="1"/>
  <c r="G180" i="3"/>
  <c r="L181" i="3" s="1"/>
  <c r="G21" i="2" s="1"/>
  <c r="N179" i="3"/>
  <c r="N181" i="3" s="1"/>
  <c r="M176" i="3"/>
  <c r="H17" i="2" s="1"/>
  <c r="K176" i="3"/>
  <c r="F17" i="2" s="1"/>
  <c r="F174" i="3"/>
  <c r="G174" i="3" s="1"/>
  <c r="N174" i="3" s="1"/>
  <c r="N173" i="3"/>
  <c r="F172" i="3"/>
  <c r="G172" i="3" s="1"/>
  <c r="N172" i="3" s="1"/>
  <c r="F171" i="3"/>
  <c r="G171" i="3" s="1"/>
  <c r="N171" i="3" s="1"/>
  <c r="F170" i="3"/>
  <c r="G170" i="3" s="1"/>
  <c r="N170" i="3" s="1"/>
  <c r="F169" i="3"/>
  <c r="G169" i="3" s="1"/>
  <c r="N169" i="3" s="1"/>
  <c r="F168" i="3"/>
  <c r="G168" i="3" s="1"/>
  <c r="N168" i="3" s="1"/>
  <c r="F167" i="3"/>
  <c r="G167" i="3" s="1"/>
  <c r="N167" i="3" s="1"/>
  <c r="F166" i="3"/>
  <c r="G166" i="3" s="1"/>
  <c r="N166" i="3" s="1"/>
  <c r="F165" i="3"/>
  <c r="G165" i="3" s="1"/>
  <c r="N165" i="3" s="1"/>
  <c r="F164" i="3"/>
  <c r="G164" i="3" s="1"/>
  <c r="N164" i="3" s="1"/>
  <c r="F163" i="3"/>
  <c r="G163" i="3" s="1"/>
  <c r="N163" i="3" s="1"/>
  <c r="F162" i="3"/>
  <c r="G162" i="3" s="1"/>
  <c r="K160" i="3"/>
  <c r="F16" i="2" s="1"/>
  <c r="M157" i="3"/>
  <c r="H15" i="2"/>
  <c r="K152" i="3"/>
  <c r="F15" i="2" s="1"/>
  <c r="N148" i="3"/>
  <c r="A146" i="3"/>
  <c r="F146" i="3" s="1"/>
  <c r="A144" i="3"/>
  <c r="F144" i="3" s="1"/>
  <c r="G144" i="3" s="1"/>
  <c r="N144" i="3" s="1"/>
  <c r="A143" i="3"/>
  <c r="F143" i="3" s="1"/>
  <c r="A142" i="3"/>
  <c r="F142" i="3" s="1"/>
  <c r="A140" i="3"/>
  <c r="F140" i="3" s="1"/>
  <c r="A139" i="3"/>
  <c r="F139" i="3" s="1"/>
  <c r="A138" i="3"/>
  <c r="F138" i="3" s="1"/>
  <c r="G138" i="3" s="1"/>
  <c r="N138" i="3" s="1"/>
  <c r="A137" i="3"/>
  <c r="F137" i="3" s="1"/>
  <c r="A136" i="3"/>
  <c r="F136" i="3" s="1"/>
  <c r="A135" i="3"/>
  <c r="F135" i="3" s="1"/>
  <c r="G135" i="3" s="1"/>
  <c r="N135" i="3" s="1"/>
  <c r="K131" i="3"/>
  <c r="F14" i="2" s="1"/>
  <c r="K127" i="3"/>
  <c r="F13" i="2" s="1"/>
  <c r="N125" i="3"/>
  <c r="F124" i="3"/>
  <c r="E124" i="3"/>
  <c r="D124" i="3"/>
  <c r="S58" i="3"/>
  <c r="N121" i="3"/>
  <c r="N120" i="3"/>
  <c r="N119" i="3"/>
  <c r="N118" i="3"/>
  <c r="N117" i="3"/>
  <c r="N116" i="3"/>
  <c r="N115" i="3"/>
  <c r="N114" i="3"/>
  <c r="G113" i="3"/>
  <c r="G124" i="3" s="1"/>
  <c r="N112" i="3"/>
  <c r="N110" i="3"/>
  <c r="K108" i="3"/>
  <c r="F12" i="2" s="1"/>
  <c r="G104" i="3"/>
  <c r="N104" i="3" s="1"/>
  <c r="G103" i="3"/>
  <c r="G102" i="3"/>
  <c r="N102" i="3" s="1"/>
  <c r="G101" i="3"/>
  <c r="N101" i="3" s="1"/>
  <c r="G100" i="3"/>
  <c r="N100" i="3" s="1"/>
  <c r="G99" i="3"/>
  <c r="N99" i="3" s="1"/>
  <c r="N96" i="3"/>
  <c r="N95" i="3"/>
  <c r="G92" i="3"/>
  <c r="G91" i="3"/>
  <c r="N91" i="3" s="1"/>
  <c r="K88" i="3"/>
  <c r="F11" i="2" s="1"/>
  <c r="G84" i="3"/>
  <c r="E84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N72" i="3" s="1"/>
  <c r="G70" i="3"/>
  <c r="M70" i="3" s="1"/>
  <c r="N70" i="3" s="1"/>
  <c r="E70" i="3"/>
  <c r="G69" i="3"/>
  <c r="M69" i="3" s="1"/>
  <c r="N69" i="3" s="1"/>
  <c r="E69" i="3"/>
  <c r="N61" i="3"/>
  <c r="E61" i="3"/>
  <c r="G59" i="3"/>
  <c r="M59" i="3" s="1"/>
  <c r="E59" i="3"/>
  <c r="G58" i="3"/>
  <c r="M58" i="3" s="1"/>
  <c r="N58" i="3" s="1"/>
  <c r="G57" i="3"/>
  <c r="M57" i="3" s="1"/>
  <c r="E57" i="3"/>
  <c r="G56" i="3"/>
  <c r="M56" i="3" s="1"/>
  <c r="E56" i="3"/>
  <c r="G55" i="3"/>
  <c r="M55" i="3" s="1"/>
  <c r="G54" i="3"/>
  <c r="M54" i="3" s="1"/>
  <c r="E54" i="3"/>
  <c r="G47" i="3"/>
  <c r="M47" i="3" s="1"/>
  <c r="E47" i="3"/>
  <c r="G46" i="3"/>
  <c r="M46" i="3" s="1"/>
  <c r="N46" i="3" s="1"/>
  <c r="E46" i="3"/>
  <c r="G45" i="3"/>
  <c r="M45" i="3" s="1"/>
  <c r="E45" i="3"/>
  <c r="G44" i="3"/>
  <c r="E44" i="3"/>
  <c r="K40" i="3"/>
  <c r="F10" i="2" s="1"/>
  <c r="K23" i="3"/>
  <c r="F9" i="2" s="1"/>
  <c r="E19" i="3"/>
  <c r="G19" i="3" s="1"/>
  <c r="D35" i="3" s="1"/>
  <c r="G35" i="3" s="1"/>
  <c r="E18" i="3"/>
  <c r="G18" i="3" s="1"/>
  <c r="D36" i="3" s="1"/>
  <c r="G36" i="3" s="1"/>
  <c r="E17" i="3"/>
  <c r="F97" i="3" s="1"/>
  <c r="G9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F90" i="3" s="1"/>
  <c r="G90" i="3" s="1"/>
  <c r="N1" i="3"/>
  <c r="M1" i="3"/>
  <c r="E64" i="2"/>
  <c r="D64" i="2"/>
  <c r="C64" i="2"/>
  <c r="E55" i="2"/>
  <c r="D55" i="2"/>
  <c r="C55" i="2"/>
  <c r="E43" i="2"/>
  <c r="D43" i="2"/>
  <c r="C43" i="2"/>
  <c r="E18" i="2"/>
  <c r="D18" i="2"/>
  <c r="C18" i="2"/>
  <c r="G30" i="1"/>
  <c r="H30" i="1" s="1"/>
  <c r="F27" i="1"/>
  <c r="C32" i="1" s="1"/>
  <c r="D27" i="1"/>
  <c r="C27" i="1"/>
  <c r="G50" i="2" l="1"/>
  <c r="I50" i="2" s="1"/>
  <c r="L334" i="3"/>
  <c r="L336" i="3" s="1"/>
  <c r="M44" i="3"/>
  <c r="G51" i="3"/>
  <c r="G86" i="3"/>
  <c r="I48" i="2"/>
  <c r="N48" i="3"/>
  <c r="I36" i="2"/>
  <c r="I27" i="2"/>
  <c r="D29" i="3"/>
  <c r="G29" i="3" s="1"/>
  <c r="N55" i="3"/>
  <c r="N200" i="3"/>
  <c r="M349" i="3"/>
  <c r="I24" i="2"/>
  <c r="N272" i="3"/>
  <c r="N229" i="3"/>
  <c r="N234" i="3"/>
  <c r="N354" i="3"/>
  <c r="N355" i="3" s="1"/>
  <c r="I29" i="2"/>
  <c r="I33" i="2"/>
  <c r="N94" i="3"/>
  <c r="G126" i="3"/>
  <c r="L127" i="3" s="1"/>
  <c r="G13" i="2" s="1"/>
  <c r="I13" i="2" s="1"/>
  <c r="N301" i="3"/>
  <c r="N334" i="3" s="1"/>
  <c r="N336" i="3" s="1"/>
  <c r="G41" i="2"/>
  <c r="I52" i="2"/>
  <c r="I31" i="2"/>
  <c r="I58" i="2"/>
  <c r="I62" i="2"/>
  <c r="I40" i="2"/>
  <c r="I364" i="3"/>
  <c r="I25" i="2"/>
  <c r="H64" i="2"/>
  <c r="I23" i="2"/>
  <c r="I34" i="2"/>
  <c r="I35" i="2"/>
  <c r="I38" i="2"/>
  <c r="I51" i="2"/>
  <c r="D31" i="3"/>
  <c r="G31" i="3" s="1"/>
  <c r="I49" i="2"/>
  <c r="I21" i="2"/>
  <c r="I32" i="2"/>
  <c r="F64" i="2"/>
  <c r="D38" i="3"/>
  <c r="G38" i="3" s="1"/>
  <c r="N59" i="3"/>
  <c r="N260" i="3"/>
  <c r="N292" i="3"/>
  <c r="K334" i="3"/>
  <c r="K336" i="3" s="1"/>
  <c r="M355" i="3"/>
  <c r="L364" i="3"/>
  <c r="H364" i="3"/>
  <c r="M296" i="3"/>
  <c r="M334" i="3"/>
  <c r="M336" i="3" s="1"/>
  <c r="I30" i="2"/>
  <c r="H42" i="2"/>
  <c r="I42" i="2" s="1"/>
  <c r="D30" i="3"/>
  <c r="G30" i="3" s="1"/>
  <c r="K364" i="3"/>
  <c r="N216" i="3"/>
  <c r="N239" i="3"/>
  <c r="N251" i="3"/>
  <c r="N278" i="3"/>
  <c r="K355" i="3"/>
  <c r="I22" i="2"/>
  <c r="I26" i="2"/>
  <c r="I28" i="2"/>
  <c r="I37" i="2"/>
  <c r="G55" i="2"/>
  <c r="I47" i="2"/>
  <c r="I54" i="2"/>
  <c r="J355" i="3"/>
  <c r="H355" i="3"/>
  <c r="I355" i="3"/>
  <c r="J364" i="3"/>
  <c r="H296" i="3"/>
  <c r="I334" i="3"/>
  <c r="I336" i="3" s="1"/>
  <c r="J334" i="3"/>
  <c r="J336" i="3" s="1"/>
  <c r="F55" i="2"/>
  <c r="I296" i="3"/>
  <c r="H55" i="2"/>
  <c r="D66" i="2"/>
  <c r="I63" i="2"/>
  <c r="I53" i="2"/>
  <c r="J296" i="3"/>
  <c r="H334" i="3"/>
  <c r="H336" i="3" s="1"/>
  <c r="C66" i="2"/>
  <c r="D59" i="2"/>
  <c r="C59" i="2"/>
  <c r="E59" i="2"/>
  <c r="E66" i="2"/>
  <c r="F43" i="2"/>
  <c r="F18" i="2"/>
  <c r="D28" i="3"/>
  <c r="G28" i="3" s="1"/>
  <c r="M13" i="3"/>
  <c r="M28" i="3" s="1"/>
  <c r="M14" i="3"/>
  <c r="N14" i="3" s="1"/>
  <c r="E143" i="3" s="1"/>
  <c r="G143" i="3" s="1"/>
  <c r="N143" i="3" s="1"/>
  <c r="D27" i="3"/>
  <c r="G27" i="3" s="1"/>
  <c r="M15" i="3"/>
  <c r="D37" i="3"/>
  <c r="G37" i="3" s="1"/>
  <c r="M18" i="3"/>
  <c r="N18" i="3" s="1"/>
  <c r="E137" i="3" s="1"/>
  <c r="G137" i="3" s="1"/>
  <c r="N137" i="3" s="1"/>
  <c r="N44" i="3"/>
  <c r="E146" i="3" s="1"/>
  <c r="G146" i="3" s="1"/>
  <c r="N146" i="3" s="1"/>
  <c r="M16" i="3"/>
  <c r="D32" i="3"/>
  <c r="G32" i="3" s="1"/>
  <c r="M19" i="3"/>
  <c r="N19" i="3" s="1"/>
  <c r="E134" i="3" s="1"/>
  <c r="G134" i="3" s="1"/>
  <c r="N134" i="3" s="1"/>
  <c r="N45" i="3"/>
  <c r="M29" i="3"/>
  <c r="M12" i="3"/>
  <c r="M26" i="3" s="1"/>
  <c r="G33" i="3"/>
  <c r="N47" i="3"/>
  <c r="E139" i="3" s="1"/>
  <c r="G139" i="3" s="1"/>
  <c r="N139" i="3" s="1"/>
  <c r="M30" i="3"/>
  <c r="N90" i="3"/>
  <c r="N56" i="3"/>
  <c r="M74" i="3"/>
  <c r="N74" i="3" s="1"/>
  <c r="J178" i="3"/>
  <c r="N284" i="3"/>
  <c r="L355" i="3"/>
  <c r="L349" i="3"/>
  <c r="K178" i="3"/>
  <c r="N364" i="3"/>
  <c r="N54" i="3"/>
  <c r="M73" i="3"/>
  <c r="N73" i="3" s="1"/>
  <c r="H178" i="3"/>
  <c r="N97" i="3"/>
  <c r="G11" i="3"/>
  <c r="G17" i="3"/>
  <c r="N57" i="3"/>
  <c r="G71" i="3"/>
  <c r="G175" i="3"/>
  <c r="L176" i="3" s="1"/>
  <c r="G17" i="2" s="1"/>
  <c r="I17" i="2" s="1"/>
  <c r="N162" i="3"/>
  <c r="N176" i="3" s="1"/>
  <c r="I178" i="3"/>
  <c r="K296" i="3"/>
  <c r="N349" i="3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4" i="3"/>
  <c r="N84" i="3" s="1"/>
  <c r="N92" i="3"/>
  <c r="N98" i="3"/>
  <c r="N103" i="3"/>
  <c r="N113" i="3"/>
  <c r="N127" i="3" s="1"/>
  <c r="H349" i="3"/>
  <c r="G283" i="3"/>
  <c r="L284" i="3" s="1"/>
  <c r="N186" i="3"/>
  <c r="N188" i="3" s="1"/>
  <c r="I46" i="2"/>
  <c r="G64" i="2"/>
  <c r="E141" i="3" l="1"/>
  <c r="G141" i="3" s="1"/>
  <c r="N141" i="3" s="1"/>
  <c r="S51" i="3"/>
  <c r="S53" i="3" s="1"/>
  <c r="N88" i="3"/>
  <c r="I64" i="2"/>
  <c r="J64" i="2" s="1"/>
  <c r="M88" i="3"/>
  <c r="H11" i="2" s="1"/>
  <c r="N30" i="3"/>
  <c r="N29" i="3"/>
  <c r="H43" i="2"/>
  <c r="I366" i="3"/>
  <c r="I367" i="3" s="1"/>
  <c r="N26" i="3"/>
  <c r="I55" i="2"/>
  <c r="J55" i="2" s="1"/>
  <c r="N12" i="3"/>
  <c r="G142" i="3" s="1"/>
  <c r="N142" i="3" s="1"/>
  <c r="L296" i="3"/>
  <c r="G39" i="2"/>
  <c r="N296" i="3"/>
  <c r="N16" i="3"/>
  <c r="M35" i="3"/>
  <c r="N35" i="3" s="1"/>
  <c r="H366" i="3"/>
  <c r="H367" i="3" s="1"/>
  <c r="J366" i="3"/>
  <c r="J367" i="3" s="1"/>
  <c r="F66" i="2"/>
  <c r="C33" i="1" s="1"/>
  <c r="C35" i="1" s="1"/>
  <c r="F59" i="2"/>
  <c r="K366" i="3"/>
  <c r="G87" i="3"/>
  <c r="L88" i="3" s="1"/>
  <c r="G11" i="2" s="1"/>
  <c r="M32" i="3"/>
  <c r="N32" i="3" s="1"/>
  <c r="M31" i="3"/>
  <c r="N31" i="3" s="1"/>
  <c r="M27" i="3"/>
  <c r="N27" i="3" s="1"/>
  <c r="M34" i="3"/>
  <c r="N33" i="3"/>
  <c r="N13" i="3"/>
  <c r="E140" i="3" s="1"/>
  <c r="G140" i="3" s="1"/>
  <c r="N140" i="3" s="1"/>
  <c r="M38" i="3"/>
  <c r="N38" i="3" s="1"/>
  <c r="M37" i="3"/>
  <c r="N37" i="3" s="1"/>
  <c r="N15" i="3"/>
  <c r="E136" i="3" s="1"/>
  <c r="G136" i="3" s="1"/>
  <c r="N136" i="3" s="1"/>
  <c r="D157" i="3"/>
  <c r="G157" i="3" s="1"/>
  <c r="N157" i="3" s="1"/>
  <c r="D34" i="3"/>
  <c r="G34" i="3" s="1"/>
  <c r="M17" i="3"/>
  <c r="G22" i="3"/>
  <c r="M11" i="3"/>
  <c r="D25" i="3"/>
  <c r="G25" i="3" s="1"/>
  <c r="N28" i="3"/>
  <c r="S55" i="3" l="1"/>
  <c r="S54" i="3"/>
  <c r="I11" i="2"/>
  <c r="M25" i="3"/>
  <c r="M23" i="3"/>
  <c r="H9" i="2" s="1"/>
  <c r="N17" i="3"/>
  <c r="E145" i="3" s="1"/>
  <c r="G145" i="3" s="1"/>
  <c r="N145" i="3" s="1"/>
  <c r="M36" i="3"/>
  <c r="N36" i="3" s="1"/>
  <c r="I39" i="2"/>
  <c r="I43" i="2" s="1"/>
  <c r="J43" i="2" s="1"/>
  <c r="G43" i="2"/>
  <c r="K367" i="3"/>
  <c r="G39" i="3"/>
  <c r="D155" i="3"/>
  <c r="L23" i="3"/>
  <c r="G9" i="2" s="1"/>
  <c r="N108" i="3"/>
  <c r="G107" i="3"/>
  <c r="L108" i="3" s="1"/>
  <c r="G12" i="2" s="1"/>
  <c r="I12" i="2" s="1"/>
  <c r="N11" i="3"/>
  <c r="N34" i="3"/>
  <c r="S56" i="3" l="1"/>
  <c r="S60" i="3" s="1"/>
  <c r="D129" i="3"/>
  <c r="G129" i="3" s="1"/>
  <c r="G130" i="3" s="1"/>
  <c r="L131" i="3" s="1"/>
  <c r="G14" i="2" s="1"/>
  <c r="M40" i="3"/>
  <c r="H10" i="2" s="1"/>
  <c r="N25" i="3"/>
  <c r="N40" i="3" s="1"/>
  <c r="I9" i="2"/>
  <c r="E133" i="3"/>
  <c r="G133" i="3" s="1"/>
  <c r="N23" i="3"/>
  <c r="G155" i="3"/>
  <c r="M155" i="3"/>
  <c r="D156" i="3"/>
  <c r="G156" i="3" s="1"/>
  <c r="L40" i="3"/>
  <c r="G10" i="2" s="1"/>
  <c r="M156" i="3" l="1"/>
  <c r="N156" i="3" s="1"/>
  <c r="M158" i="3"/>
  <c r="M129" i="3"/>
  <c r="N129" i="3" s="1"/>
  <c r="N131" i="3" s="1"/>
  <c r="I10" i="2"/>
  <c r="D158" i="3"/>
  <c r="G158" i="3" s="1"/>
  <c r="N155" i="3"/>
  <c r="G149" i="3"/>
  <c r="N133" i="3"/>
  <c r="M160" i="3" l="1"/>
  <c r="H16" i="2" s="1"/>
  <c r="M131" i="3"/>
  <c r="H14" i="2" s="1"/>
  <c r="I14" i="2" s="1"/>
  <c r="N158" i="3"/>
  <c r="N160" i="3" s="1"/>
  <c r="G159" i="3"/>
  <c r="L160" i="3" s="1"/>
  <c r="G16" i="2" s="1"/>
  <c r="G150" i="3"/>
  <c r="N150" i="3" s="1"/>
  <c r="N152" i="3" s="1"/>
  <c r="M178" i="3" l="1"/>
  <c r="M366" i="3" s="1"/>
  <c r="N178" i="3"/>
  <c r="N366" i="3" s="1"/>
  <c r="I16" i="2"/>
  <c r="H18" i="2"/>
  <c r="G151" i="3"/>
  <c r="H59" i="2" l="1"/>
  <c r="H66" i="2"/>
  <c r="M367" i="3" s="1"/>
  <c r="L152" i="3"/>
  <c r="G178" i="3"/>
  <c r="G366" i="3"/>
  <c r="L178" i="3" l="1"/>
  <c r="L366" i="3" s="1"/>
  <c r="G15" i="2"/>
  <c r="I15" i="2" l="1"/>
  <c r="I18" i="2" s="1"/>
  <c r="G18" i="2"/>
  <c r="G59" i="2" l="1"/>
  <c r="G66" i="2"/>
  <c r="L367" i="3" s="1"/>
  <c r="J18" i="2"/>
  <c r="I66" i="2"/>
  <c r="I59" i="2"/>
  <c r="J59" i="2" s="1"/>
  <c r="N370" i="3" l="1"/>
  <c r="N372" i="3" s="1"/>
  <c r="I69" i="2"/>
  <c r="C37" i="1"/>
  <c r="J66" i="2"/>
  <c r="N367" i="3"/>
  <c r="G29" i="1" l="1"/>
  <c r="H29" i="1" s="1"/>
  <c r="G27" i="1"/>
  <c r="H27" i="1" s="1"/>
  <c r="C36" i="1" l="1"/>
  <c r="C39" i="1" s="1"/>
  <c r="G31" i="1"/>
  <c r="H31" i="1" s="1"/>
</calcChain>
</file>

<file path=xl/comments1.xml><?xml version="1.0" encoding="utf-8"?>
<comments xmlns="http://schemas.openxmlformats.org/spreadsheetml/2006/main">
  <authors>
    <author/>
  </authors>
  <commentList>
    <comment ref="E32" authorId="0" shapeId="0">
      <text>
        <r>
          <rPr>
            <sz val="10"/>
            <rFont val="Arial"/>
            <family val="2"/>
          </rPr>
          <t xml:space="preserve"> county tax rate x verona eq value </t>
        </r>
      </text>
    </comment>
  </commentList>
</comments>
</file>

<file path=xl/sharedStrings.xml><?xml version="1.0" encoding="utf-8"?>
<sst xmlns="http://schemas.openxmlformats.org/spreadsheetml/2006/main" count="639" uniqueCount="468">
  <si>
    <t>LIBRARY</t>
  </si>
  <si>
    <t>fill in gray areas</t>
  </si>
  <si>
    <t>6/30</t>
  </si>
  <si>
    <t>ADOPTED</t>
  </si>
  <si>
    <t>ACTUAL</t>
  </si>
  <si>
    <t>BUDGET</t>
  </si>
  <si>
    <t>PROJECTED</t>
  </si>
  <si>
    <t>%</t>
  </si>
  <si>
    <t>020-4XXXX</t>
  </si>
  <si>
    <t>INCR (DECR)</t>
  </si>
  <si>
    <t>NOTES</t>
  </si>
  <si>
    <t>REVENUES</t>
  </si>
  <si>
    <t>TAX LEVY OPERATIONS</t>
  </si>
  <si>
    <t>TAX LEVY DEBT SERVICE</t>
  </si>
  <si>
    <t>SOUTH CENTRAL LIBRARY SYSTEM</t>
  </si>
  <si>
    <t>DANE COUNTY</t>
  </si>
  <si>
    <t>DC FACILITY REIMBURSEMENT</t>
  </si>
  <si>
    <t>FINES/FORFEITURES</t>
  </si>
  <si>
    <t>COPIES</t>
  </si>
  <si>
    <t>FAX</t>
  </si>
  <si>
    <t>MISCELLANEOUS</t>
  </si>
  <si>
    <t>INTEREST INCOME</t>
  </si>
  <si>
    <t>RENTS</t>
  </si>
  <si>
    <t>GRANTS AND GIFTS</t>
  </si>
  <si>
    <t>GRANTS AND GIFTS-MCF</t>
  </si>
  <si>
    <t>GRANTS AND GIFTS-LSTA</t>
  </si>
  <si>
    <t>DONATIONS</t>
  </si>
  <si>
    <t>MEMORIALS</t>
  </si>
  <si>
    <t>TRF FROM OTHER FUNDS (APPLY TO DEBT)</t>
  </si>
  <si>
    <t>FUND BALANCE APPLIED</t>
  </si>
  <si>
    <t>TOTAL LIBRARY REVENUES</t>
  </si>
  <si>
    <t>Fund Balance Increased</t>
  </si>
  <si>
    <t>Operating</t>
  </si>
  <si>
    <t>LEVY Increase (Decrease)</t>
  </si>
  <si>
    <t>DEBT</t>
  </si>
  <si>
    <t>Levy Minimum</t>
  </si>
  <si>
    <t>Minimum amount to exempt Verona from library tax is</t>
  </si>
  <si>
    <t>To be updated when information is available</t>
  </si>
  <si>
    <t xml:space="preserve">      Fund Balance</t>
  </si>
  <si>
    <t>VERONA PUBLIC LIBRARY</t>
  </si>
  <si>
    <t>Adjust.</t>
  </si>
  <si>
    <t>Department</t>
  </si>
  <si>
    <t>Increase</t>
  </si>
  <si>
    <t>020-55100</t>
  </si>
  <si>
    <t>Request</t>
  </si>
  <si>
    <t>(Decrease)</t>
  </si>
  <si>
    <t>PERSONNEL SERVICES</t>
  </si>
  <si>
    <t>FULL-TIME WAGES</t>
  </si>
  <si>
    <t>LONGEVITY</t>
  </si>
  <si>
    <t>PART-TIME WAGES</t>
  </si>
  <si>
    <t>HEALTH INSURANCE</t>
  </si>
  <si>
    <t>DENTAL INSURANCE</t>
  </si>
  <si>
    <t>SOCIAL SECURITY</t>
  </si>
  <si>
    <t>LIFE INSURANCE</t>
  </si>
  <si>
    <t>WISCONSIN RETIREMENT</t>
  </si>
  <si>
    <t>TOTAL PERSONNEL SERVICES</t>
  </si>
  <si>
    <t/>
  </si>
  <si>
    <t>OPERATING EXPENDITURES</t>
  </si>
  <si>
    <t>050 ATTORNEY</t>
  </si>
  <si>
    <t>UTILITIES</t>
  </si>
  <si>
    <t>PRINTING</t>
  </si>
  <si>
    <t>COMMUNICATIONS</t>
  </si>
  <si>
    <t>REPAIR/MAINTENANCE SERVICES</t>
  </si>
  <si>
    <t>OTHER CONTRACTUAL</t>
  </si>
  <si>
    <t>RECRUITMENT</t>
  </si>
  <si>
    <t>OFFICE SUPPLIES</t>
  </si>
  <si>
    <t>505 COPIER SUPPLIES</t>
  </si>
  <si>
    <t>MEMBERSHIP AND DUES</t>
  </si>
  <si>
    <t>TRAVEL</t>
  </si>
  <si>
    <t>EDUCATION - TRAINING</t>
  </si>
  <si>
    <t>OPERATING SUPPLIES</t>
  </si>
  <si>
    <t>REPAIR/MAINTENANCE SUPPLIES</t>
  </si>
  <si>
    <t>OTHER COMMODITIES</t>
  </si>
  <si>
    <t>DATA PROCESSING/LINK</t>
  </si>
  <si>
    <t>INSURANCE</t>
  </si>
  <si>
    <t>RENTS/LEASES</t>
  </si>
  <si>
    <t>PROGRAMMING</t>
  </si>
  <si>
    <t>GRANT/GIFT EXPENSE</t>
  </si>
  <si>
    <t>SCLS GRANT</t>
  </si>
  <si>
    <t>TOTAL OPERATING EXPENDITURES</t>
  </si>
  <si>
    <t>SUPPLIES AND MATERIALS</t>
  </si>
  <si>
    <t>OFFICE EQUIPMENT</t>
  </si>
  <si>
    <t>501 ADULT BOOKS</t>
  </si>
  <si>
    <t>502 JUVENILE BOOKS</t>
  </si>
  <si>
    <t>503 VIDEO MATERIALS</t>
  </si>
  <si>
    <t>504 AUDIO MATERIALS</t>
  </si>
  <si>
    <t>506 ELECTRONIC MEDIA</t>
  </si>
  <si>
    <t>508 MAGAZINE SUBSCRIPTIONS</t>
  </si>
  <si>
    <t>BUILDING RESERVE CONTRIBUTION</t>
  </si>
  <si>
    <t>EQUIP/FACILITY IMPROVEMENTS</t>
  </si>
  <si>
    <t>TOTAL SUPPLIES AND MATERIALS</t>
  </si>
  <si>
    <t>RESERVE FUNDED EXPENDITURES</t>
  </si>
  <si>
    <t>TOTAL LIBRARY BUDGET</t>
  </si>
  <si>
    <t>DEBT SERVICE</t>
  </si>
  <si>
    <t>PRINCIPAL</t>
  </si>
  <si>
    <t>INTEREST</t>
  </si>
  <si>
    <t>TOTAL DEBT SERVICE</t>
  </si>
  <si>
    <t>TOTAL LIBRARY EXPENDITURES</t>
  </si>
  <si>
    <t>{Print.Use lineitem}</t>
  </si>
  <si>
    <t>{Print.Block "LINE ITEM EXP:A1..K59"}</t>
  </si>
  <si>
    <t>{Print.Top_Margin "0.20 in"}</t>
  </si>
  <si>
    <t>{Print.Bottom_Margin "0.20 in"}</t>
  </si>
  <si>
    <t>{Preview}</t>
  </si>
  <si>
    <t>{Print.Use worksheet}</t>
  </si>
  <si>
    <t>{Print.Block "JUSTIFICATION:A1..N245"}</t>
  </si>
  <si>
    <t>{Print.Scaling "70"}</t>
  </si>
  <si>
    <t>{Print.Print_To_Fit No}</t>
  </si>
  <si>
    <t>{Print.Orientation Landscape}</t>
  </si>
  <si>
    <t>CITY OF VERONA</t>
  </si>
  <si>
    <t>Pages</t>
  </si>
  <si>
    <t xml:space="preserve">   1 - 6</t>
  </si>
  <si>
    <t>Acct No.</t>
  </si>
  <si>
    <t>Description</t>
  </si>
  <si>
    <t>DEPT USE-DATA ENTRY AREA</t>
  </si>
  <si>
    <t>Formula Driven - No Data Entry Required</t>
  </si>
  <si>
    <t>020</t>
  </si>
  <si>
    <t>Year End</t>
  </si>
  <si>
    <t>6 Mos</t>
  </si>
  <si>
    <t>Adopted</t>
  </si>
  <si>
    <t>Dept.</t>
  </si>
  <si>
    <t>Actual</t>
  </si>
  <si>
    <t>Budget</t>
  </si>
  <si>
    <t>Estimate</t>
  </si>
  <si>
    <t>Proposed</t>
  </si>
  <si>
    <t>Comments/Notes</t>
  </si>
  <si>
    <t>Annual</t>
  </si>
  <si>
    <t>Total</t>
  </si>
  <si>
    <t>Employee</t>
  </si>
  <si>
    <t>Hours</t>
  </si>
  <si>
    <t>FTE</t>
  </si>
  <si>
    <t>Salary</t>
  </si>
  <si>
    <t>Wages</t>
  </si>
  <si>
    <t>Full Time Wages</t>
  </si>
  <si>
    <t>Julie Harrison /Assist Library Director</t>
  </si>
  <si>
    <t xml:space="preserve">COLA </t>
  </si>
  <si>
    <t xml:space="preserve">  Subtotal Full Time Wages</t>
  </si>
  <si>
    <t>percent not official</t>
  </si>
  <si>
    <t>Estimated Current Year</t>
  </si>
  <si>
    <t xml:space="preserve">Longevity </t>
  </si>
  <si>
    <t>Long %</t>
  </si>
  <si>
    <t>Proration of Year</t>
  </si>
  <si>
    <t>Long.</t>
  </si>
  <si>
    <t>Sherry Golz-Waldhart/Library Assistant</t>
  </si>
  <si>
    <t>Connie Donkle/Library Assistant</t>
  </si>
  <si>
    <t>Judy Weidman/Library Assistant</t>
  </si>
  <si>
    <t>Margaret Nelson/Library Assistant</t>
  </si>
  <si>
    <t xml:space="preserve">  Subtotal Longevity</t>
  </si>
  <si>
    <t>Part Time Wages</t>
  </si>
  <si>
    <t>Hourly</t>
  </si>
  <si>
    <t>Rate</t>
  </si>
  <si>
    <t>Nonexempt</t>
  </si>
  <si>
    <t xml:space="preserve">   Subtotal Non Exempt</t>
  </si>
  <si>
    <t>Exempt</t>
  </si>
  <si>
    <t>Christopher Brown/Library Assistant</t>
  </si>
  <si>
    <t>Karen Turner/Library Assistant</t>
  </si>
  <si>
    <t>Elizabeth Strutz/Admin Assistant</t>
  </si>
  <si>
    <t>Summer Libr Prgm LTE/</t>
  </si>
  <si>
    <t xml:space="preserve">   Subtotal Exempt</t>
  </si>
  <si>
    <t xml:space="preserve">PAGES </t>
  </si>
  <si>
    <t xml:space="preserve">   Subtotal Pages (Exempt)</t>
  </si>
  <si>
    <t xml:space="preserve">COLA  rate </t>
  </si>
  <si>
    <t xml:space="preserve">  Subtotal Part Time Wages</t>
  </si>
  <si>
    <t>unofficial</t>
  </si>
  <si>
    <t>Health Insurance</t>
  </si>
  <si>
    <t>Month</t>
  </si>
  <si>
    <t>Family</t>
  </si>
  <si>
    <t>Single</t>
  </si>
  <si>
    <t>Trudy Lorandos - Unity UW</t>
  </si>
  <si>
    <t xml:space="preserve">Waived </t>
  </si>
  <si>
    <t>Mark Cullen</t>
  </si>
  <si>
    <t>Eligible</t>
  </si>
  <si>
    <t xml:space="preserve">  Subtotal Health Insurance</t>
  </si>
  <si>
    <t>EE/Child</t>
  </si>
  <si>
    <t>EE/Spouse</t>
  </si>
  <si>
    <t>Dental Insurance</t>
  </si>
  <si>
    <t>Total Dental Plan Premiums</t>
  </si>
  <si>
    <t xml:space="preserve">  Subtotal Dental Insurance</t>
  </si>
  <si>
    <t xml:space="preserve">                ALL COVERAGES</t>
  </si>
  <si>
    <t>Social Security</t>
  </si>
  <si>
    <t>FICA</t>
  </si>
  <si>
    <t>Medicare</t>
  </si>
  <si>
    <t>Total S.S.</t>
  </si>
  <si>
    <t xml:space="preserve">  Subtotal Social Security</t>
  </si>
  <si>
    <t>Life Insurance</t>
  </si>
  <si>
    <t>D.O.B.</t>
  </si>
  <si>
    <t xml:space="preserve"> Wages (000)</t>
  </si>
  <si>
    <t>Mo./$1000</t>
  </si>
  <si>
    <t>waived</t>
  </si>
  <si>
    <t>J. Harrison</t>
  </si>
  <si>
    <t>T. Skov</t>
  </si>
  <si>
    <t>L. Portz</t>
  </si>
  <si>
    <t>T. Lepien</t>
  </si>
  <si>
    <t>C. Donkle</t>
  </si>
  <si>
    <t>Ronda Evenson</t>
  </si>
  <si>
    <t>S.Golz-Waldhart</t>
  </si>
  <si>
    <t>J. Weidman</t>
  </si>
  <si>
    <t xml:space="preserve">   Subtotal Life Insurance</t>
  </si>
  <si>
    <t>Plus Administration Fee</t>
  </si>
  <si>
    <t xml:space="preserve">  Subtotal Life Insurance</t>
  </si>
  <si>
    <t>WRS</t>
  </si>
  <si>
    <t>WI Retire</t>
  </si>
  <si>
    <t>WI Retirement</t>
  </si>
  <si>
    <t>Longevity</t>
  </si>
  <si>
    <t>Less:  WRS Employee Contribution</t>
  </si>
  <si>
    <t xml:space="preserve">  Subtotal WI Retirement</t>
  </si>
  <si>
    <t>PREM HO</t>
  </si>
  <si>
    <t>Income Continuation</t>
  </si>
  <si>
    <t>R. Evenson</t>
  </si>
  <si>
    <t>S. Burkart</t>
  </si>
  <si>
    <t>T.Lorandos</t>
  </si>
  <si>
    <t xml:space="preserve">  Subtotal Income Continuation</t>
  </si>
  <si>
    <t>Professional Svces.</t>
  </si>
  <si>
    <t xml:space="preserve">Professional Audit </t>
  </si>
  <si>
    <t>Annual audit performed by Baker Tilly</t>
  </si>
  <si>
    <t xml:space="preserve">  Subtotal Professional Svces.</t>
  </si>
  <si>
    <t>Legal Fees</t>
  </si>
  <si>
    <t>050</t>
  </si>
  <si>
    <t>Madison Gas</t>
  </si>
  <si>
    <t>Alliant (Elec)</t>
  </si>
  <si>
    <t>Wtr,swr,storm</t>
  </si>
  <si>
    <t>Utilities</t>
  </si>
  <si>
    <t xml:space="preserve">  Subtotal Utilities</t>
  </si>
  <si>
    <t>Printing</t>
  </si>
  <si>
    <t xml:space="preserve">  Subtotal Printing</t>
  </si>
  <si>
    <t>Communications</t>
  </si>
  <si>
    <t>TDS Phone</t>
  </si>
  <si>
    <t>Other</t>
  </si>
  <si>
    <t xml:space="preserve">  Subtotal Communications</t>
  </si>
  <si>
    <t>Repair/Mtce Services</t>
  </si>
  <si>
    <t>floor/carpet cleaning</t>
  </si>
  <si>
    <t>Mechanicals/Electrical/Security/Handyman</t>
  </si>
  <si>
    <t>Window cleaning</t>
  </si>
  <si>
    <t xml:space="preserve">  Subtotal Repair/Mtce Services</t>
  </si>
  <si>
    <t>Other Contractual</t>
  </si>
  <si>
    <t xml:space="preserve">Janitorial Services </t>
  </si>
  <si>
    <t>Hellenbrand water softener</t>
  </si>
  <si>
    <t>Cintas fire monitoring</t>
  </si>
  <si>
    <t>Premium Water</t>
  </si>
  <si>
    <t>Landscaping</t>
  </si>
  <si>
    <t>Cintas floor mats</t>
  </si>
  <si>
    <t>Cintas fire system inspection</t>
  </si>
  <si>
    <t xml:space="preserve">H &amp; H (HVAC) </t>
  </si>
  <si>
    <t>Professional Pest Control</t>
  </si>
  <si>
    <t xml:space="preserve">  Subtotal Other Contractual</t>
  </si>
  <si>
    <t>Recruitment</t>
  </si>
  <si>
    <t>Ads/travel/background checks</t>
  </si>
  <si>
    <t xml:space="preserve">  Subtotal Office Supplies</t>
  </si>
  <si>
    <t>Office Supplies</t>
  </si>
  <si>
    <t>move to 340 cross functional supplies</t>
  </si>
  <si>
    <t>Copier Supplies</t>
  </si>
  <si>
    <t>Copier</t>
  </si>
  <si>
    <t xml:space="preserve">  Subtotal Copier Supplies</t>
  </si>
  <si>
    <t>Memberships/Dues</t>
  </si>
  <si>
    <t>WI Library Association</t>
  </si>
  <si>
    <t>6 Memberships</t>
  </si>
  <si>
    <t>Other/ALA</t>
  </si>
  <si>
    <t>4 ALA/PLA Memberships</t>
  </si>
  <si>
    <t xml:space="preserve">  Subtotal Memberships/Dues</t>
  </si>
  <si>
    <t>Travel</t>
  </si>
  <si>
    <t>Mileage Reimbursement-Airfare</t>
  </si>
  <si>
    <t>Lodging/Meals</t>
  </si>
  <si>
    <t>Parking/Driving Mileage</t>
  </si>
  <si>
    <t xml:space="preserve">  Subtotal Travel</t>
  </si>
  <si>
    <t>Education</t>
  </si>
  <si>
    <t>WLA/WAPL/SCLS</t>
  </si>
  <si>
    <t>ALA</t>
  </si>
  <si>
    <t>Staff Training</t>
  </si>
  <si>
    <t xml:space="preserve">  Subtotal Education</t>
  </si>
  <si>
    <t>Operating Supplies</t>
  </si>
  <si>
    <t>Postage</t>
  </si>
  <si>
    <t>RFID Tags</t>
  </si>
  <si>
    <t>Toner</t>
  </si>
  <si>
    <t xml:space="preserve">  Subtotal Operating Supplies</t>
  </si>
  <si>
    <t>Repair/Mtce Supplies</t>
  </si>
  <si>
    <t>Repair Supplies</t>
  </si>
  <si>
    <t>AED replacement parts</t>
  </si>
  <si>
    <t xml:space="preserve">  Subtotal Repair/Mtce Supplies</t>
  </si>
  <si>
    <t>Other Commodities</t>
  </si>
  <si>
    <t>Refund for returned items</t>
  </si>
  <si>
    <t xml:space="preserve">  Subtotal Data Proc/LINK</t>
  </si>
  <si>
    <t>Data Processing/LINK</t>
  </si>
  <si>
    <t>Self-check &amp; RFID Maintenance Fees</t>
  </si>
  <si>
    <t>Evanced Room Reservation Software</t>
  </si>
  <si>
    <t>Bookletters</t>
  </si>
  <si>
    <t>SurveyMonkey</t>
  </si>
  <si>
    <t>Wireless Printing</t>
  </si>
  <si>
    <t>Email Access/Constant Contact</t>
  </si>
  <si>
    <t>includes licensing and delivery service fees</t>
  </si>
  <si>
    <t>Insurance</t>
  </si>
  <si>
    <t>Workers Comp</t>
  </si>
  <si>
    <t>Liability</t>
  </si>
  <si>
    <t>Property Insurance</t>
  </si>
  <si>
    <t xml:space="preserve">  Subtotal Insurance</t>
  </si>
  <si>
    <t>Rents/Leases</t>
  </si>
  <si>
    <t>Gordon Flesch Leases:</t>
  </si>
  <si>
    <t>$ per month</t>
  </si>
  <si>
    <t># of months</t>
  </si>
  <si>
    <t xml:space="preserve">   Copier</t>
  </si>
  <si>
    <t>Maintenance Fee</t>
  </si>
  <si>
    <t>FP Postal Meter Rental</t>
  </si>
  <si>
    <t xml:space="preserve">  Subtotal Rents/Leases</t>
  </si>
  <si>
    <t>Programming</t>
  </si>
  <si>
    <t>Adult</t>
  </si>
  <si>
    <t xml:space="preserve">  Subtotal Grants/Gift Exp</t>
  </si>
  <si>
    <t>Grants/Gift Expense</t>
  </si>
  <si>
    <t>Grants/gifts</t>
  </si>
  <si>
    <t>Office Equipment</t>
  </si>
  <si>
    <t xml:space="preserve">laptop lab </t>
  </si>
  <si>
    <t>computer updates</t>
  </si>
  <si>
    <t xml:space="preserve">  Subtotal Office Equipment</t>
  </si>
  <si>
    <t>Operating Equipment</t>
  </si>
  <si>
    <t>Adult Books</t>
  </si>
  <si>
    <t>Books</t>
  </si>
  <si>
    <t xml:space="preserve">  Subtotal Operating Equipment</t>
  </si>
  <si>
    <t>Juvenile Books</t>
  </si>
  <si>
    <t>Video Cassettes/DVD</t>
  </si>
  <si>
    <t>Audio Materials</t>
  </si>
  <si>
    <t>Electronic Media</t>
  </si>
  <si>
    <t>SCLS Database subscription costs/e-content</t>
  </si>
  <si>
    <t>Magazine Subscriptions</t>
  </si>
  <si>
    <t>Periodicals</t>
  </si>
  <si>
    <t>Building Reserve</t>
  </si>
  <si>
    <t xml:space="preserve">    Contribution</t>
  </si>
  <si>
    <r>
      <t>Replacement Reserve contribution</t>
    </r>
    <r>
      <rPr>
        <sz val="10"/>
        <color rgb="FFFFFFFF"/>
        <rFont val="Arial"/>
        <family val="2"/>
      </rPr>
      <t xml:space="preserve"> door computer/entrymat/light bulbs/parkinglot/etc.</t>
    </r>
  </si>
  <si>
    <t xml:space="preserve">  Subtotal Building Improvement</t>
  </si>
  <si>
    <t>Operating Equip/Facility</t>
  </si>
  <si>
    <t>Subtotal Operating Equipment</t>
  </si>
  <si>
    <t>TOTAL CAPITAL OUTLAY</t>
  </si>
  <si>
    <t>55101   815</t>
  </si>
  <si>
    <t>MCF Grant Funded</t>
  </si>
  <si>
    <t xml:space="preserve">  Subtotal MCF Grant Funded</t>
  </si>
  <si>
    <t>Epic Grant Funded</t>
  </si>
  <si>
    <t xml:space="preserve">  Subtotal Epic Grant Funded</t>
  </si>
  <si>
    <t>LSTA Grant Funded</t>
  </si>
  <si>
    <t xml:space="preserve">  Subtotal LSTA Grant Funded</t>
  </si>
  <si>
    <t>Subtotal Operating Equipment Grant Funded</t>
  </si>
  <si>
    <t>55102  815</t>
  </si>
  <si>
    <t xml:space="preserve">  Subtotal Library General Bldg</t>
  </si>
  <si>
    <t>Subtotal Operating Equipment Grant / Reserve Funded</t>
  </si>
  <si>
    <t>Debt Service</t>
  </si>
  <si>
    <t>Principal</t>
  </si>
  <si>
    <t xml:space="preserve">  Subtotal Debt Principal</t>
  </si>
  <si>
    <t>Interest</t>
  </si>
  <si>
    <t xml:space="preserve">  Subtotal Debt Interest</t>
  </si>
  <si>
    <t>TOTAL LIBRARY</t>
  </si>
  <si>
    <t>UC CLAIMS</t>
  </si>
  <si>
    <t>RESERVE EXPENDITURES</t>
  </si>
  <si>
    <t xml:space="preserve">   12/31/2018 projected</t>
  </si>
  <si>
    <t>Mary Ostrander /Youth Svces Librarian</t>
  </si>
  <si>
    <t>Ronda Evenson - Unity UW</t>
  </si>
  <si>
    <t>*expected, not approved</t>
  </si>
  <si>
    <t>E. Cobb</t>
  </si>
  <si>
    <t>Emma Cobb/Head of Reference</t>
  </si>
  <si>
    <t>Lorandos, Trudy/Adult Program Coordinator</t>
  </si>
  <si>
    <t>Ronda Evenson/Head of Circulation</t>
  </si>
  <si>
    <t>Theresa Skov/Head of Tech Services</t>
  </si>
  <si>
    <t xml:space="preserve">Ronda Evenson/Head of Circulation </t>
  </si>
  <si>
    <t xml:space="preserve">Ahern Fire Sprinkler Inspection </t>
  </si>
  <si>
    <t>5% estimated increase cost due to proposed Sunday hours offset by LED lightbulb project</t>
  </si>
  <si>
    <t>5% increase for expected building use increase with proposed Sunday hours</t>
  </si>
  <si>
    <t>Book/AV processing</t>
  </si>
  <si>
    <t>Janitorial/maintenance supplies</t>
  </si>
  <si>
    <t>Office supplies</t>
  </si>
  <si>
    <t>Office equipment</t>
  </si>
  <si>
    <t>Library cards</t>
  </si>
  <si>
    <t>Website</t>
  </si>
  <si>
    <t>Stacey Burkart/Library Director</t>
  </si>
  <si>
    <t>Marisa Gehrke/Community Engagement</t>
  </si>
  <si>
    <t>Julie Harrison/Assist Library Director</t>
  </si>
  <si>
    <t>Tonja Lepien/Reference Librarian</t>
  </si>
  <si>
    <t>Mary Ostrander/Youth Svces Librarian</t>
  </si>
  <si>
    <t>Leah Portz/Youth Services Librarian</t>
  </si>
  <si>
    <t>Mark Cullen/Reference Librarian</t>
  </si>
  <si>
    <t>Tonja Lepien/ Reference Librarian</t>
  </si>
  <si>
    <t>Stacey Burkart - Unity UW</t>
  </si>
  <si>
    <t>Emma Cobb - Unity UW</t>
  </si>
  <si>
    <t>Judy Weidman - Unity UW</t>
  </si>
  <si>
    <t>Mary Ostrander</t>
  </si>
  <si>
    <t>Marissa Gehrke- Unity UW</t>
  </si>
  <si>
    <t>Connie Donkle - UW Health</t>
  </si>
  <si>
    <t xml:space="preserve">Theresa Skov </t>
  </si>
  <si>
    <t>Leah Portz - Unity UW</t>
  </si>
  <si>
    <t xml:space="preserve">Tonja Lepien - Unity UW </t>
  </si>
  <si>
    <t>Sherry Golz-Waldhart</t>
  </si>
  <si>
    <t>Elizabeth Strutz</t>
  </si>
  <si>
    <t xml:space="preserve">Julie Harrison </t>
  </si>
  <si>
    <t>Stacey Burkart</t>
  </si>
  <si>
    <t>Emma Cobb</t>
  </si>
  <si>
    <t>Trudy Lorandos</t>
  </si>
  <si>
    <t>Judy Weidman  (.6 FTE)</t>
  </si>
  <si>
    <t>Connie Donkle (.5 FTE)</t>
  </si>
  <si>
    <t>Sherry Golz-Waldhart (.5 FTE)</t>
  </si>
  <si>
    <t>Theresa Skov</t>
  </si>
  <si>
    <t>Leah Portz</t>
  </si>
  <si>
    <t>Tonja Lepien</t>
  </si>
  <si>
    <t>Marissa Gehrke</t>
  </si>
  <si>
    <t>Julie Harrison</t>
  </si>
  <si>
    <t>Connie Donkle</t>
  </si>
  <si>
    <t>Judy Weidman</t>
  </si>
  <si>
    <t>Mia Imperl/Library Assistant</t>
  </si>
  <si>
    <t>Kris Becker/Library Assistant</t>
  </si>
  <si>
    <t>Michael Richardson/Library Assistant</t>
  </si>
  <si>
    <t>Sarah Sandler/Library Assistant</t>
  </si>
  <si>
    <t>DVDs/Blu-ray/Wii/Streaming video devices</t>
  </si>
  <si>
    <t>PROPOSED 2019 BUDGET</t>
  </si>
  <si>
    <t>PROPOSED</t>
  </si>
  <si>
    <t xml:space="preserve">12/31/17 Fund Bal </t>
  </si>
  <si>
    <t>2018 projected revenue</t>
  </si>
  <si>
    <t>2018 projected expend</t>
  </si>
  <si>
    <t>2019 proposed revenue</t>
  </si>
  <si>
    <t>2019 proposed expenditures</t>
  </si>
  <si>
    <t xml:space="preserve">   12/31/2019 projected</t>
  </si>
  <si>
    <t>PROFESSIONAL SERVICES</t>
  </si>
  <si>
    <t>2019 BUDGET PROPOSAL</t>
  </si>
  <si>
    <t>Page I</t>
  </si>
  <si>
    <t>Still open?</t>
  </si>
  <si>
    <t>On decrease?</t>
  </si>
  <si>
    <t>Total Est</t>
  </si>
  <si>
    <t>Page II - Kara Van Roy</t>
  </si>
  <si>
    <t>Page II - Rajeswari Kandasamy</t>
  </si>
  <si>
    <t>Page I -</t>
  </si>
  <si>
    <t>Page II - Kathleen Ochowski</t>
  </si>
  <si>
    <t>Children's/Teen</t>
  </si>
  <si>
    <t>Outreach</t>
  </si>
  <si>
    <t>Movie Licenses/ASL interpreter/</t>
  </si>
  <si>
    <t>Marketing</t>
  </si>
  <si>
    <t>books/supplies for library outreach</t>
  </si>
  <si>
    <t>Increase of $5000 to update lab computers</t>
  </si>
  <si>
    <t>5% increase plus $500 to add Sunday NY Times</t>
  </si>
  <si>
    <t>5% increase</t>
  </si>
  <si>
    <t>*starting wage for Library Page I &amp; II increased $.50</t>
  </si>
  <si>
    <t>Increased from 50% to 60%</t>
  </si>
  <si>
    <t>Brian Spranger/Library Assistant</t>
  </si>
  <si>
    <t>Library Assistant/Augspurger</t>
  </si>
  <si>
    <t>Library Assistant/Doing</t>
  </si>
  <si>
    <t>Library Assistant/Matulat</t>
  </si>
  <si>
    <t>2018 LTE positions become permanent and increase from 20% to 40% (Sundays)</t>
  </si>
  <si>
    <t>Increase LTE wage from $15/hr to $18.25</t>
  </si>
  <si>
    <t>4% increase per agreement</t>
  </si>
  <si>
    <t>SCLS/LINK/Wireless</t>
  </si>
  <si>
    <t>printing costs &amp; promotional materials</t>
  </si>
  <si>
    <t>Chromebook/laptop replacements</t>
  </si>
  <si>
    <t>memory lab/scanning equip</t>
  </si>
  <si>
    <t>Scanner &amp; equipment to convert photos, docs, videos to digital format</t>
  </si>
  <si>
    <t>Furniture</t>
  </si>
  <si>
    <t>Increase from 40% to 50%</t>
  </si>
  <si>
    <t>Trudy Lorandos/Adult Program Coordinator</t>
  </si>
  <si>
    <t>Library Assistant/vacant</t>
  </si>
  <si>
    <t>Page II - Jana Schroeer</t>
  </si>
  <si>
    <t>?</t>
  </si>
  <si>
    <t>4-door hatchback car to be used by Community Engagement Librarian</t>
  </si>
  <si>
    <t>adding $4000 to upgrade 4 wireless access points</t>
  </si>
  <si>
    <t>Fuel and vehicle maintenance</t>
  </si>
  <si>
    <t xml:space="preserve">increase of 3% </t>
  </si>
  <si>
    <t>*2019 estimated</t>
  </si>
  <si>
    <t>Increase of $1250</t>
  </si>
  <si>
    <t>Furniture replacement from RESERVES</t>
  </si>
  <si>
    <t>Reupholstery or replacement of worn furniture</t>
  </si>
  <si>
    <t>IN CAPITAL</t>
  </si>
  <si>
    <t>Outreach vehicle $20000</t>
  </si>
  <si>
    <t>Increase of $2750</t>
  </si>
  <si>
    <t>5% databases increase plus $5000 to add OverDrive Advantage account</t>
  </si>
  <si>
    <t>6% increase</t>
  </si>
  <si>
    <t>Michael Richardson</t>
  </si>
  <si>
    <t>Need to be at 2,264,612 I believe</t>
  </si>
  <si>
    <t>YS Library Assistant/Karls</t>
  </si>
  <si>
    <t>YS Library Assistant/Adams</t>
  </si>
  <si>
    <t>Youth Services Library Assistant II/Makos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</si>
</sst>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[$$-409]\ #,##0"/>
    <numFmt numFmtId="165" formatCode="[$$-409]\ #,##0.00"/>
    <numFmt numFmtId="166" formatCode="mm/dd/yy;@"/>
    <numFmt numFmtId="167" formatCode="&quot;$&quot;#,##0"/>
    <numFmt numFmtId="168" formatCode="0.000%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i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8000"/>
      <name val="Arial"/>
      <family val="2"/>
    </font>
    <font>
      <sz val="10"/>
      <color rgb="FFFFFF00"/>
      <name val="Arial"/>
      <family val="2"/>
    </font>
    <font>
      <b/>
      <i/>
      <sz val="8"/>
      <color rgb="FF800000"/>
      <name val="Arial"/>
      <family val="2"/>
    </font>
    <font>
      <b/>
      <sz val="8"/>
      <color rgb="FF9F0000"/>
      <name val="Arial"/>
      <family val="2"/>
    </font>
    <font>
      <b/>
      <i/>
      <sz val="8"/>
      <color rgb="FF9F0000"/>
      <name val="Arial"/>
      <family val="2"/>
    </font>
    <font>
      <b/>
      <sz val="10"/>
      <color rgb="FF9F0000"/>
      <name val="Arial"/>
      <family val="2"/>
    </font>
    <font>
      <sz val="9"/>
      <name val="Arial"/>
      <family val="2"/>
    </font>
    <font>
      <b/>
      <i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sz val="10"/>
      <name val="Arial"/>
      <family val="2"/>
    </font>
    <font>
      <b/>
      <i/>
      <sz val="12"/>
      <color rgb="FF0000FF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b/>
      <i/>
      <sz val="9"/>
      <color rgb="FF008000"/>
      <name val="Arial"/>
      <family val="2"/>
    </font>
    <font>
      <b/>
      <i/>
      <sz val="8"/>
      <name val="Arial"/>
      <family val="2"/>
    </font>
    <font>
      <sz val="10"/>
      <color rgb="FF0000FF"/>
      <name val="Arial"/>
      <family val="2"/>
    </font>
    <font>
      <sz val="10"/>
      <name val="BinnerD"/>
    </font>
    <font>
      <i/>
      <sz val="10"/>
      <name val="Arial"/>
      <family val="2"/>
    </font>
    <font>
      <sz val="10"/>
      <color rgb="FFFF0000"/>
      <name val="Arial"/>
      <family val="2"/>
    </font>
    <font>
      <b/>
      <i/>
      <sz val="8"/>
      <color rgb="FF0000FF"/>
      <name val="Arial"/>
      <family val="2"/>
    </font>
    <font>
      <b/>
      <i/>
      <sz val="10"/>
      <color rgb="FF800080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i/>
      <sz val="8"/>
      <color rgb="FF800080"/>
      <name val="Arial"/>
      <family val="2"/>
    </font>
    <font>
      <b/>
      <i/>
      <sz val="8"/>
      <color rgb="FF800080"/>
      <name val="Arial"/>
      <family val="2"/>
    </font>
    <font>
      <sz val="10"/>
      <color rgb="FF800000"/>
      <name val="Arial"/>
      <family val="2"/>
    </font>
    <font>
      <b/>
      <sz val="10"/>
      <color rgb="FF0000FF"/>
      <name val="Arial"/>
      <family val="2"/>
    </font>
    <font>
      <i/>
      <sz val="10"/>
      <color rgb="FF963634"/>
      <name val="Arial"/>
      <family val="2"/>
    </font>
    <font>
      <i/>
      <sz val="10"/>
      <color rgb="FF800000"/>
      <name val="Arial"/>
      <family val="2"/>
    </font>
    <font>
      <b/>
      <sz val="8"/>
      <name val="Arial"/>
      <family val="2"/>
    </font>
    <font>
      <u/>
      <sz val="10"/>
      <color rgb="FFFFFFFF"/>
      <name val="Arial"/>
      <family val="2"/>
    </font>
    <font>
      <u/>
      <sz val="9"/>
      <name val="Arial"/>
      <family val="2"/>
    </font>
    <font>
      <sz val="10"/>
      <color rgb="FFFFFFFF"/>
      <name val="Arial"/>
      <family val="2"/>
    </font>
    <font>
      <b/>
      <sz val="10"/>
      <color rgb="FFFF800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8"/>
      <color rgb="FF804040"/>
      <name val="Arial"/>
      <family val="2"/>
    </font>
    <font>
      <sz val="8"/>
      <color rgb="FF804040"/>
      <name val="Arial"/>
      <family val="2"/>
    </font>
    <font>
      <b/>
      <i/>
      <sz val="8"/>
      <color rgb="FF804040"/>
      <name val="Arial"/>
      <family val="2"/>
    </font>
    <font>
      <b/>
      <sz val="8"/>
      <color rgb="FF80404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FD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FFCC"/>
        <bgColor rgb="FF000000"/>
      </patternFill>
    </fill>
    <fill>
      <patternFill patternType="solid">
        <fgColor rgb="FFDFEFFF"/>
        <bgColor rgb="FFFFFFFF"/>
      </patternFill>
    </fill>
    <fill>
      <patternFill patternType="solid">
        <fgColor rgb="FFB6E088"/>
        <bgColor rgb="FFFFFFFF"/>
      </patternFill>
    </fill>
    <fill>
      <patternFill patternType="solid">
        <fgColor rgb="FFDAEFC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/>
      <right/>
      <top style="double">
        <color indexed="9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3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7" fillId="0" borderId="0"/>
    <xf numFmtId="0" fontId="7" fillId="0" borderId="0"/>
    <xf numFmtId="0" fontId="4" fillId="0" borderId="0"/>
    <xf numFmtId="3" fontId="4" fillId="0" borderId="0"/>
    <xf numFmtId="164" fontId="4" fillId="0" borderId="0"/>
    <xf numFmtId="14" fontId="4" fillId="0" borderId="0"/>
    <xf numFmtId="2" fontId="4" fillId="0" borderId="0"/>
    <xf numFmtId="0" fontId="54" fillId="0" borderId="0"/>
    <xf numFmtId="0" fontId="55" fillId="0" borderId="0"/>
    <xf numFmtId="0" fontId="4" fillId="0" borderId="76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9">
    <xf numFmtId="0" fontId="0" fillId="0" borderId="0" xfId="0"/>
    <xf numFmtId="0" fontId="3" fillId="0" borderId="2" xfId="0" applyFont="1" applyFill="1" applyBorder="1"/>
    <xf numFmtId="0" fontId="4" fillId="0" borderId="3" xfId="0" applyFont="1" applyFill="1" applyBorder="1"/>
    <xf numFmtId="0" fontId="3" fillId="0" borderId="3" xfId="0" applyFont="1" applyFill="1" applyBorder="1"/>
    <xf numFmtId="0" fontId="5" fillId="0" borderId="3" xfId="0" applyFont="1" applyFill="1" applyBorder="1"/>
    <xf numFmtId="0" fontId="4" fillId="0" borderId="4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5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6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4" fillId="0" borderId="7" xfId="0" applyFont="1" applyFill="1" applyBorder="1"/>
    <xf numFmtId="0" fontId="6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5" xfId="0" applyFont="1" applyFill="1" applyBorder="1"/>
    <xf numFmtId="164" fontId="7" fillId="0" borderId="0" xfId="4" applyNumberFormat="1" applyFont="1" applyFill="1" applyBorder="1"/>
    <xf numFmtId="3" fontId="7" fillId="0" borderId="6" xfId="4" applyFont="1" applyFill="1" applyBorder="1"/>
    <xf numFmtId="3" fontId="4" fillId="0" borderId="0" xfId="4" applyFont="1" applyFill="1" applyBorder="1" applyAlignment="1">
      <alignment horizontal="center"/>
    </xf>
    <xf numFmtId="3" fontId="7" fillId="0" borderId="0" xfId="4" applyFont="1" applyFill="1" applyBorder="1"/>
    <xf numFmtId="0" fontId="7" fillId="0" borderId="5" xfId="0" applyFont="1" applyFill="1" applyBorder="1"/>
    <xf numFmtId="0" fontId="7" fillId="0" borderId="0" xfId="0" applyFont="1" applyFill="1" applyBorder="1"/>
    <xf numFmtId="10" fontId="9" fillId="0" borderId="6" xfId="2" applyNumberFormat="1" applyFont="1" applyFill="1" applyBorder="1"/>
    <xf numFmtId="3" fontId="7" fillId="0" borderId="0" xfId="4" applyFont="1" applyFill="1" applyBorder="1" applyAlignment="1">
      <alignment horizontal="center"/>
    </xf>
    <xf numFmtId="41" fontId="7" fillId="0" borderId="0" xfId="4" applyNumberFormat="1" applyFont="1" applyFill="1" applyBorder="1"/>
    <xf numFmtId="41" fontId="7" fillId="0" borderId="0" xfId="4" applyNumberFormat="1" applyFont="1" applyFill="1" applyBorder="1" applyProtection="1"/>
    <xf numFmtId="10" fontId="7" fillId="0" borderId="6" xfId="2" applyNumberFormat="1" applyFont="1" applyFill="1" applyBorder="1"/>
    <xf numFmtId="3" fontId="10" fillId="0" borderId="0" xfId="4" applyFont="1" applyFill="1" applyBorder="1" applyAlignment="1">
      <alignment horizontal="center"/>
    </xf>
    <xf numFmtId="41" fontId="7" fillId="3" borderId="0" xfId="4" applyNumberFormat="1" applyFont="1" applyFill="1" applyBorder="1" applyProtection="1"/>
    <xf numFmtId="3" fontId="7" fillId="0" borderId="0" xfId="4" applyFont="1" applyFill="1" applyBorder="1" applyAlignment="1" applyProtection="1">
      <alignment horizontal="center"/>
    </xf>
    <xf numFmtId="3" fontId="11" fillId="0" borderId="0" xfId="4" applyFont="1" applyFill="1" applyBorder="1" applyAlignment="1">
      <alignment horizontal="center"/>
    </xf>
    <xf numFmtId="0" fontId="11" fillId="0" borderId="0" xfId="0" applyFont="1" applyFill="1" applyBorder="1"/>
    <xf numFmtId="10" fontId="5" fillId="0" borderId="0" xfId="2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4" borderId="5" xfId="0" applyFont="1" applyFill="1" applyBorder="1"/>
    <xf numFmtId="0" fontId="4" fillId="4" borderId="0" xfId="0" applyFont="1" applyFill="1" applyBorder="1"/>
    <xf numFmtId="10" fontId="13" fillId="4" borderId="6" xfId="4" applyNumberFormat="1" applyFont="1" applyFill="1" applyBorder="1"/>
    <xf numFmtId="3" fontId="7" fillId="4" borderId="0" xfId="4" applyFont="1" applyFill="1" applyBorder="1" applyAlignment="1">
      <alignment horizontal="center"/>
    </xf>
    <xf numFmtId="0" fontId="7" fillId="4" borderId="0" xfId="2" applyNumberFormat="1" applyFont="1" applyFill="1" applyBorder="1"/>
    <xf numFmtId="0" fontId="4" fillId="4" borderId="0" xfId="0" applyFont="1" applyFill="1" applyBorder="1" applyAlignment="1">
      <alignment wrapText="1"/>
    </xf>
    <xf numFmtId="0" fontId="5" fillId="0" borderId="7" xfId="0" applyFont="1" applyFill="1" applyBorder="1"/>
    <xf numFmtId="0" fontId="4" fillId="0" borderId="8" xfId="0" applyFont="1" applyFill="1" applyBorder="1"/>
    <xf numFmtId="42" fontId="5" fillId="0" borderId="8" xfId="0" applyNumberFormat="1" applyFont="1" applyFill="1" applyBorder="1"/>
    <xf numFmtId="10" fontId="5" fillId="0" borderId="9" xfId="0" applyNumberFormat="1" applyFont="1" applyFill="1" applyBorder="1"/>
    <xf numFmtId="0" fontId="26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  <xf numFmtId="22" fontId="28" fillId="0" borderId="0" xfId="0" applyNumberFormat="1" applyFont="1" applyFill="1" applyBorder="1"/>
    <xf numFmtId="0" fontId="4" fillId="2" borderId="0" xfId="0" applyFont="1" applyFill="1" applyBorder="1"/>
    <xf numFmtId="0" fontId="5" fillId="0" borderId="19" xfId="0" applyFont="1" applyFill="1" applyBorder="1"/>
    <xf numFmtId="3" fontId="4" fillId="0" borderId="0" xfId="0" applyNumberFormat="1" applyFont="1" applyFill="1" applyBorder="1"/>
    <xf numFmtId="0" fontId="4" fillId="0" borderId="20" xfId="0" applyFont="1" applyFill="1" applyBorder="1"/>
    <xf numFmtId="0" fontId="7" fillId="0" borderId="20" xfId="2" applyNumberFormat="1" applyFont="1" applyFill="1" applyBorder="1"/>
    <xf numFmtId="0" fontId="4" fillId="0" borderId="19" xfId="0" applyFont="1" applyFill="1" applyBorder="1"/>
    <xf numFmtId="42" fontId="4" fillId="0" borderId="0" xfId="0" applyNumberFormat="1" applyFont="1" applyFill="1" applyBorder="1"/>
    <xf numFmtId="0" fontId="4" fillId="0" borderId="0" xfId="0" applyFont="1" applyFill="1" applyBorder="1" applyAlignment="1" applyProtection="1">
      <alignment horizontal="center"/>
    </xf>
    <xf numFmtId="41" fontId="4" fillId="0" borderId="0" xfId="0" applyNumberFormat="1" applyFont="1" applyFill="1" applyBorder="1"/>
    <xf numFmtId="42" fontId="4" fillId="0" borderId="0" xfId="0" applyNumberFormat="1" applyFont="1" applyFill="1" applyBorder="1" applyProtection="1"/>
    <xf numFmtId="42" fontId="5" fillId="0" borderId="0" xfId="0" applyNumberFormat="1" applyFont="1" applyFill="1" applyBorder="1"/>
    <xf numFmtId="10" fontId="5" fillId="0" borderId="20" xfId="0" applyNumberFormat="1" applyFont="1" applyFill="1" applyBorder="1"/>
    <xf numFmtId="10" fontId="29" fillId="0" borderId="20" xfId="0" applyNumberFormat="1" applyFont="1" applyFill="1" applyBorder="1"/>
    <xf numFmtId="0" fontId="30" fillId="0" borderId="0" xfId="0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0" fontId="5" fillId="0" borderId="21" xfId="0" applyFont="1" applyFill="1" applyBorder="1"/>
    <xf numFmtId="0" fontId="5" fillId="0" borderId="22" xfId="0" applyFont="1" applyFill="1" applyBorder="1"/>
    <xf numFmtId="42" fontId="5" fillId="0" borderId="22" xfId="0" applyNumberFormat="1" applyFont="1" applyFill="1" applyBorder="1"/>
    <xf numFmtId="10" fontId="5" fillId="0" borderId="23" xfId="0" applyNumberFormat="1" applyFont="1" applyFill="1" applyBorder="1"/>
    <xf numFmtId="0" fontId="28" fillId="0" borderId="0" xfId="0" applyFont="1" applyFill="1" applyBorder="1"/>
    <xf numFmtId="164" fontId="30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 applyBorder="1" applyAlignment="1">
      <alignment horizontal="right"/>
    </xf>
    <xf numFmtId="22" fontId="28" fillId="6" borderId="0" xfId="0" applyNumberFormat="1" applyFont="1" applyFill="1" applyBorder="1"/>
    <xf numFmtId="0" fontId="6" fillId="6" borderId="24" xfId="0" applyFont="1" applyFill="1" applyBorder="1" applyAlignment="1">
      <alignment horizontal="center"/>
    </xf>
    <xf numFmtId="0" fontId="4" fillId="6" borderId="28" xfId="0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4" fillId="6" borderId="24" xfId="0" applyFont="1" applyFill="1" applyBorder="1"/>
    <xf numFmtId="0" fontId="4" fillId="6" borderId="31" xfId="0" applyFont="1" applyFill="1" applyBorder="1"/>
    <xf numFmtId="0" fontId="5" fillId="6" borderId="28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1" xfId="0" applyFont="1" applyFill="1" applyBorder="1"/>
    <xf numFmtId="0" fontId="4" fillId="0" borderId="28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33" xfId="0" applyFont="1" applyFill="1" applyBorder="1"/>
    <xf numFmtId="0" fontId="5" fillId="0" borderId="28" xfId="0" applyFont="1" applyFill="1" applyBorder="1"/>
    <xf numFmtId="0" fontId="4" fillId="0" borderId="0" xfId="0" applyFont="1" applyFill="1" applyBorder="1" applyAlignment="1">
      <alignment horizontal="right"/>
    </xf>
    <xf numFmtId="2" fontId="4" fillId="0" borderId="0" xfId="0" applyNumberFormat="1" applyFont="1" applyFill="1" applyBorder="1"/>
    <xf numFmtId="4" fontId="4" fillId="0" borderId="0" xfId="0" applyNumberFormat="1" applyFont="1" applyFill="1" applyBorder="1"/>
    <xf numFmtId="3" fontId="4" fillId="0" borderId="28" xfId="0" applyNumberFormat="1" applyFont="1" applyFill="1" applyBorder="1"/>
    <xf numFmtId="3" fontId="4" fillId="0" borderId="33" xfId="0" applyNumberFormat="1" applyFont="1" applyFill="1" applyBorder="1"/>
    <xf numFmtId="3" fontId="29" fillId="0" borderId="33" xfId="0" applyNumberFormat="1" applyFont="1" applyFill="1" applyBorder="1"/>
    <xf numFmtId="3" fontId="7" fillId="0" borderId="0" xfId="0" applyNumberFormat="1" applyFont="1" applyFill="1" applyBorder="1"/>
    <xf numFmtId="3" fontId="7" fillId="0" borderId="33" xfId="4" applyFont="1" applyFill="1" applyBorder="1"/>
    <xf numFmtId="3" fontId="29" fillId="0" borderId="28" xfId="0" applyNumberFormat="1" applyFont="1" applyFill="1" applyBorder="1"/>
    <xf numFmtId="3" fontId="4" fillId="0" borderId="34" xfId="0" applyNumberFormat="1" applyFont="1" applyFill="1" applyBorder="1"/>
    <xf numFmtId="0" fontId="6" fillId="0" borderId="31" xfId="0" applyFont="1" applyFill="1" applyBorder="1"/>
    <xf numFmtId="164" fontId="6" fillId="0" borderId="28" xfId="0" applyNumberFormat="1" applyFont="1" applyFill="1" applyBorder="1"/>
    <xf numFmtId="3" fontId="33" fillId="0" borderId="33" xfId="0" applyNumberFormat="1" applyFont="1" applyFill="1" applyBorder="1"/>
    <xf numFmtId="3" fontId="33" fillId="0" borderId="28" xfId="0" applyNumberFormat="1" applyFont="1" applyFill="1" applyBorder="1"/>
    <xf numFmtId="3" fontId="27" fillId="0" borderId="35" xfId="0" applyNumberFormat="1" applyFont="1" applyFill="1" applyBorder="1"/>
    <xf numFmtId="3" fontId="27" fillId="0" borderId="36" xfId="0" applyNumberFormat="1" applyFont="1" applyFill="1" applyBorder="1"/>
    <xf numFmtId="0" fontId="33" fillId="0" borderId="0" xfId="0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3" fontId="33" fillId="0" borderId="28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10" fontId="4" fillId="0" borderId="0" xfId="0" applyNumberFormat="1" applyFont="1" applyFill="1" applyBorder="1"/>
    <xf numFmtId="4" fontId="11" fillId="0" borderId="0" xfId="0" applyNumberFormat="1" applyFont="1" applyFill="1" applyBorder="1"/>
    <xf numFmtId="0" fontId="7" fillId="0" borderId="31" xfId="0" applyFont="1" applyFill="1" applyBorder="1"/>
    <xf numFmtId="3" fontId="7" fillId="0" borderId="28" xfId="0" applyNumberFormat="1" applyFont="1" applyFill="1" applyBorder="1"/>
    <xf numFmtId="164" fontId="5" fillId="0" borderId="28" xfId="0" applyNumberFormat="1" applyFont="1" applyFill="1" applyBorder="1"/>
    <xf numFmtId="2" fontId="4" fillId="4" borderId="0" xfId="0" applyNumberFormat="1" applyFont="1" applyFill="1" applyBorder="1"/>
    <xf numFmtId="164" fontId="4" fillId="0" borderId="28" xfId="0" applyNumberFormat="1" applyFont="1" applyFill="1" applyBorder="1"/>
    <xf numFmtId="4" fontId="27" fillId="0" borderId="0" xfId="1" applyNumberFormat="1" applyFont="1" applyFill="1" applyBorder="1"/>
    <xf numFmtId="4" fontId="7" fillId="0" borderId="0" xfId="1" applyNumberFormat="1" applyFont="1" applyFill="1" applyBorder="1"/>
    <xf numFmtId="0" fontId="4" fillId="0" borderId="31" xfId="0" applyFont="1" applyFill="1" applyBorder="1" applyProtection="1"/>
    <xf numFmtId="4" fontId="7" fillId="0" borderId="0" xfId="1" applyNumberFormat="1" applyFont="1" applyFill="1" applyBorder="1" applyProtection="1"/>
    <xf numFmtId="3" fontId="33" fillId="0" borderId="0" xfId="0" applyNumberFormat="1" applyFont="1" applyFill="1" applyBorder="1" applyAlignment="1">
      <alignment horizontal="center"/>
    </xf>
    <xf numFmtId="39" fontId="4" fillId="0" borderId="0" xfId="0" applyNumberFormat="1" applyFont="1" applyFill="1" applyBorder="1"/>
    <xf numFmtId="3" fontId="7" fillId="0" borderId="28" xfId="4" applyFont="1" applyFill="1" applyBorder="1"/>
    <xf numFmtId="0" fontId="29" fillId="0" borderId="0" xfId="4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right"/>
    </xf>
    <xf numFmtId="3" fontId="42" fillId="0" borderId="0" xfId="4" applyFont="1" applyFill="1" applyBorder="1"/>
    <xf numFmtId="3" fontId="11" fillId="0" borderId="0" xfId="4" applyFont="1" applyFill="1" applyBorder="1"/>
    <xf numFmtId="3" fontId="7" fillId="0" borderId="0" xfId="0" applyNumberFormat="1" applyFont="1" applyFill="1" applyBorder="1" applyAlignment="1">
      <alignment horizontal="right"/>
    </xf>
    <xf numFmtId="10" fontId="31" fillId="0" borderId="0" xfId="2" applyNumberFormat="1" applyFont="1" applyFill="1" applyBorder="1" applyAlignment="1">
      <alignment horizontal="center"/>
    </xf>
    <xf numFmtId="3" fontId="12" fillId="0" borderId="28" xfId="0" applyNumberFormat="1" applyFont="1" applyFill="1" applyBorder="1"/>
    <xf numFmtId="167" fontId="5" fillId="0" borderId="0" xfId="0" applyNumberFormat="1" applyFont="1" applyFill="1" applyBorder="1" applyAlignment="1">
      <alignment horizontal="right"/>
    </xf>
    <xf numFmtId="0" fontId="43" fillId="0" borderId="0" xfId="0" applyFont="1" applyFill="1" applyBorder="1"/>
    <xf numFmtId="164" fontId="33" fillId="0" borderId="0" xfId="0" applyNumberFormat="1" applyFont="1" applyFill="1" applyBorder="1" applyAlignment="1">
      <alignment horizontal="center"/>
    </xf>
    <xf numFmtId="164" fontId="33" fillId="0" borderId="28" xfId="0" applyNumberFormat="1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42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/>
    <xf numFmtId="3" fontId="4" fillId="0" borderId="0" xfId="0" applyNumberFormat="1" applyFont="1" applyFill="1" applyBorder="1" applyAlignment="1"/>
    <xf numFmtId="4" fontId="4" fillId="0" borderId="28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0" fontId="40" fillId="0" borderId="31" xfId="0" applyFont="1" applyFill="1" applyBorder="1"/>
    <xf numFmtId="0" fontId="5" fillId="0" borderId="39" xfId="0" applyFont="1" applyFill="1" applyBorder="1"/>
    <xf numFmtId="0" fontId="40" fillId="0" borderId="38" xfId="0" applyFont="1" applyFill="1" applyBorder="1"/>
    <xf numFmtId="0" fontId="4" fillId="0" borderId="40" xfId="0" applyFont="1" applyFill="1" applyBorder="1"/>
    <xf numFmtId="2" fontId="4" fillId="0" borderId="40" xfId="0" applyNumberFormat="1" applyFont="1" applyFill="1" applyBorder="1"/>
    <xf numFmtId="3" fontId="4" fillId="0" borderId="40" xfId="0" applyNumberFormat="1" applyFont="1" applyFill="1" applyBorder="1"/>
    <xf numFmtId="164" fontId="27" fillId="0" borderId="39" xfId="0" applyNumberFormat="1" applyFont="1" applyFill="1" applyBorder="1"/>
    <xf numFmtId="164" fontId="27" fillId="0" borderId="36" xfId="0" applyNumberFormat="1" applyFont="1" applyFill="1" applyBorder="1"/>
    <xf numFmtId="164" fontId="9" fillId="0" borderId="0" xfId="0" applyNumberFormat="1" applyFont="1" applyFill="1" applyBorder="1"/>
    <xf numFmtId="164" fontId="11" fillId="0" borderId="0" xfId="0" applyNumberFormat="1" applyFont="1" applyFill="1" applyBorder="1"/>
    <xf numFmtId="3" fontId="29" fillId="0" borderId="0" xfId="0" applyNumberFormat="1" applyFont="1" applyFill="1" applyBorder="1"/>
    <xf numFmtId="164" fontId="7" fillId="0" borderId="0" xfId="3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48" fillId="0" borderId="0" xfId="0" applyFont="1" applyFill="1" applyBorder="1"/>
    <xf numFmtId="3" fontId="11" fillId="0" borderId="0" xfId="0" applyNumberFormat="1" applyFont="1" applyFill="1" applyBorder="1"/>
    <xf numFmtId="164" fontId="48" fillId="0" borderId="0" xfId="0" applyNumberFormat="1" applyFont="1" applyFill="1" applyBorder="1" applyAlignment="1" applyProtection="1">
      <alignment horizontal="right"/>
    </xf>
    <xf numFmtId="2" fontId="43" fillId="0" borderId="0" xfId="0" applyNumberFormat="1" applyFont="1" applyFill="1" applyBorder="1"/>
    <xf numFmtId="0" fontId="6" fillId="0" borderId="0" xfId="0" applyFont="1" applyFill="1" applyBorder="1"/>
    <xf numFmtId="0" fontId="38" fillId="0" borderId="0" xfId="0" applyFont="1" applyFill="1" applyBorder="1"/>
    <xf numFmtId="42" fontId="29" fillId="0" borderId="0" xfId="0" applyNumberFormat="1" applyFont="1" applyFill="1" applyBorder="1"/>
    <xf numFmtId="41" fontId="29" fillId="0" borderId="0" xfId="0" applyNumberFormat="1" applyFont="1" applyFill="1" applyBorder="1"/>
    <xf numFmtId="42" fontId="7" fillId="0" borderId="0" xfId="0" applyNumberFormat="1" applyFont="1" applyFill="1" applyBorder="1"/>
    <xf numFmtId="0" fontId="7" fillId="0" borderId="0" xfId="0" applyFont="1" applyFill="1" applyBorder="1" applyProtection="1"/>
    <xf numFmtId="2" fontId="4" fillId="0" borderId="0" xfId="0" applyNumberFormat="1" applyFont="1" applyFill="1" applyBorder="1" applyProtection="1"/>
    <xf numFmtId="3" fontId="4" fillId="0" borderId="39" xfId="0" applyNumberFormat="1" applyFont="1" applyFill="1" applyBorder="1"/>
    <xf numFmtId="0" fontId="5" fillId="0" borderId="41" xfId="0" applyFont="1" applyFill="1" applyBorder="1" applyAlignment="1">
      <alignment horizontal="center"/>
    </xf>
    <xf numFmtId="0" fontId="5" fillId="0" borderId="42" xfId="0" applyFont="1" applyFill="1" applyBorder="1"/>
    <xf numFmtId="164" fontId="4" fillId="0" borderId="44" xfId="0" applyNumberFormat="1" applyFont="1" applyFill="1" applyBorder="1"/>
    <xf numFmtId="168" fontId="50" fillId="0" borderId="44" xfId="0" applyNumberFormat="1" applyFont="1" applyFill="1" applyBorder="1"/>
    <xf numFmtId="3" fontId="51" fillId="0" borderId="44" xfId="0" applyNumberFormat="1" applyFont="1" applyFill="1" applyBorder="1"/>
    <xf numFmtId="3" fontId="4" fillId="0" borderId="42" xfId="0" applyNumberFormat="1" applyFont="1" applyFill="1" applyBorder="1"/>
    <xf numFmtId="3" fontId="4" fillId="0" borderId="45" xfId="0" applyNumberFormat="1" applyFont="1" applyFill="1" applyBorder="1"/>
    <xf numFmtId="3" fontId="4" fillId="0" borderId="44" xfId="0" applyNumberFormat="1" applyFont="1" applyFill="1" applyBorder="1"/>
    <xf numFmtId="0" fontId="4" fillId="0" borderId="46" xfId="0" applyFont="1" applyFill="1" applyBorder="1"/>
    <xf numFmtId="168" fontId="50" fillId="0" borderId="0" xfId="0" applyNumberFormat="1" applyFont="1" applyFill="1" applyBorder="1"/>
    <xf numFmtId="3" fontId="51" fillId="0" borderId="0" xfId="0" applyNumberFormat="1" applyFont="1" applyFill="1" applyBorder="1"/>
    <xf numFmtId="5" fontId="50" fillId="0" borderId="0" xfId="0" applyNumberFormat="1" applyFont="1" applyFill="1" applyBorder="1"/>
    <xf numFmtId="0" fontId="5" fillId="0" borderId="46" xfId="0" applyFont="1" applyFill="1" applyBorder="1" applyAlignment="1">
      <alignment horizontal="center"/>
    </xf>
    <xf numFmtId="3" fontId="52" fillId="0" borderId="0" xfId="0" applyNumberFormat="1" applyFont="1" applyFill="1" applyBorder="1"/>
    <xf numFmtId="168" fontId="52" fillId="0" borderId="0" xfId="0" applyNumberFormat="1" applyFont="1" applyFill="1" applyBorder="1"/>
    <xf numFmtId="3" fontId="50" fillId="0" borderId="0" xfId="0" applyNumberFormat="1" applyFont="1" applyFill="1" applyBorder="1"/>
    <xf numFmtId="0" fontId="52" fillId="0" borderId="0" xfId="0" applyFont="1" applyFill="1" applyBorder="1"/>
    <xf numFmtId="2" fontId="52" fillId="0" borderId="0" xfId="0" applyNumberFormat="1" applyFont="1" applyFill="1" applyBorder="1"/>
    <xf numFmtId="0" fontId="4" fillId="0" borderId="47" xfId="0" applyFont="1" applyFill="1" applyBorder="1"/>
    <xf numFmtId="0" fontId="4" fillId="0" borderId="39" xfId="0" applyFont="1" applyFill="1" applyBorder="1"/>
    <xf numFmtId="0" fontId="27" fillId="0" borderId="38" xfId="0" applyFont="1" applyFill="1" applyBorder="1"/>
    <xf numFmtId="164" fontId="4" fillId="0" borderId="39" xfId="0" applyNumberFormat="1" applyFont="1" applyFill="1" applyBorder="1"/>
    <xf numFmtId="164" fontId="27" fillId="0" borderId="48" xfId="0" applyNumberFormat="1" applyFont="1" applyFill="1" applyBorder="1"/>
    <xf numFmtId="0" fontId="5" fillId="0" borderId="47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right"/>
    </xf>
    <xf numFmtId="0" fontId="5" fillId="0" borderId="46" xfId="0" applyFont="1" applyFill="1" applyBorder="1"/>
    <xf numFmtId="2" fontId="33" fillId="0" borderId="28" xfId="0" applyNumberFormat="1" applyFont="1" applyFill="1" applyBorder="1" applyAlignment="1">
      <alignment horizontal="center"/>
    </xf>
    <xf numFmtId="0" fontId="4" fillId="0" borderId="49" xfId="0" applyFont="1" applyFill="1" applyBorder="1"/>
    <xf numFmtId="0" fontId="4" fillId="0" borderId="50" xfId="0" applyFont="1" applyFill="1" applyBorder="1"/>
    <xf numFmtId="0" fontId="11" fillId="0" borderId="50" xfId="0" applyFont="1" applyFill="1" applyBorder="1"/>
    <xf numFmtId="0" fontId="11" fillId="0" borderId="51" xfId="0" applyFont="1" applyFill="1" applyBorder="1"/>
    <xf numFmtId="4" fontId="4" fillId="0" borderId="0" xfId="1" applyNumberFormat="1" applyFont="1" applyFill="1" applyBorder="1"/>
    <xf numFmtId="4" fontId="4" fillId="4" borderId="0" xfId="0" applyNumberFormat="1" applyFont="1" applyFill="1" applyBorder="1"/>
    <xf numFmtId="3" fontId="4" fillId="0" borderId="0" xfId="1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center"/>
    </xf>
    <xf numFmtId="0" fontId="4" fillId="7" borderId="4" xfId="0" applyFont="1" applyFill="1" applyBorder="1"/>
    <xf numFmtId="0" fontId="4" fillId="7" borderId="6" xfId="0" applyFont="1" applyFill="1" applyBorder="1"/>
    <xf numFmtId="0" fontId="3" fillId="7" borderId="9" xfId="0" applyFont="1" applyFill="1" applyBorder="1"/>
    <xf numFmtId="0" fontId="5" fillId="6" borderId="41" xfId="0" applyFont="1" applyFill="1" applyBorder="1"/>
    <xf numFmtId="0" fontId="4" fillId="6" borderId="44" xfId="0" applyFont="1" applyFill="1" applyBorder="1"/>
    <xf numFmtId="18" fontId="5" fillId="6" borderId="44" xfId="0" applyNumberFormat="1" applyFont="1" applyFill="1" applyBorder="1"/>
    <xf numFmtId="166" fontId="5" fillId="6" borderId="53" xfId="0" applyNumberFormat="1" applyFont="1" applyFill="1" applyBorder="1"/>
    <xf numFmtId="0" fontId="5" fillId="6" borderId="46" xfId="0" applyFont="1" applyFill="1" applyBorder="1"/>
    <xf numFmtId="49" fontId="5" fillId="6" borderId="34" xfId="0" applyNumberFormat="1" applyFont="1" applyFill="1" applyBorder="1" applyAlignment="1">
      <alignment horizontal="center"/>
    </xf>
    <xf numFmtId="0" fontId="28" fillId="6" borderId="34" xfId="0" applyFont="1" applyFill="1" applyBorder="1"/>
    <xf numFmtId="0" fontId="6" fillId="6" borderId="54" xfId="0" applyFont="1" applyFill="1" applyBorder="1" applyAlignment="1">
      <alignment horizontal="center"/>
    </xf>
    <xf numFmtId="1" fontId="5" fillId="6" borderId="46" xfId="0" applyNumberFormat="1" applyFont="1" applyFill="1" applyBorder="1" applyAlignment="1">
      <alignment horizontal="center"/>
    </xf>
    <xf numFmtId="0" fontId="5" fillId="6" borderId="34" xfId="0" applyFont="1" applyFill="1" applyBorder="1"/>
    <xf numFmtId="0" fontId="5" fillId="6" borderId="46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4" fillId="6" borderId="56" xfId="0" applyFont="1" applyFill="1" applyBorder="1"/>
    <xf numFmtId="0" fontId="4" fillId="6" borderId="57" xfId="0" applyFont="1" applyFill="1" applyBorder="1"/>
    <xf numFmtId="0" fontId="4" fillId="6" borderId="50" xfId="0" applyFont="1" applyFill="1" applyBorder="1"/>
    <xf numFmtId="0" fontId="5" fillId="6" borderId="56" xfId="0" applyFont="1" applyFill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164" fontId="30" fillId="0" borderId="61" xfId="0" applyNumberFormat="1" applyFont="1" applyFill="1" applyBorder="1"/>
    <xf numFmtId="0" fontId="4" fillId="0" borderId="53" xfId="0" applyFont="1" applyFill="1" applyBorder="1"/>
    <xf numFmtId="0" fontId="4" fillId="0" borderId="34" xfId="0" applyFont="1" applyFill="1" applyBorder="1"/>
    <xf numFmtId="0" fontId="5" fillId="0" borderId="34" xfId="0" applyFont="1" applyFill="1" applyBorder="1"/>
    <xf numFmtId="10" fontId="4" fillId="0" borderId="46" xfId="0" applyNumberFormat="1" applyFont="1" applyFill="1" applyBorder="1"/>
    <xf numFmtId="0" fontId="5" fillId="0" borderId="34" xfId="0" applyFont="1" applyFill="1" applyBorder="1" applyAlignment="1">
      <alignment horizontal="right"/>
    </xf>
    <xf numFmtId="10" fontId="4" fillId="0" borderId="46" xfId="0" applyNumberFormat="1" applyFont="1" applyFill="1" applyBorder="1" applyProtection="1"/>
    <xf numFmtId="0" fontId="4" fillId="0" borderId="34" xfId="0" applyFont="1" applyFill="1" applyBorder="1" applyAlignment="1">
      <alignment horizontal="right"/>
    </xf>
    <xf numFmtId="0" fontId="43" fillId="0" borderId="34" xfId="0" applyFont="1" applyFill="1" applyBorder="1" applyAlignment="1">
      <alignment horizontal="right"/>
    </xf>
    <xf numFmtId="10" fontId="18" fillId="0" borderId="34" xfId="2" applyNumberFormat="1" applyFont="1" applyFill="1" applyBorder="1" applyAlignment="1">
      <alignment horizontal="center"/>
    </xf>
    <xf numFmtId="3" fontId="4" fillId="0" borderId="0" xfId="4" applyFont="1" applyFill="1" applyBorder="1"/>
    <xf numFmtId="39" fontId="4" fillId="0" borderId="0" xfId="1" applyNumberFormat="1" applyFont="1" applyFill="1" applyBorder="1"/>
    <xf numFmtId="39" fontId="4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0" fontId="30" fillId="0" borderId="32" xfId="0" applyFont="1" applyFill="1" applyBorder="1"/>
    <xf numFmtId="0" fontId="30" fillId="0" borderId="0" xfId="0" applyFont="1" applyFill="1" applyBorder="1"/>
    <xf numFmtId="2" fontId="30" fillId="0" borderId="0" xfId="0" applyNumberFormat="1" applyFont="1" applyFill="1" applyBorder="1"/>
    <xf numFmtId="3" fontId="30" fillId="0" borderId="0" xfId="0" applyNumberFormat="1" applyFont="1" applyFill="1" applyBorder="1"/>
    <xf numFmtId="0" fontId="4" fillId="0" borderId="42" xfId="0" applyFont="1" applyFill="1" applyBorder="1"/>
    <xf numFmtId="0" fontId="4" fillId="0" borderId="43" xfId="0" applyFont="1" applyFill="1" applyBorder="1"/>
    <xf numFmtId="0" fontId="4" fillId="0" borderId="44" xfId="0" applyFont="1" applyFill="1" applyBorder="1"/>
    <xf numFmtId="0" fontId="5" fillId="0" borderId="44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164" fontId="4" fillId="0" borderId="34" xfId="0" applyNumberFormat="1" applyFont="1" applyFill="1" applyBorder="1"/>
    <xf numFmtId="3" fontId="7" fillId="0" borderId="34" xfId="0" applyNumberFormat="1" applyFont="1" applyFill="1" applyBorder="1"/>
    <xf numFmtId="164" fontId="6" fillId="0" borderId="34" xfId="0" applyNumberFormat="1" applyFont="1" applyFill="1" applyBorder="1"/>
    <xf numFmtId="0" fontId="4" fillId="0" borderId="56" xfId="0" applyFont="1" applyFill="1" applyBorder="1"/>
    <xf numFmtId="0" fontId="30" fillId="0" borderId="62" xfId="0" applyFont="1" applyFill="1" applyBorder="1"/>
    <xf numFmtId="0" fontId="30" fillId="0" borderId="50" xfId="0" applyFont="1" applyFill="1" applyBorder="1"/>
    <xf numFmtId="2" fontId="30" fillId="0" borderId="50" xfId="0" applyNumberFormat="1" applyFont="1" applyFill="1" applyBorder="1"/>
    <xf numFmtId="1" fontId="33" fillId="0" borderId="50" xfId="0" applyNumberFormat="1" applyFont="1" applyFill="1" applyBorder="1" applyAlignment="1">
      <alignment horizontal="center"/>
    </xf>
    <xf numFmtId="164" fontId="30" fillId="0" borderId="51" xfId="6" applyFont="1" applyFill="1" applyBorder="1"/>
    <xf numFmtId="0" fontId="6" fillId="0" borderId="44" xfId="0" applyFont="1" applyFill="1" applyBorder="1" applyAlignment="1">
      <alignment horizontal="center"/>
    </xf>
    <xf numFmtId="2" fontId="6" fillId="0" borderId="44" xfId="0" applyNumberFormat="1" applyFont="1" applyFill="1" applyBorder="1" applyAlignment="1">
      <alignment horizontal="center"/>
    </xf>
    <xf numFmtId="3" fontId="4" fillId="0" borderId="44" xfId="0" applyNumberFormat="1" applyFont="1" applyFill="1" applyBorder="1" applyAlignment="1">
      <alignment horizontal="center"/>
    </xf>
    <xf numFmtId="3" fontId="6" fillId="0" borderId="53" xfId="0" applyNumberFormat="1" applyFont="1" applyFill="1" applyBorder="1" applyAlignment="1">
      <alignment horizontal="center"/>
    </xf>
    <xf numFmtId="164" fontId="33" fillId="0" borderId="34" xfId="0" applyNumberFormat="1" applyFont="1" applyFill="1" applyBorder="1"/>
    <xf numFmtId="3" fontId="30" fillId="0" borderId="50" xfId="0" applyNumberFormat="1" applyFont="1" applyFill="1" applyBorder="1"/>
    <xf numFmtId="0" fontId="4" fillId="0" borderId="46" xfId="0" applyFont="1" applyFill="1" applyBorder="1" applyAlignment="1">
      <alignment horizontal="left"/>
    </xf>
    <xf numFmtId="10" fontId="4" fillId="0" borderId="34" xfId="0" applyNumberFormat="1" applyFont="1" applyFill="1" applyBorder="1"/>
    <xf numFmtId="0" fontId="18" fillId="0" borderId="49" xfId="0" applyFont="1" applyFill="1" applyBorder="1"/>
    <xf numFmtId="0" fontId="30" fillId="0" borderId="63" xfId="0" applyFont="1" applyFill="1" applyBorder="1"/>
    <xf numFmtId="3" fontId="30" fillId="0" borderId="64" xfId="0" applyNumberFormat="1" applyFont="1" applyFill="1" applyBorder="1" applyProtection="1"/>
    <xf numFmtId="0" fontId="33" fillId="0" borderId="44" xfId="0" applyFont="1" applyFill="1" applyBorder="1" applyAlignment="1">
      <alignment horizontal="center"/>
    </xf>
    <xf numFmtId="2" fontId="33" fillId="0" borderId="44" xfId="0" applyNumberFormat="1" applyFont="1" applyFill="1" applyBorder="1" applyAlignment="1">
      <alignment horizontal="center"/>
    </xf>
    <xf numFmtId="3" fontId="34" fillId="0" borderId="44" xfId="0" applyNumberFormat="1" applyFont="1" applyFill="1" applyBorder="1" applyAlignment="1">
      <alignment horizontal="center"/>
    </xf>
    <xf numFmtId="3" fontId="33" fillId="0" borderId="53" xfId="0" applyNumberFormat="1" applyFont="1" applyFill="1" applyBorder="1" applyAlignment="1">
      <alignment horizontal="center"/>
    </xf>
    <xf numFmtId="3" fontId="33" fillId="0" borderId="34" xfId="0" applyNumberFormat="1" applyFont="1" applyFill="1" applyBorder="1"/>
    <xf numFmtId="164" fontId="5" fillId="0" borderId="34" xfId="0" applyNumberFormat="1" applyFont="1" applyFill="1" applyBorder="1"/>
    <xf numFmtId="9" fontId="18" fillId="0" borderId="46" xfId="0" applyNumberFormat="1" applyFont="1" applyFill="1" applyBorder="1"/>
    <xf numFmtId="9" fontId="18" fillId="0" borderId="46" xfId="0" applyNumberFormat="1" applyFont="1" applyFill="1" applyBorder="1" applyProtection="1"/>
    <xf numFmtId="10" fontId="4" fillId="0" borderId="46" xfId="2" applyNumberFormat="1" applyFont="1" applyFill="1" applyBorder="1" applyAlignment="1">
      <alignment horizontal="right"/>
    </xf>
    <xf numFmtId="9" fontId="37" fillId="0" borderId="46" xfId="0" applyNumberFormat="1" applyFont="1" applyFill="1" applyBorder="1"/>
    <xf numFmtId="0" fontId="49" fillId="0" borderId="49" xfId="0" applyFont="1" applyFill="1" applyBorder="1"/>
    <xf numFmtId="3" fontId="7" fillId="0" borderId="34" xfId="4" applyFont="1" applyFill="1" applyBorder="1"/>
    <xf numFmtId="3" fontId="33" fillId="0" borderId="44" xfId="0" applyNumberFormat="1" applyFont="1" applyFill="1" applyBorder="1" applyAlignment="1">
      <alignment horizontal="center"/>
    </xf>
    <xf numFmtId="0" fontId="35" fillId="0" borderId="46" xfId="0" applyFont="1" applyFill="1" applyBorder="1" applyAlignment="1">
      <alignment horizontal="right"/>
    </xf>
    <xf numFmtId="0" fontId="4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3" fontId="4" fillId="0" borderId="34" xfId="4" applyFont="1" applyFill="1" applyBorder="1"/>
    <xf numFmtId="3" fontId="7" fillId="0" borderId="46" xfId="4" applyFont="1" applyFill="1" applyBorder="1"/>
    <xf numFmtId="3" fontId="7" fillId="0" borderId="57" xfId="4" applyFont="1" applyFill="1" applyBorder="1"/>
    <xf numFmtId="0" fontId="4" fillId="0" borderId="41" xfId="0" applyFont="1" applyFill="1" applyBorder="1"/>
    <xf numFmtId="0" fontId="6" fillId="0" borderId="53" xfId="0" applyFont="1" applyFill="1" applyBorder="1" applyAlignment="1">
      <alignment horizontal="center"/>
    </xf>
    <xf numFmtId="0" fontId="41" fillId="0" borderId="46" xfId="0" applyFont="1" applyFill="1" applyBorder="1"/>
    <xf numFmtId="0" fontId="7" fillId="0" borderId="46" xfId="0" applyFont="1" applyFill="1" applyBorder="1"/>
    <xf numFmtId="167" fontId="5" fillId="0" borderId="34" xfId="0" applyNumberFormat="1" applyFont="1" applyFill="1" applyBorder="1" applyAlignment="1">
      <alignment horizontal="right"/>
    </xf>
    <xf numFmtId="14" fontId="4" fillId="0" borderId="43" xfId="0" applyNumberFormat="1" applyFont="1" applyFill="1" applyBorder="1" applyAlignment="1">
      <alignment horizontal="left"/>
    </xf>
    <xf numFmtId="0" fontId="44" fillId="0" borderId="44" xfId="0" applyFont="1" applyFill="1" applyBorder="1" applyAlignment="1">
      <alignment horizontal="center"/>
    </xf>
    <xf numFmtId="2" fontId="45" fillId="0" borderId="44" xfId="0" applyNumberFormat="1" applyFont="1" applyFill="1" applyBorder="1" applyAlignment="1">
      <alignment horizontal="center"/>
    </xf>
    <xf numFmtId="3" fontId="33" fillId="0" borderId="34" xfId="4" applyFont="1" applyFill="1" applyBorder="1"/>
    <xf numFmtId="164" fontId="6" fillId="0" borderId="0" xfId="0" applyNumberFormat="1" applyFont="1" applyFill="1" applyBorder="1"/>
    <xf numFmtId="164" fontId="30" fillId="0" borderId="0" xfId="6" applyFont="1" applyFill="1" applyBorder="1"/>
    <xf numFmtId="0" fontId="5" fillId="0" borderId="44" xfId="0" applyFont="1" applyFill="1" applyBorder="1"/>
    <xf numFmtId="164" fontId="9" fillId="0" borderId="44" xfId="0" applyNumberFormat="1" applyFont="1" applyFill="1" applyBorder="1"/>
    <xf numFmtId="168" fontId="4" fillId="0" borderId="44" xfId="0" applyNumberFormat="1" applyFont="1" applyFill="1" applyBorder="1"/>
    <xf numFmtId="164" fontId="4" fillId="0" borderId="53" xfId="0" applyNumberFormat="1" applyFont="1" applyFill="1" applyBorder="1"/>
    <xf numFmtId="49" fontId="5" fillId="0" borderId="46" xfId="0" applyNumberFormat="1" applyFont="1" applyFill="1" applyBorder="1" applyAlignment="1">
      <alignment horizontal="right"/>
    </xf>
    <xf numFmtId="0" fontId="21" fillId="0" borderId="44" xfId="0" applyFont="1" applyFill="1" applyBorder="1"/>
    <xf numFmtId="0" fontId="47" fillId="0" borderId="46" xfId="0" applyFont="1" applyFill="1" applyBorder="1"/>
    <xf numFmtId="0" fontId="47" fillId="0" borderId="49" xfId="0" applyFont="1" applyFill="1" applyBorder="1"/>
    <xf numFmtId="0" fontId="30" fillId="0" borderId="65" xfId="0" applyFont="1" applyFill="1" applyBorder="1"/>
    <xf numFmtId="3" fontId="4" fillId="0" borderId="52" xfId="0" applyNumberFormat="1" applyFont="1" applyFill="1" applyBorder="1" applyAlignment="1">
      <alignment horizontal="right"/>
    </xf>
    <xf numFmtId="3" fontId="4" fillId="0" borderId="52" xfId="0" applyNumberFormat="1" applyFont="1" applyFill="1" applyBorder="1"/>
    <xf numFmtId="3" fontId="30" fillId="0" borderId="14" xfId="4" applyFont="1" applyFill="1" applyBorder="1"/>
    <xf numFmtId="3" fontId="30" fillId="0" borderId="16" xfId="4" applyFont="1" applyFill="1" applyBorder="1"/>
    <xf numFmtId="3" fontId="30" fillId="0" borderId="52" xfId="4" applyFont="1" applyFill="1" applyBorder="1"/>
    <xf numFmtId="164" fontId="4" fillId="0" borderId="52" xfId="0" applyNumberFormat="1" applyFont="1" applyFill="1" applyBorder="1"/>
    <xf numFmtId="0" fontId="21" fillId="0" borderId="44" xfId="0" applyFont="1" applyFill="1" applyBorder="1" applyAlignment="1">
      <alignment horizontal="center"/>
    </xf>
    <xf numFmtId="0" fontId="30" fillId="0" borderId="56" xfId="0" applyFont="1" applyFill="1" applyBorder="1"/>
    <xf numFmtId="3" fontId="30" fillId="0" borderId="50" xfId="4" applyFont="1" applyFill="1" applyBorder="1"/>
    <xf numFmtId="3" fontId="4" fillId="0" borderId="16" xfId="0" applyNumberFormat="1" applyFont="1" applyFill="1" applyBorder="1"/>
    <xf numFmtId="164" fontId="4" fillId="0" borderId="58" xfId="0" applyNumberFormat="1" applyFont="1" applyFill="1" applyBorder="1"/>
    <xf numFmtId="3" fontId="4" fillId="0" borderId="60" xfId="0" applyNumberFormat="1" applyFont="1" applyFill="1" applyBorder="1"/>
    <xf numFmtId="3" fontId="4" fillId="0" borderId="58" xfId="0" applyNumberFormat="1" applyFont="1" applyFill="1" applyBorder="1"/>
    <xf numFmtId="3" fontId="4" fillId="0" borderId="59" xfId="0" applyNumberFormat="1" applyFont="1" applyFill="1" applyBorder="1"/>
    <xf numFmtId="2" fontId="4" fillId="0" borderId="50" xfId="0" applyNumberFormat="1" applyFont="1" applyFill="1" applyBorder="1"/>
    <xf numFmtId="3" fontId="4" fillId="0" borderId="50" xfId="0" applyNumberFormat="1" applyFont="1" applyFill="1" applyBorder="1"/>
    <xf numFmtId="164" fontId="29" fillId="0" borderId="44" xfId="0" applyNumberFormat="1" applyFont="1" applyFill="1" applyBorder="1"/>
    <xf numFmtId="3" fontId="7" fillId="0" borderId="52" xfId="4" applyFont="1" applyFill="1" applyBorder="1"/>
    <xf numFmtId="164" fontId="7" fillId="0" borderId="57" xfId="3" applyNumberFormat="1" applyFont="1" applyFill="1" applyBorder="1"/>
    <xf numFmtId="5" fontId="4" fillId="0" borderId="52" xfId="0" applyNumberFormat="1" applyFont="1" applyFill="1" applyBorder="1"/>
    <xf numFmtId="37" fontId="4" fillId="0" borderId="52" xfId="0" applyNumberFormat="1" applyFont="1" applyFill="1" applyBorder="1"/>
    <xf numFmtId="164" fontId="48" fillId="0" borderId="44" xfId="0" applyNumberFormat="1" applyFont="1" applyFill="1" applyBorder="1" applyAlignment="1">
      <alignment horizontal="right"/>
    </xf>
    <xf numFmtId="0" fontId="48" fillId="0" borderId="44" xfId="0" applyFont="1" applyFill="1" applyBorder="1"/>
    <xf numFmtId="3" fontId="11" fillId="0" borderId="44" xfId="0" applyNumberFormat="1" applyFont="1" applyFill="1" applyBorder="1"/>
    <xf numFmtId="164" fontId="4" fillId="0" borderId="52" xfId="0" applyNumberFormat="1" applyFont="1" applyFill="1" applyBorder="1" applyProtection="1"/>
    <xf numFmtId="3" fontId="4" fillId="0" borderId="52" xfId="0" applyNumberFormat="1" applyFont="1" applyFill="1" applyBorder="1" applyProtection="1"/>
    <xf numFmtId="0" fontId="4" fillId="0" borderId="14" xfId="0" applyFont="1" applyFill="1" applyBorder="1"/>
    <xf numFmtId="2" fontId="4" fillId="0" borderId="16" xfId="0" applyNumberFormat="1" applyFont="1" applyFill="1" applyBorder="1"/>
    <xf numFmtId="3" fontId="33" fillId="0" borderId="52" xfId="0" applyNumberFormat="1" applyFont="1" applyFill="1" applyBorder="1"/>
    <xf numFmtId="164" fontId="7" fillId="0" borderId="34" xfId="6" applyFont="1" applyFill="1" applyBorder="1"/>
    <xf numFmtId="3" fontId="49" fillId="0" borderId="50" xfId="0" applyNumberFormat="1" applyFont="1" applyFill="1" applyBorder="1"/>
    <xf numFmtId="2" fontId="4" fillId="0" borderId="44" xfId="0" applyNumberFormat="1" applyFont="1" applyFill="1" applyBorder="1"/>
    <xf numFmtId="3" fontId="49" fillId="0" borderId="44" xfId="0" applyNumberFormat="1" applyFont="1" applyFill="1" applyBorder="1"/>
    <xf numFmtId="164" fontId="30" fillId="0" borderId="64" xfId="0" applyNumberFormat="1" applyFont="1" applyFill="1" applyBorder="1"/>
    <xf numFmtId="0" fontId="7" fillId="0" borderId="44" xfId="0" applyFont="1" applyFill="1" applyBorder="1"/>
    <xf numFmtId="5" fontId="52" fillId="0" borderId="50" xfId="0" applyNumberFormat="1" applyFont="1" applyFill="1" applyBorder="1"/>
    <xf numFmtId="2" fontId="53" fillId="0" borderId="50" xfId="0" applyNumberFormat="1" applyFont="1" applyFill="1" applyBorder="1"/>
    <xf numFmtId="3" fontId="51" fillId="0" borderId="50" xfId="0" applyNumberFormat="1" applyFont="1" applyFill="1" applyBorder="1"/>
    <xf numFmtId="0" fontId="17" fillId="0" borderId="43" xfId="0" applyFont="1" applyFill="1" applyBorder="1" applyAlignment="1">
      <alignment horizontal="right"/>
    </xf>
    <xf numFmtId="164" fontId="15" fillId="0" borderId="44" xfId="0" applyNumberFormat="1" applyFont="1" applyFill="1" applyBorder="1"/>
    <xf numFmtId="0" fontId="4" fillId="0" borderId="66" xfId="0" applyFont="1" applyFill="1" applyBorder="1"/>
    <xf numFmtId="0" fontId="27" fillId="0" borderId="67" xfId="0" applyFont="1" applyFill="1" applyBorder="1"/>
    <xf numFmtId="0" fontId="4" fillId="0" borderId="15" xfId="0" applyFont="1" applyFill="1" applyBorder="1"/>
    <xf numFmtId="2" fontId="4" fillId="0" borderId="15" xfId="0" applyNumberFormat="1" applyFont="1" applyFill="1" applyBorder="1"/>
    <xf numFmtId="3" fontId="4" fillId="0" borderId="15" xfId="0" applyNumberFormat="1" applyFont="1" applyFill="1" applyBorder="1"/>
    <xf numFmtId="164" fontId="4" fillId="0" borderId="16" xfId="0" applyNumberFormat="1" applyFont="1" applyFill="1" applyBorder="1"/>
    <xf numFmtId="0" fontId="5" fillId="0" borderId="41" xfId="0" applyFont="1" applyFill="1" applyBorder="1" applyAlignment="1">
      <alignment horizontal="right"/>
    </xf>
    <xf numFmtId="164" fontId="30" fillId="0" borderId="56" xfId="6" applyFont="1" applyFill="1" applyBorder="1"/>
    <xf numFmtId="37" fontId="4" fillId="0" borderId="60" xfId="0" applyNumberFormat="1" applyFont="1" applyFill="1" applyBorder="1"/>
    <xf numFmtId="164" fontId="30" fillId="0" borderId="32" xfId="0" applyNumberFormat="1" applyFont="1" applyFill="1" applyBorder="1"/>
    <xf numFmtId="164" fontId="4" fillId="0" borderId="14" xfId="0" applyNumberFormat="1" applyFont="1" applyFill="1" applyBorder="1"/>
    <xf numFmtId="0" fontId="4" fillId="8" borderId="6" xfId="0" applyFont="1" applyFill="1" applyBorder="1"/>
    <xf numFmtId="164" fontId="30" fillId="0" borderId="44" xfId="6" applyFont="1" applyFill="1" applyBorder="1"/>
    <xf numFmtId="3" fontId="27" fillId="0" borderId="58" xfId="0" applyNumberFormat="1" applyFont="1" applyFill="1" applyBorder="1"/>
    <xf numFmtId="3" fontId="33" fillId="0" borderId="60" xfId="0" applyNumberFormat="1" applyFont="1" applyFill="1" applyBorder="1"/>
    <xf numFmtId="3" fontId="27" fillId="0" borderId="68" xfId="0" applyNumberFormat="1" applyFont="1" applyFill="1" applyBorder="1"/>
    <xf numFmtId="3" fontId="27" fillId="0" borderId="69" xfId="0" applyNumberFormat="1" applyFont="1" applyFill="1" applyBorder="1"/>
    <xf numFmtId="3" fontId="27" fillId="0" borderId="56" xfId="0" applyNumberFormat="1" applyFont="1" applyFill="1" applyBorder="1"/>
    <xf numFmtId="3" fontId="27" fillId="0" borderId="51" xfId="0" applyNumberFormat="1" applyFont="1" applyFill="1" applyBorder="1"/>
    <xf numFmtId="3" fontId="27" fillId="0" borderId="70" xfId="0" applyNumberFormat="1" applyFont="1" applyFill="1" applyBorder="1"/>
    <xf numFmtId="3" fontId="27" fillId="0" borderId="71" xfId="0" applyNumberFormat="1" applyFont="1" applyFill="1" applyBorder="1"/>
    <xf numFmtId="3" fontId="27" fillId="0" borderId="66" xfId="0" applyNumberFormat="1" applyFont="1" applyFill="1" applyBorder="1"/>
    <xf numFmtId="3" fontId="27" fillId="0" borderId="16" xfId="0" applyNumberFormat="1" applyFont="1" applyFill="1" applyBorder="1"/>
    <xf numFmtId="3" fontId="27" fillId="0" borderId="72" xfId="0" applyNumberFormat="1" applyFont="1" applyFill="1" applyBorder="1"/>
    <xf numFmtId="0" fontId="4" fillId="8" borderId="9" xfId="0" applyFont="1" applyFill="1" applyBorder="1"/>
    <xf numFmtId="0" fontId="4" fillId="8" borderId="4" xfId="0" applyFont="1" applyFill="1" applyBorder="1"/>
    <xf numFmtId="0" fontId="7" fillId="8" borderId="6" xfId="0" applyFont="1" applyFill="1" applyBorder="1"/>
    <xf numFmtId="3" fontId="7" fillId="8" borderId="6" xfId="4" applyFont="1" applyFill="1" applyBorder="1"/>
    <xf numFmtId="3" fontId="29" fillId="8" borderId="6" xfId="4" applyFont="1" applyFill="1" applyBorder="1"/>
    <xf numFmtId="0" fontId="5" fillId="8" borderId="6" xfId="0" applyFont="1" applyFill="1" applyBorder="1"/>
    <xf numFmtId="164" fontId="27" fillId="0" borderId="73" xfId="0" applyNumberFormat="1" applyFont="1" applyFill="1" applyBorder="1"/>
    <xf numFmtId="0" fontId="4" fillId="0" borderId="37" xfId="0" applyFont="1" applyFill="1" applyBorder="1"/>
    <xf numFmtId="164" fontId="27" fillId="0" borderId="74" xfId="0" applyNumberFormat="1" applyFont="1" applyFill="1" applyBorder="1"/>
    <xf numFmtId="3" fontId="4" fillId="0" borderId="53" xfId="0" applyNumberFormat="1" applyFont="1" applyFill="1" applyBorder="1"/>
    <xf numFmtId="164" fontId="27" fillId="0" borderId="75" xfId="0" applyNumberFormat="1" applyFont="1" applyFill="1" applyBorder="1"/>
    <xf numFmtId="3" fontId="27" fillId="0" borderId="73" xfId="0" applyNumberFormat="1" applyFont="1" applyFill="1" applyBorder="1"/>
    <xf numFmtId="0" fontId="5" fillId="0" borderId="49" xfId="0" applyFont="1" applyFill="1" applyBorder="1" applyAlignment="1">
      <alignment horizontal="center"/>
    </xf>
    <xf numFmtId="0" fontId="5" fillId="0" borderId="56" xfId="0" applyFont="1" applyFill="1" applyBorder="1"/>
    <xf numFmtId="0" fontId="40" fillId="0" borderId="69" xfId="0" applyFont="1" applyFill="1" applyBorder="1"/>
    <xf numFmtId="2" fontId="4" fillId="0" borderId="56" xfId="0" applyNumberFormat="1" applyFont="1" applyFill="1" applyBorder="1"/>
    <xf numFmtId="3" fontId="4" fillId="0" borderId="56" xfId="0" applyNumberFormat="1" applyFont="1" applyFill="1" applyBorder="1"/>
    <xf numFmtId="164" fontId="7" fillId="0" borderId="56" xfId="6" applyFont="1" applyFill="1" applyBorder="1"/>
    <xf numFmtId="164" fontId="27" fillId="0" borderId="63" xfId="0" applyNumberFormat="1" applyFont="1" applyFill="1" applyBorder="1"/>
    <xf numFmtId="164" fontId="27" fillId="0" borderId="64" xfId="0" applyNumberFormat="1" applyFont="1" applyFill="1" applyBorder="1"/>
    <xf numFmtId="0" fontId="29" fillId="0" borderId="46" xfId="0" applyFont="1" applyFill="1" applyBorder="1" applyAlignment="1"/>
    <xf numFmtId="14" fontId="29" fillId="0" borderId="28" xfId="0" applyNumberFormat="1" applyFont="1" applyFill="1" applyBorder="1" applyAlignment="1"/>
    <xf numFmtId="0" fontId="29" fillId="0" borderId="0" xfId="0" applyFont="1" applyFill="1" applyBorder="1" applyAlignment="1"/>
    <xf numFmtId="14" fontId="29" fillId="0" borderId="34" xfId="16" applyNumberFormat="1" applyFont="1" applyBorder="1" applyAlignment="1"/>
    <xf numFmtId="166" fontId="56" fillId="0" borderId="0" xfId="0" applyNumberFormat="1" applyFont="1" applyFill="1" applyBorder="1" applyAlignment="1">
      <alignment horizontal="right"/>
    </xf>
    <xf numFmtId="166" fontId="56" fillId="0" borderId="0" xfId="0" applyNumberFormat="1" applyFont="1" applyFill="1" applyBorder="1"/>
    <xf numFmtId="1" fontId="56" fillId="0" borderId="46" xfId="1" applyNumberFormat="1" applyFont="1" applyFill="1" applyBorder="1"/>
    <xf numFmtId="10" fontId="18" fillId="0" borderId="0" xfId="2" applyNumberFormat="1" applyFont="1" applyFill="1" applyBorder="1" applyAlignment="1">
      <alignment horizontal="right"/>
    </xf>
    <xf numFmtId="0" fontId="4" fillId="0" borderId="0" xfId="7" applyFont="1" applyFill="1" applyBorder="1"/>
    <xf numFmtId="10" fontId="4" fillId="9" borderId="0" xfId="2" applyNumberFormat="1" applyFont="1" applyFill="1" applyBorder="1" applyAlignment="1">
      <alignment horizontal="right"/>
    </xf>
    <xf numFmtId="0" fontId="4" fillId="9" borderId="0" xfId="0" applyFont="1" applyFill="1" applyBorder="1"/>
    <xf numFmtId="2" fontId="4" fillId="9" borderId="0" xfId="0" applyNumberFormat="1" applyFont="1" applyFill="1" applyBorder="1"/>
    <xf numFmtId="4" fontId="4" fillId="9" borderId="0" xfId="1" applyNumberFormat="1" applyFont="1" applyFill="1" applyBorder="1"/>
    <xf numFmtId="3" fontId="4" fillId="9" borderId="34" xfId="0" applyNumberFormat="1" applyFont="1" applyFill="1" applyBorder="1"/>
    <xf numFmtId="3" fontId="4" fillId="8" borderId="6" xfId="4" applyFont="1" applyFill="1" applyBorder="1"/>
    <xf numFmtId="42" fontId="7" fillId="0" borderId="0" xfId="5" quotePrefix="1" applyNumberFormat="1" applyFont="1" applyFill="1" applyBorder="1" applyAlignment="1" applyProtection="1"/>
    <xf numFmtId="3" fontId="10" fillId="0" borderId="0" xfId="0" applyNumberFormat="1" applyFont="1" applyFill="1" applyBorder="1"/>
    <xf numFmtId="41" fontId="12" fillId="0" borderId="0" xfId="4" applyNumberFormat="1" applyFont="1" applyFill="1" applyBorder="1"/>
    <xf numFmtId="3" fontId="16" fillId="0" borderId="0" xfId="4" applyFont="1" applyFill="1" applyBorder="1" applyAlignment="1">
      <alignment horizontal="right"/>
    </xf>
    <xf numFmtId="42" fontId="17" fillId="0" borderId="0" xfId="0" applyNumberFormat="1" applyFont="1" applyFill="1" applyBorder="1"/>
    <xf numFmtId="22" fontId="20" fillId="0" borderId="0" xfId="0" applyNumberFormat="1" applyFont="1" applyFill="1" applyBorder="1"/>
    <xf numFmtId="0" fontId="22" fillId="0" borderId="0" xfId="0" applyFont="1" applyFill="1" applyBorder="1"/>
    <xf numFmtId="0" fontId="24" fillId="0" borderId="0" xfId="0" applyFont="1" applyFill="1" applyBorder="1"/>
    <xf numFmtId="42" fontId="23" fillId="0" borderId="12" xfId="0" applyNumberFormat="1" applyFont="1" applyFill="1" applyBorder="1"/>
    <xf numFmtId="0" fontId="27" fillId="0" borderId="0" xfId="0" applyFont="1" applyFill="1" applyBorder="1"/>
    <xf numFmtId="37" fontId="4" fillId="0" borderId="0" xfId="0" applyNumberFormat="1" applyFont="1" applyFill="1" applyBorder="1"/>
    <xf numFmtId="3" fontId="14" fillId="0" borderId="0" xfId="4" applyFont="1" applyFill="1" applyBorder="1" applyAlignment="1">
      <alignment horizontal="right"/>
    </xf>
    <xf numFmtId="0" fontId="15" fillId="0" borderId="0" xfId="0" applyFont="1" applyFill="1" applyBorder="1"/>
    <xf numFmtId="10" fontId="17" fillId="0" borderId="6" xfId="0" applyNumberFormat="1" applyFont="1" applyFill="1" applyBorder="1"/>
    <xf numFmtId="0" fontId="18" fillId="0" borderId="0" xfId="0" applyFont="1" applyFill="1" applyBorder="1"/>
    <xf numFmtId="41" fontId="7" fillId="0" borderId="0" xfId="6" applyNumberFormat="1" applyFont="1" applyFill="1" applyBorder="1"/>
    <xf numFmtId="165" fontId="4" fillId="0" borderId="0" xfId="0" applyNumberFormat="1" applyFont="1" applyFill="1" applyBorder="1"/>
    <xf numFmtId="0" fontId="19" fillId="0" borderId="0" xfId="0" applyFont="1" applyFill="1" applyBorder="1"/>
    <xf numFmtId="10" fontId="5" fillId="0" borderId="6" xfId="0" applyNumberFormat="1" applyFont="1" applyFill="1" applyBorder="1"/>
    <xf numFmtId="0" fontId="21" fillId="0" borderId="0" xfId="0" applyFont="1" applyFill="1" applyBorder="1"/>
    <xf numFmtId="0" fontId="22" fillId="0" borderId="6" xfId="0" applyFont="1" applyFill="1" applyBorder="1"/>
    <xf numFmtId="0" fontId="23" fillId="0" borderId="0" xfId="0" applyFont="1" applyFill="1" applyBorder="1"/>
    <xf numFmtId="0" fontId="24" fillId="0" borderId="6" xfId="0" applyFont="1" applyFill="1" applyBorder="1"/>
    <xf numFmtId="41" fontId="6" fillId="0" borderId="11" xfId="4" applyNumberFormat="1" applyFont="1" applyFill="1" applyBorder="1"/>
    <xf numFmtId="42" fontId="5" fillId="0" borderId="17" xfId="6" applyNumberFormat="1" applyFont="1" applyFill="1" applyBorder="1"/>
    <xf numFmtId="0" fontId="27" fillId="0" borderId="6" xfId="0" applyFont="1" applyFill="1" applyBorder="1"/>
    <xf numFmtId="41" fontId="5" fillId="0" borderId="0" xfId="6" applyNumberFormat="1" applyFont="1" applyFill="1" applyBorder="1"/>
    <xf numFmtId="0" fontId="5" fillId="0" borderId="8" xfId="0" applyFont="1" applyFill="1" applyBorder="1"/>
    <xf numFmtId="42" fontId="5" fillId="0" borderId="18" xfId="0" applyNumberFormat="1" applyFont="1" applyFill="1" applyBorder="1"/>
    <xf numFmtId="0" fontId="4" fillId="0" borderId="9" xfId="0" applyFont="1" applyFill="1" applyBorder="1"/>
    <xf numFmtId="3" fontId="7" fillId="0" borderId="59" xfId="4" applyFont="1" applyFill="1" applyBorder="1"/>
    <xf numFmtId="42" fontId="23" fillId="0" borderId="13" xfId="0" applyNumberFormat="1" applyFont="1" applyFill="1" applyBorder="1"/>
    <xf numFmtId="0" fontId="4" fillId="10" borderId="0" xfId="0" applyFont="1" applyFill="1" applyBorder="1"/>
    <xf numFmtId="0" fontId="33" fillId="0" borderId="0" xfId="0" applyFont="1" applyFill="1" applyBorder="1"/>
    <xf numFmtId="0" fontId="5" fillId="0" borderId="53" xfId="0" applyFont="1" applyFill="1" applyBorder="1"/>
    <xf numFmtId="7" fontId="4" fillId="0" borderId="34" xfId="0" applyNumberFormat="1" applyFont="1" applyFill="1" applyBorder="1"/>
    <xf numFmtId="7" fontId="4" fillId="0" borderId="34" xfId="4" applyNumberFormat="1" applyFont="1" applyFill="1" applyBorder="1"/>
    <xf numFmtId="0" fontId="4" fillId="0" borderId="34" xfId="4" applyNumberFormat="1" applyFont="1" applyFill="1" applyBorder="1" applyAlignment="1">
      <alignment horizontal="center"/>
    </xf>
    <xf numFmtId="0" fontId="18" fillId="0" borderId="34" xfId="0" applyFont="1" applyFill="1" applyBorder="1"/>
    <xf numFmtId="0" fontId="25" fillId="0" borderId="51" xfId="0" applyFont="1" applyFill="1" applyBorder="1"/>
    <xf numFmtId="0" fontId="4" fillId="10" borderId="46" xfId="0" applyFont="1" applyFill="1" applyBorder="1"/>
    <xf numFmtId="10" fontId="4" fillId="10" borderId="46" xfId="0" applyNumberFormat="1" applyFont="1" applyFill="1" applyBorder="1" applyProtection="1"/>
    <xf numFmtId="2" fontId="4" fillId="10" borderId="0" xfId="0" applyNumberFormat="1" applyFont="1" applyFill="1" applyBorder="1"/>
    <xf numFmtId="3" fontId="4" fillId="10" borderId="34" xfId="0" applyNumberFormat="1" applyFont="1" applyFill="1" applyBorder="1"/>
    <xf numFmtId="3" fontId="4" fillId="10" borderId="28" xfId="0" applyNumberFormat="1" applyFont="1" applyFill="1" applyBorder="1"/>
    <xf numFmtId="3" fontId="29" fillId="10" borderId="28" xfId="0" applyNumberFormat="1" applyFont="1" applyFill="1" applyBorder="1"/>
    <xf numFmtId="3" fontId="4" fillId="10" borderId="33" xfId="0" applyNumberFormat="1" applyFont="1" applyFill="1" applyBorder="1"/>
    <xf numFmtId="3" fontId="7" fillId="10" borderId="34" xfId="0" applyNumberFormat="1" applyFont="1" applyFill="1" applyBorder="1"/>
    <xf numFmtId="0" fontId="32" fillId="0" borderId="0" xfId="0" applyFont="1" applyFill="1" applyBorder="1"/>
    <xf numFmtId="0" fontId="6" fillId="0" borderId="46" xfId="0" applyFont="1" applyFill="1" applyBorder="1"/>
    <xf numFmtId="0" fontId="30" fillId="0" borderId="77" xfId="0" applyFont="1" applyFill="1" applyBorder="1"/>
    <xf numFmtId="4" fontId="4" fillId="10" borderId="0" xfId="0" applyNumberFormat="1" applyFont="1" applyFill="1" applyBorder="1"/>
    <xf numFmtId="4" fontId="4" fillId="10" borderId="0" xfId="1" applyNumberFormat="1" applyFont="1" applyFill="1" applyBorder="1"/>
    <xf numFmtId="3" fontId="7" fillId="10" borderId="28" xfId="4" applyFont="1" applyFill="1" applyBorder="1"/>
    <xf numFmtId="0" fontId="11" fillId="0" borderId="0" xfId="0" applyFont="1" applyFill="1" applyBorder="1" applyAlignment="1">
      <alignment horizontal="left"/>
    </xf>
    <xf numFmtId="10" fontId="11" fillId="0" borderId="0" xfId="2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1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39" fillId="0" borderId="0" xfId="0" applyFont="1" applyFill="1" applyBorder="1"/>
    <xf numFmtId="0" fontId="36" fillId="0" borderId="46" xfId="0" applyFont="1" applyFill="1" applyBorder="1"/>
    <xf numFmtId="0" fontId="4" fillId="9" borderId="46" xfId="0" applyFont="1" applyFill="1" applyBorder="1"/>
    <xf numFmtId="0" fontId="33" fillId="0" borderId="46" xfId="0" applyFont="1" applyFill="1" applyBorder="1"/>
    <xf numFmtId="0" fontId="4" fillId="0" borderId="46" xfId="0" applyFont="1" applyFill="1" applyBorder="1" applyProtection="1"/>
    <xf numFmtId="10" fontId="4" fillId="10" borderId="46" xfId="2" applyNumberFormat="1" applyFont="1" applyFill="1" applyBorder="1" applyAlignment="1">
      <alignment horizontal="right"/>
    </xf>
    <xf numFmtId="10" fontId="4" fillId="10" borderId="0" xfId="2" applyNumberFormat="1" applyFont="1" applyFill="1" applyBorder="1" applyAlignment="1">
      <alignment horizontal="right"/>
    </xf>
    <xf numFmtId="3" fontId="7" fillId="10" borderId="28" xfId="0" applyNumberFormat="1" applyFont="1" applyFill="1" applyBorder="1"/>
    <xf numFmtId="0" fontId="11" fillId="0" borderId="34" xfId="0" applyFont="1" applyFill="1" applyBorder="1"/>
    <xf numFmtId="14" fontId="5" fillId="0" borderId="0" xfId="0" applyNumberFormat="1" applyFont="1" applyFill="1" applyBorder="1" applyAlignment="1">
      <alignment horizontal="center"/>
    </xf>
    <xf numFmtId="164" fontId="4" fillId="0" borderId="0" xfId="4" applyNumberFormat="1" applyFont="1" applyFill="1" applyBorder="1"/>
    <xf numFmtId="42" fontId="7" fillId="0" borderId="0" xfId="4" applyNumberFormat="1" applyFont="1" applyFill="1" applyBorder="1"/>
    <xf numFmtId="41" fontId="4" fillId="0" borderId="0" xfId="4" applyNumberFormat="1" applyFont="1" applyFill="1" applyBorder="1"/>
    <xf numFmtId="3" fontId="4" fillId="0" borderId="6" xfId="4" applyFont="1" applyFill="1" applyBorder="1"/>
    <xf numFmtId="0" fontId="5" fillId="6" borderId="25" xfId="0" applyFont="1" applyFill="1" applyBorder="1" applyAlignment="1">
      <alignment horizontal="center"/>
    </xf>
    <xf numFmtId="0" fontId="4" fillId="6" borderId="26" xfId="0" applyFont="1" applyFill="1" applyBorder="1" applyAlignment="1"/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/>
    <xf numFmtId="0" fontId="4" fillId="6" borderId="55" xfId="0" applyFont="1" applyFill="1" applyBorder="1" applyAlignment="1"/>
  </cellXfs>
  <cellStyles count="18">
    <cellStyle name="Comma" xfId="1" builtinId="3"/>
    <cellStyle name="Comma 2" xfId="16"/>
    <cellStyle name="Comma 3" xfId="17"/>
    <cellStyle name="Comma0" xfId="4"/>
    <cellStyle name="Comma0 2" xfId="9"/>
    <cellStyle name="Currency0" xfId="6"/>
    <cellStyle name="Currency0 2" xfId="10"/>
    <cellStyle name="Date" xfId="11"/>
    <cellStyle name="Fixed" xfId="12"/>
    <cellStyle name="Heading 1 2" xfId="13"/>
    <cellStyle name="Heading 2 2" xfId="14"/>
    <cellStyle name="Hyperlink" xfId="5" builtinId="8"/>
    <cellStyle name="Normal" xfId="0" builtinId="0"/>
    <cellStyle name="Normal 2" xfId="8"/>
    <cellStyle name="Normal_JUSTIFICATION" xfId="7"/>
    <cellStyle name="Percent" xfId="2" builtinId="5"/>
    <cellStyle name="Total" xfId="3" builtinId="25"/>
    <cellStyle name="Tot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V40"/>
  <sheetViews>
    <sheetView topLeftCell="A7" workbookViewId="0">
      <selection activeCell="G9" sqref="G9"/>
    </sheetView>
  </sheetViews>
  <sheetFormatPr defaultRowHeight="12.75"/>
  <cols>
    <col min="1" max="1" width="11" style="7" customWidth="1"/>
    <col min="2" max="2" width="32.5703125" style="7" customWidth="1"/>
    <col min="3" max="6" width="14.7109375" style="7" customWidth="1"/>
    <col min="7" max="7" width="15.5703125" style="7" customWidth="1"/>
    <col min="8" max="8" width="12.7109375" style="7" customWidth="1"/>
    <col min="9" max="9" width="24.85546875" style="6" customWidth="1"/>
    <col min="10" max="10" width="13.85546875" style="7" bestFit="1" customWidth="1"/>
    <col min="11" max="11" width="50.42578125" style="7" customWidth="1"/>
    <col min="12" max="16384" width="9.140625" style="7"/>
  </cols>
  <sheetData>
    <row r="1" spans="1:11" ht="18" customHeight="1">
      <c r="A1" s="1" t="s">
        <v>0</v>
      </c>
      <c r="B1" s="2"/>
      <c r="C1" s="3"/>
      <c r="D1" s="2"/>
      <c r="E1" s="4"/>
      <c r="F1" s="2"/>
      <c r="G1" s="2"/>
      <c r="H1" s="5"/>
    </row>
    <row r="2" spans="1:11" ht="18" customHeight="1">
      <c r="A2" s="8" t="s">
        <v>404</v>
      </c>
      <c r="C2" s="9"/>
      <c r="E2" s="10"/>
      <c r="H2" s="11"/>
      <c r="I2" s="12" t="s">
        <v>1</v>
      </c>
    </row>
    <row r="3" spans="1:11">
      <c r="A3" s="13"/>
      <c r="H3" s="11"/>
    </row>
    <row r="4" spans="1:11" ht="18" customHeight="1">
      <c r="A4" s="13"/>
      <c r="B4" s="14"/>
      <c r="C4" s="14"/>
      <c r="D4" s="14" t="s">
        <v>2</v>
      </c>
      <c r="E4" s="14" t="s">
        <v>3</v>
      </c>
      <c r="F4" s="14"/>
      <c r="G4" s="14"/>
      <c r="H4" s="15"/>
    </row>
    <row r="5" spans="1:11" ht="18" customHeight="1" thickBot="1">
      <c r="A5" s="13"/>
      <c r="B5" s="14"/>
      <c r="C5" s="479" t="s">
        <v>4</v>
      </c>
      <c r="D5" s="14" t="s">
        <v>4</v>
      </c>
      <c r="E5" s="14" t="s">
        <v>5</v>
      </c>
      <c r="F5" s="14" t="s">
        <v>6</v>
      </c>
      <c r="G5" s="14" t="s">
        <v>405</v>
      </c>
      <c r="H5" s="15" t="s">
        <v>7</v>
      </c>
    </row>
    <row r="6" spans="1:11" ht="18" customHeight="1" thickBot="1">
      <c r="A6" s="16" t="s">
        <v>8</v>
      </c>
      <c r="B6" s="17"/>
      <c r="C6" s="18">
        <v>2017</v>
      </c>
      <c r="D6" s="18">
        <v>2018</v>
      </c>
      <c r="E6" s="18">
        <v>2018</v>
      </c>
      <c r="F6" s="18">
        <v>2018</v>
      </c>
      <c r="G6" s="18">
        <v>2019</v>
      </c>
      <c r="H6" s="19" t="s">
        <v>9</v>
      </c>
      <c r="I6" s="20" t="s">
        <v>10</v>
      </c>
    </row>
    <row r="7" spans="1:11">
      <c r="A7" s="21"/>
      <c r="B7" s="2"/>
      <c r="C7" s="2"/>
      <c r="D7" s="2"/>
      <c r="E7" s="2"/>
      <c r="F7" s="2"/>
      <c r="G7" s="2"/>
      <c r="H7" s="5"/>
    </row>
    <row r="8" spans="1:11" ht="18" customHeight="1">
      <c r="A8" s="22" t="s">
        <v>11</v>
      </c>
      <c r="C8" s="23"/>
      <c r="D8" s="23"/>
      <c r="E8" s="480"/>
      <c r="F8" s="23"/>
      <c r="G8" s="23"/>
      <c r="H8" s="24"/>
      <c r="I8" s="25"/>
      <c r="J8" s="26"/>
      <c r="K8" s="57">
        <f>+G9+K9</f>
        <v>1175025</v>
      </c>
    </row>
    <row r="9" spans="1:11" ht="18" customHeight="1">
      <c r="A9" s="27">
        <v>41110</v>
      </c>
      <c r="B9" s="28" t="s">
        <v>12</v>
      </c>
      <c r="C9" s="481">
        <v>830065</v>
      </c>
      <c r="D9" s="481">
        <v>792084</v>
      </c>
      <c r="E9" s="481">
        <v>792084</v>
      </c>
      <c r="F9" s="481">
        <v>792084</v>
      </c>
      <c r="G9" s="411">
        <f>2255952-1333783-20000+8660</f>
        <v>910829</v>
      </c>
      <c r="H9" s="29"/>
      <c r="I9" s="30"/>
      <c r="J9" s="26">
        <f>330244/5</f>
        <v>66048.800000000003</v>
      </c>
      <c r="K9" s="26">
        <f>66049*4</f>
        <v>264196</v>
      </c>
    </row>
    <row r="10" spans="1:11" ht="18" customHeight="1">
      <c r="A10" s="27">
        <v>41110</v>
      </c>
      <c r="B10" s="28" t="s">
        <v>13</v>
      </c>
      <c r="C10" s="31">
        <v>306771</v>
      </c>
      <c r="D10" s="31">
        <v>327858</v>
      </c>
      <c r="E10" s="31">
        <v>327858</v>
      </c>
      <c r="F10" s="31">
        <v>327858</v>
      </c>
      <c r="G10" s="31">
        <f>385244-55000</f>
        <v>330244</v>
      </c>
      <c r="H10" s="29"/>
      <c r="I10" s="30"/>
      <c r="J10" s="26"/>
      <c r="K10" s="26"/>
    </row>
    <row r="11" spans="1:11" ht="18" customHeight="1">
      <c r="A11" s="13">
        <v>43570</v>
      </c>
      <c r="B11" s="7" t="s">
        <v>14</v>
      </c>
      <c r="C11" s="482">
        <v>0</v>
      </c>
      <c r="D11" s="31">
        <v>0</v>
      </c>
      <c r="E11" s="32">
        <v>1625</v>
      </c>
      <c r="F11" s="32">
        <v>1625</v>
      </c>
      <c r="G11" s="32">
        <v>1625</v>
      </c>
      <c r="H11" s="33"/>
      <c r="I11" s="34"/>
      <c r="J11" s="35"/>
      <c r="K11" s="26">
        <f>1175025-1166365</f>
        <v>8660</v>
      </c>
    </row>
    <row r="12" spans="1:11" ht="18" customHeight="1">
      <c r="A12" s="13">
        <v>43720</v>
      </c>
      <c r="B12" s="7" t="s">
        <v>15</v>
      </c>
      <c r="C12" s="31">
        <v>567974</v>
      </c>
      <c r="D12" s="31">
        <v>610606</v>
      </c>
      <c r="E12" s="32">
        <v>610606</v>
      </c>
      <c r="F12" s="32">
        <v>610606</v>
      </c>
      <c r="G12" s="412">
        <v>659926</v>
      </c>
      <c r="H12" s="33"/>
      <c r="I12" s="25" t="s">
        <v>350</v>
      </c>
      <c r="J12" s="35"/>
    </row>
    <row r="13" spans="1:11" ht="18" customHeight="1">
      <c r="A13" s="13">
        <v>43722</v>
      </c>
      <c r="B13" s="7" t="s">
        <v>16</v>
      </c>
      <c r="C13" s="31">
        <v>154862</v>
      </c>
      <c r="D13" s="31">
        <v>189043</v>
      </c>
      <c r="E13" s="32">
        <v>189043</v>
      </c>
      <c r="F13" s="32">
        <v>189043</v>
      </c>
      <c r="G13" s="412">
        <v>214686</v>
      </c>
      <c r="H13" s="33"/>
      <c r="I13" s="36" t="s">
        <v>350</v>
      </c>
      <c r="J13" s="35"/>
    </row>
    <row r="14" spans="1:11" ht="18" customHeight="1">
      <c r="A14" s="13">
        <v>45140</v>
      </c>
      <c r="B14" s="7" t="s">
        <v>17</v>
      </c>
      <c r="C14" s="31">
        <v>31794</v>
      </c>
      <c r="D14" s="31">
        <v>16174</v>
      </c>
      <c r="E14" s="32">
        <v>32500</v>
      </c>
      <c r="F14" s="32">
        <v>32544</v>
      </c>
      <c r="G14" s="32">
        <v>9000</v>
      </c>
      <c r="H14" s="33"/>
      <c r="I14" s="30"/>
      <c r="J14" s="35"/>
    </row>
    <row r="15" spans="1:11" ht="18" customHeight="1">
      <c r="A15" s="13">
        <v>46193</v>
      </c>
      <c r="B15" s="7" t="s">
        <v>18</v>
      </c>
      <c r="C15" s="31">
        <v>6295</v>
      </c>
      <c r="D15" s="31">
        <v>3249</v>
      </c>
      <c r="E15" s="32">
        <v>6100</v>
      </c>
      <c r="F15" s="32">
        <v>6124</v>
      </c>
      <c r="G15" s="32">
        <v>6300</v>
      </c>
      <c r="H15" s="33"/>
      <c r="I15" s="30"/>
      <c r="J15" s="35"/>
    </row>
    <row r="16" spans="1:11" ht="18" customHeight="1">
      <c r="A16" s="13">
        <v>46194</v>
      </c>
      <c r="B16" s="7" t="s">
        <v>19</v>
      </c>
      <c r="C16" s="31">
        <v>1076</v>
      </c>
      <c r="D16" s="31">
        <v>509</v>
      </c>
      <c r="E16" s="32">
        <v>800</v>
      </c>
      <c r="F16" s="32">
        <v>818</v>
      </c>
      <c r="G16" s="32">
        <v>1000</v>
      </c>
      <c r="H16" s="33"/>
      <c r="I16" s="30"/>
      <c r="J16" s="35"/>
    </row>
    <row r="17" spans="1:256" ht="18" customHeight="1">
      <c r="A17" s="13">
        <v>46910</v>
      </c>
      <c r="B17" s="7" t="s">
        <v>20</v>
      </c>
      <c r="C17" s="31">
        <v>12897</v>
      </c>
      <c r="D17" s="31">
        <v>15856</v>
      </c>
      <c r="E17" s="32">
        <v>15854</v>
      </c>
      <c r="F17" s="32">
        <v>16047</v>
      </c>
      <c r="G17" s="32">
        <v>21002</v>
      </c>
      <c r="H17" s="33"/>
      <c r="I17" s="30"/>
      <c r="J17" s="35"/>
    </row>
    <row r="18" spans="1:256" ht="18" hidden="1" customHeight="1">
      <c r="A18" s="13">
        <v>48110</v>
      </c>
      <c r="B18" s="7" t="s">
        <v>21</v>
      </c>
      <c r="C18" s="31">
        <v>0</v>
      </c>
      <c r="D18" s="31">
        <v>0</v>
      </c>
      <c r="E18" s="32"/>
      <c r="F18" s="32">
        <v>0</v>
      </c>
      <c r="G18" s="32"/>
      <c r="H18" s="33"/>
      <c r="I18" s="30"/>
      <c r="J18" s="35"/>
    </row>
    <row r="19" spans="1:256" ht="18" hidden="1" customHeight="1">
      <c r="A19" s="13">
        <v>48200</v>
      </c>
      <c r="B19" s="7" t="s">
        <v>22</v>
      </c>
      <c r="C19" s="31">
        <v>0</v>
      </c>
      <c r="D19" s="31">
        <v>0</v>
      </c>
      <c r="E19" s="32">
        <v>0</v>
      </c>
      <c r="F19" s="32">
        <v>0</v>
      </c>
      <c r="G19" s="32">
        <v>0</v>
      </c>
      <c r="H19" s="33"/>
      <c r="I19" s="37"/>
      <c r="J19" s="35"/>
    </row>
    <row r="20" spans="1:256" ht="18" customHeight="1">
      <c r="A20" s="13">
        <v>48500</v>
      </c>
      <c r="B20" s="7" t="s">
        <v>23</v>
      </c>
      <c r="C20" s="31">
        <v>0</v>
      </c>
      <c r="D20" s="31">
        <v>0</v>
      </c>
      <c r="E20" s="32">
        <v>0</v>
      </c>
      <c r="F20" s="32">
        <v>0</v>
      </c>
      <c r="G20" s="32">
        <v>0</v>
      </c>
      <c r="H20" s="33"/>
      <c r="I20" s="30"/>
      <c r="J20" s="35"/>
    </row>
    <row r="21" spans="1:256" ht="18" hidden="1" customHeight="1">
      <c r="A21" s="13">
        <v>48501</v>
      </c>
      <c r="B21" s="7" t="s">
        <v>24</v>
      </c>
      <c r="C21" s="31">
        <v>0</v>
      </c>
      <c r="D21" s="31">
        <v>0</v>
      </c>
      <c r="E21" s="32">
        <v>0</v>
      </c>
      <c r="F21" s="32"/>
      <c r="G21" s="32">
        <v>0</v>
      </c>
      <c r="H21" s="33"/>
      <c r="I21" s="30"/>
      <c r="J21" s="35"/>
    </row>
    <row r="22" spans="1:256" ht="18" hidden="1" customHeight="1">
      <c r="A22" s="13">
        <v>48503</v>
      </c>
      <c r="B22" s="7" t="s">
        <v>25</v>
      </c>
      <c r="C22" s="31">
        <v>0</v>
      </c>
      <c r="D22" s="31">
        <v>0</v>
      </c>
      <c r="E22" s="32">
        <v>0</v>
      </c>
      <c r="F22" s="32">
        <v>0</v>
      </c>
      <c r="G22" s="32">
        <v>0</v>
      </c>
      <c r="H22" s="33"/>
      <c r="I22" s="30"/>
      <c r="J22" s="35"/>
    </row>
    <row r="23" spans="1:256" ht="18" customHeight="1">
      <c r="A23" s="13">
        <v>48902</v>
      </c>
      <c r="B23" s="7" t="s">
        <v>26</v>
      </c>
      <c r="C23" s="31">
        <v>50233</v>
      </c>
      <c r="D23" s="31">
        <v>21379</v>
      </c>
      <c r="E23" s="32">
        <v>35000</v>
      </c>
      <c r="F23" s="32">
        <v>31379</v>
      </c>
      <c r="G23" s="32">
        <v>35000</v>
      </c>
      <c r="H23" s="33"/>
      <c r="I23" s="30"/>
      <c r="J23" s="35"/>
    </row>
    <row r="24" spans="1:256" ht="18" customHeight="1">
      <c r="A24" s="13">
        <v>48903</v>
      </c>
      <c r="B24" s="7" t="s">
        <v>27</v>
      </c>
      <c r="C24" s="31">
        <v>0</v>
      </c>
      <c r="D24" s="31">
        <v>26701</v>
      </c>
      <c r="E24" s="32">
        <v>0</v>
      </c>
      <c r="F24" s="32">
        <v>0</v>
      </c>
      <c r="G24" s="32">
        <v>0</v>
      </c>
      <c r="H24" s="33"/>
      <c r="I24" s="30"/>
      <c r="J24" s="35"/>
    </row>
    <row r="25" spans="1:256" ht="18" customHeight="1">
      <c r="A25" s="13">
        <v>49200</v>
      </c>
      <c r="B25" s="38" t="s">
        <v>28</v>
      </c>
      <c r="C25" s="31">
        <v>55000</v>
      </c>
      <c r="D25" s="31">
        <v>55000</v>
      </c>
      <c r="E25" s="31">
        <v>55000</v>
      </c>
      <c r="F25" s="31">
        <v>55000</v>
      </c>
      <c r="G25" s="31">
        <v>55000</v>
      </c>
      <c r="H25" s="33"/>
      <c r="I25" s="30"/>
      <c r="J25" s="39"/>
      <c r="K25" s="40"/>
    </row>
    <row r="26" spans="1:256" ht="18" hidden="1" customHeight="1">
      <c r="A26" s="41">
        <v>49300</v>
      </c>
      <c r="B26" s="42" t="s">
        <v>29</v>
      </c>
      <c r="C26" s="31">
        <v>0</v>
      </c>
      <c r="D26" s="31">
        <v>0</v>
      </c>
      <c r="E26" s="31">
        <v>0</v>
      </c>
      <c r="F26" s="413">
        <v>0</v>
      </c>
      <c r="G26" s="413">
        <v>0</v>
      </c>
      <c r="H26" s="43"/>
      <c r="I26" s="44"/>
      <c r="J26" s="45"/>
      <c r="K26" s="4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</row>
    <row r="27" spans="1:256" ht="18" customHeight="1" thickBot="1">
      <c r="A27" s="47" t="s">
        <v>30</v>
      </c>
      <c r="B27" s="48"/>
      <c r="C27" s="49">
        <f>SUM(C9:C26)</f>
        <v>2016967</v>
      </c>
      <c r="D27" s="49">
        <f>SUM(D9:D26)</f>
        <v>2058459</v>
      </c>
      <c r="E27" s="49">
        <f>SUM(E9:E25)</f>
        <v>2066470</v>
      </c>
      <c r="F27" s="49">
        <f>SUM(F9:F26)</f>
        <v>2063128</v>
      </c>
      <c r="G27" s="49">
        <f>SUM(G9:G26)</f>
        <v>2244612</v>
      </c>
      <c r="H27" s="50">
        <f>ROUND((G27-E27)/E27,6)</f>
        <v>8.6206000000000005E-2</v>
      </c>
      <c r="I27" s="30"/>
      <c r="K27" s="40"/>
    </row>
    <row r="28" spans="1:256">
      <c r="A28" s="13"/>
      <c r="B28" s="7" t="s">
        <v>31</v>
      </c>
      <c r="E28" s="421"/>
      <c r="G28" s="421"/>
      <c r="H28" s="11"/>
      <c r="K28" s="40"/>
    </row>
    <row r="29" spans="1:256">
      <c r="A29" s="13"/>
      <c r="D29" s="422" t="s">
        <v>32</v>
      </c>
      <c r="E29" s="423" t="s">
        <v>33</v>
      </c>
      <c r="F29" s="414"/>
      <c r="G29" s="415">
        <f>+G9-E9</f>
        <v>118745</v>
      </c>
      <c r="H29" s="424">
        <f>ROUND((G29/($E9)),4)</f>
        <v>0.14990000000000001</v>
      </c>
      <c r="K29" s="40"/>
    </row>
    <row r="30" spans="1:256">
      <c r="A30" s="13"/>
      <c r="B30" s="10" t="s">
        <v>406</v>
      </c>
      <c r="C30" s="65">
        <v>494281</v>
      </c>
      <c r="D30" s="422" t="s">
        <v>34</v>
      </c>
      <c r="E30" s="423" t="s">
        <v>33</v>
      </c>
      <c r="F30" s="414"/>
      <c r="G30" s="415">
        <f>+G10-E10</f>
        <v>2386</v>
      </c>
      <c r="H30" s="424">
        <f>ROUND((G30/($E10)),4)</f>
        <v>7.3000000000000001E-3</v>
      </c>
      <c r="K30" s="40"/>
    </row>
    <row r="31" spans="1:256">
      <c r="A31" s="13"/>
      <c r="B31" s="425"/>
      <c r="C31" s="426"/>
      <c r="D31" s="427"/>
      <c r="E31" s="428"/>
      <c r="F31" s="416"/>
      <c r="G31" s="65">
        <f>SUM(G29:G30)</f>
        <v>121131</v>
      </c>
      <c r="H31" s="429">
        <f>ROUND((G31/($E$9)),4)</f>
        <v>0.15290000000000001</v>
      </c>
      <c r="K31" s="40"/>
    </row>
    <row r="32" spans="1:256" ht="15">
      <c r="A32" s="13"/>
      <c r="B32" s="7" t="s">
        <v>407</v>
      </c>
      <c r="C32" s="31">
        <f>F27</f>
        <v>2063128</v>
      </c>
      <c r="E32" s="430" t="s">
        <v>35</v>
      </c>
      <c r="F32" s="417"/>
      <c r="G32" s="417"/>
      <c r="H32" s="431"/>
      <c r="K32" s="40"/>
    </row>
    <row r="33" spans="1:13" ht="15.75" thickBot="1">
      <c r="A33" s="13"/>
      <c r="B33" s="7" t="s">
        <v>408</v>
      </c>
      <c r="C33" s="31">
        <f>-'LINE ITEM EXP'!F66</f>
        <v>-2080143</v>
      </c>
      <c r="E33" s="432" t="s">
        <v>36</v>
      </c>
      <c r="F33" s="418"/>
      <c r="G33" s="418"/>
      <c r="H33" s="433"/>
    </row>
    <row r="34" spans="1:13" ht="14.25" thickTop="1" thickBot="1">
      <c r="A34" s="13"/>
      <c r="B34" s="10" t="s">
        <v>347</v>
      </c>
      <c r="C34" s="434"/>
      <c r="E34" s="419">
        <v>643291</v>
      </c>
      <c r="F34" s="419">
        <v>827339</v>
      </c>
      <c r="G34" s="442">
        <v>1101693</v>
      </c>
      <c r="H34" s="442">
        <v>1175025</v>
      </c>
      <c r="I34" s="6" t="s">
        <v>454</v>
      </c>
      <c r="J34" s="51" t="s">
        <v>37</v>
      </c>
      <c r="K34" s="52"/>
      <c r="L34" s="52"/>
      <c r="M34" s="53"/>
    </row>
    <row r="35" spans="1:13" ht="14.25" thickTop="1" thickBot="1">
      <c r="A35" s="13"/>
      <c r="B35" s="10" t="s">
        <v>38</v>
      </c>
      <c r="C35" s="435">
        <f>SUM(C30:C34)</f>
        <v>477266</v>
      </c>
      <c r="E35" s="420">
        <v>2016</v>
      </c>
      <c r="F35" s="420">
        <v>2017</v>
      </c>
      <c r="G35" s="420">
        <v>2018</v>
      </c>
      <c r="H35" s="436">
        <v>2019</v>
      </c>
    </row>
    <row r="36" spans="1:13" ht="13.5" thickTop="1">
      <c r="A36" s="13"/>
      <c r="B36" s="10" t="s">
        <v>409</v>
      </c>
      <c r="C36" s="437">
        <f>+G27</f>
        <v>2244612</v>
      </c>
      <c r="E36" s="420"/>
      <c r="F36" s="420"/>
      <c r="G36" s="420"/>
      <c r="H36" s="436"/>
    </row>
    <row r="37" spans="1:13">
      <c r="A37" s="13"/>
      <c r="B37" s="10" t="s">
        <v>410</v>
      </c>
      <c r="C37" s="437">
        <f>+'LINE ITEM EXP'!I66</f>
        <v>2264616.804</v>
      </c>
      <c r="E37" s="420"/>
      <c r="F37" s="420"/>
      <c r="G37" s="420"/>
      <c r="H37" s="436"/>
    </row>
    <row r="38" spans="1:13">
      <c r="A38" s="13"/>
      <c r="B38" s="10" t="s">
        <v>411</v>
      </c>
      <c r="C38" s="437"/>
      <c r="E38" s="420"/>
      <c r="F38" s="420"/>
      <c r="G38" s="420"/>
      <c r="H38" s="436"/>
    </row>
    <row r="39" spans="1:13" ht="13.5" thickBot="1">
      <c r="A39" s="16"/>
      <c r="B39" s="438" t="s">
        <v>38</v>
      </c>
      <c r="C39" s="439">
        <f>+C35+C36-C37</f>
        <v>457261.196</v>
      </c>
      <c r="D39" s="48"/>
      <c r="E39" s="48"/>
      <c r="F39" s="48"/>
      <c r="G39" s="48"/>
      <c r="H39" s="440"/>
    </row>
    <row r="40" spans="1:13">
      <c r="A40" s="54"/>
    </row>
  </sheetData>
  <protectedRanges>
    <protectedRange sqref="I6:Q42" name="Range2"/>
    <protectedRange sqref="G34:H34" name="Range3"/>
    <protectedRange sqref="F11:G24" name="Range4"/>
  </protectedRanges>
  <pageMargins left="0.7" right="0.7" top="0.75" bottom="0.75" header="0.3" footer="0.3"/>
  <pageSetup scale="6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125"/>
  <sheetViews>
    <sheetView workbookViewId="0">
      <selection activeCell="I45" sqref="I45"/>
    </sheetView>
  </sheetViews>
  <sheetFormatPr defaultRowHeight="12.75"/>
  <cols>
    <col min="1" max="1" width="11" style="7" customWidth="1"/>
    <col min="2" max="2" width="34.140625" style="7" customWidth="1"/>
    <col min="3" max="6" width="14.7109375" style="7" customWidth="1"/>
    <col min="7" max="8" width="12.7109375" style="7" hidden="1" customWidth="1"/>
    <col min="9" max="9" width="15.5703125" style="7" customWidth="1"/>
    <col min="10" max="10" width="12.7109375" style="7" customWidth="1"/>
    <col min="11" max="11" width="7.28515625" style="6" customWidth="1"/>
    <col min="12" max="12" width="9.7109375" style="7" bestFit="1" customWidth="1"/>
    <col min="13" max="16384" width="9.140625" style="7"/>
  </cols>
  <sheetData>
    <row r="1" spans="1:256" ht="18" customHeight="1">
      <c r="A1" s="1" t="s">
        <v>39</v>
      </c>
      <c r="B1" s="2"/>
      <c r="C1" s="3"/>
      <c r="D1" s="4"/>
      <c r="E1" s="2"/>
      <c r="F1" s="2"/>
      <c r="G1" s="2"/>
      <c r="H1" s="2"/>
      <c r="I1" s="2"/>
      <c r="J1" s="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  <c r="IT1" s="55"/>
      <c r="IU1" s="55"/>
      <c r="IV1" s="55"/>
    </row>
    <row r="2" spans="1:256" ht="18" customHeight="1">
      <c r="A2" s="8" t="s">
        <v>404</v>
      </c>
      <c r="C2" s="9"/>
      <c r="J2" s="11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</row>
    <row r="3" spans="1:256">
      <c r="A3" s="13"/>
      <c r="J3" s="11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</row>
    <row r="4" spans="1:256" ht="18" customHeight="1">
      <c r="A4" s="13"/>
      <c r="C4" s="14"/>
      <c r="D4" s="479" t="s">
        <v>2</v>
      </c>
      <c r="E4" s="14" t="s">
        <v>3</v>
      </c>
      <c r="F4" s="14"/>
      <c r="G4" s="14">
        <v>2017</v>
      </c>
      <c r="H4" s="14" t="s">
        <v>40</v>
      </c>
      <c r="I4" s="14"/>
      <c r="J4" s="1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  <c r="IT4" s="55"/>
      <c r="IU4" s="55"/>
      <c r="IV4" s="55"/>
    </row>
    <row r="5" spans="1:256" ht="18" customHeight="1" thickBot="1">
      <c r="A5" s="13"/>
      <c r="C5" s="14" t="s">
        <v>4</v>
      </c>
      <c r="D5" s="479" t="s">
        <v>4</v>
      </c>
      <c r="E5" s="14" t="s">
        <v>5</v>
      </c>
      <c r="F5" s="14" t="s">
        <v>6</v>
      </c>
      <c r="G5" s="14" t="s">
        <v>41</v>
      </c>
      <c r="H5" s="14" t="s">
        <v>42</v>
      </c>
      <c r="I5" s="14" t="s">
        <v>405</v>
      </c>
      <c r="J5" s="15" t="s">
        <v>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</row>
    <row r="6" spans="1:256" ht="18" customHeight="1" thickBot="1">
      <c r="A6" s="47" t="s">
        <v>43</v>
      </c>
      <c r="B6" s="48"/>
      <c r="C6" s="18">
        <v>2017</v>
      </c>
      <c r="D6" s="18">
        <v>2018</v>
      </c>
      <c r="E6" s="18">
        <v>2018</v>
      </c>
      <c r="F6" s="18">
        <v>2018</v>
      </c>
      <c r="G6" s="18" t="s">
        <v>44</v>
      </c>
      <c r="H6" s="18" t="s">
        <v>45</v>
      </c>
      <c r="I6" s="18">
        <v>2019</v>
      </c>
      <c r="J6" s="19" t="s">
        <v>9</v>
      </c>
      <c r="K6" s="20" t="s">
        <v>10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  <c r="IR6" s="55"/>
      <c r="IS6" s="55"/>
      <c r="IT6" s="55"/>
      <c r="IU6" s="55"/>
      <c r="IV6" s="55"/>
    </row>
    <row r="7" spans="1:256">
      <c r="A7" s="56"/>
      <c r="D7" s="57"/>
      <c r="E7" s="57"/>
      <c r="J7" s="58"/>
    </row>
    <row r="8" spans="1:256" ht="18" customHeight="1">
      <c r="A8" s="56" t="s">
        <v>46</v>
      </c>
      <c r="B8" s="10"/>
      <c r="C8" s="26"/>
      <c r="D8" s="26"/>
      <c r="E8" s="26"/>
      <c r="F8" s="26"/>
      <c r="G8" s="26"/>
      <c r="H8" s="26"/>
      <c r="I8" s="26"/>
      <c r="J8" s="59"/>
    </row>
    <row r="9" spans="1:256" ht="18" customHeight="1">
      <c r="A9" s="60">
        <v>110</v>
      </c>
      <c r="B9" s="7" t="s">
        <v>47</v>
      </c>
      <c r="C9" s="61">
        <v>480335</v>
      </c>
      <c r="D9" s="61">
        <v>272140</v>
      </c>
      <c r="E9" s="61">
        <v>560850</v>
      </c>
      <c r="F9" s="61">
        <f>JUSTIFICATION!K23</f>
        <v>560850</v>
      </c>
      <c r="G9" s="61">
        <f>JUSTIFICATION!L23</f>
        <v>565625</v>
      </c>
      <c r="H9" s="61">
        <f>JUSTIFICATION!M23</f>
        <v>22173</v>
      </c>
      <c r="I9" s="61">
        <f t="shared" ref="I9:I17" si="0">G9+H9</f>
        <v>587798</v>
      </c>
      <c r="J9" s="58"/>
      <c r="K9" s="62">
        <v>20</v>
      </c>
      <c r="L9" s="61"/>
    </row>
    <row r="10" spans="1:256" ht="18" customHeight="1">
      <c r="A10" s="60">
        <v>111</v>
      </c>
      <c r="B10" s="7" t="s">
        <v>48</v>
      </c>
      <c r="C10" s="63">
        <v>7752</v>
      </c>
      <c r="D10" s="63">
        <v>4232</v>
      </c>
      <c r="E10" s="63">
        <v>8760</v>
      </c>
      <c r="F10" s="63">
        <f>JUSTIFICATION!K40</f>
        <v>8760</v>
      </c>
      <c r="G10" s="63">
        <f>JUSTIFICATION!L40</f>
        <v>10972</v>
      </c>
      <c r="H10" s="63">
        <f>JUSTIFICATION!M40</f>
        <v>570</v>
      </c>
      <c r="I10" s="63">
        <f t="shared" si="0"/>
        <v>11542</v>
      </c>
      <c r="J10" s="58"/>
      <c r="K10" s="62">
        <v>21</v>
      </c>
      <c r="L10" s="64"/>
    </row>
    <row r="11" spans="1:256" ht="18" customHeight="1">
      <c r="A11" s="60">
        <v>120</v>
      </c>
      <c r="B11" s="7" t="s">
        <v>49</v>
      </c>
      <c r="C11" s="63">
        <v>297938</v>
      </c>
      <c r="D11" s="63">
        <v>178881</v>
      </c>
      <c r="E11" s="63">
        <v>355727</v>
      </c>
      <c r="F11" s="63">
        <f>JUSTIFICATION!K88</f>
        <v>355727</v>
      </c>
      <c r="G11" s="63">
        <f>JUSTIFICATION!L88</f>
        <v>398111</v>
      </c>
      <c r="H11" s="63">
        <f>JUSTIFICATION!M88</f>
        <v>10370</v>
      </c>
      <c r="I11" s="63">
        <f t="shared" si="0"/>
        <v>408481</v>
      </c>
      <c r="J11" s="58"/>
      <c r="K11" s="62">
        <v>22</v>
      </c>
      <c r="L11" s="64"/>
    </row>
    <row r="12" spans="1:256" ht="18" customHeight="1">
      <c r="A12" s="60">
        <v>130</v>
      </c>
      <c r="B12" s="7" t="s">
        <v>50</v>
      </c>
      <c r="C12" s="63">
        <v>66867</v>
      </c>
      <c r="D12" s="63">
        <v>48317</v>
      </c>
      <c r="E12" s="63">
        <v>96243</v>
      </c>
      <c r="F12" s="63">
        <f>JUSTIFICATION!K108</f>
        <v>96243</v>
      </c>
      <c r="G12" s="63">
        <f>JUSTIFICATION!L108</f>
        <v>87854</v>
      </c>
      <c r="H12" s="63">
        <f>JUSTIFICATION!M108</f>
        <v>0</v>
      </c>
      <c r="I12" s="63">
        <f t="shared" si="0"/>
        <v>87854</v>
      </c>
      <c r="J12" s="58"/>
      <c r="K12" s="62">
        <v>23</v>
      </c>
      <c r="L12" s="64"/>
    </row>
    <row r="13" spans="1:256" ht="18" customHeight="1">
      <c r="A13" s="60">
        <v>131</v>
      </c>
      <c r="B13" s="7" t="s">
        <v>51</v>
      </c>
      <c r="C13" s="63">
        <v>7373</v>
      </c>
      <c r="D13" s="63">
        <v>4916</v>
      </c>
      <c r="E13" s="63">
        <v>8891</v>
      </c>
      <c r="F13" s="63">
        <f>JUSTIFICATION!K127</f>
        <v>8891</v>
      </c>
      <c r="G13" s="63">
        <f>JUSTIFICATION!L127</f>
        <v>10607.804</v>
      </c>
      <c r="H13" s="63">
        <f>JUSTIFICATION!M127</f>
        <v>0</v>
      </c>
      <c r="I13" s="63">
        <f t="shared" si="0"/>
        <v>10607.804</v>
      </c>
      <c r="J13" s="58"/>
      <c r="K13" s="62">
        <v>24</v>
      </c>
      <c r="L13" s="64"/>
    </row>
    <row r="14" spans="1:256" ht="18" customHeight="1">
      <c r="A14" s="60">
        <v>132</v>
      </c>
      <c r="B14" s="7" t="s">
        <v>52</v>
      </c>
      <c r="C14" s="63">
        <v>60540</v>
      </c>
      <c r="D14" s="63">
        <v>31146</v>
      </c>
      <c r="E14" s="63">
        <v>70788</v>
      </c>
      <c r="F14" s="63">
        <f>JUSTIFICATION!K131</f>
        <v>70788</v>
      </c>
      <c r="G14" s="63">
        <f>JUSTIFICATION!L131</f>
        <v>74565</v>
      </c>
      <c r="H14" s="63">
        <f>JUSTIFICATION!M131</f>
        <v>2533</v>
      </c>
      <c r="I14" s="63">
        <f t="shared" si="0"/>
        <v>77098</v>
      </c>
      <c r="J14" s="58"/>
      <c r="K14" s="62">
        <v>25</v>
      </c>
      <c r="L14" s="64"/>
    </row>
    <row r="15" spans="1:256" ht="18" customHeight="1">
      <c r="A15" s="60">
        <v>133</v>
      </c>
      <c r="B15" s="7" t="s">
        <v>53</v>
      </c>
      <c r="C15" s="63">
        <v>930</v>
      </c>
      <c r="D15" s="63">
        <v>543</v>
      </c>
      <c r="E15" s="63">
        <v>995</v>
      </c>
      <c r="F15" s="63">
        <f>JUSTIFICATION!K152</f>
        <v>995</v>
      </c>
      <c r="G15" s="63">
        <f>JUSTIFICATION!L152</f>
        <v>1283</v>
      </c>
      <c r="H15" s="63">
        <f>JUSTIFICATION!M152</f>
        <v>0</v>
      </c>
      <c r="I15" s="63">
        <f t="shared" si="0"/>
        <v>1283</v>
      </c>
      <c r="J15" s="58"/>
      <c r="K15" s="62">
        <v>26</v>
      </c>
      <c r="L15" s="64"/>
    </row>
    <row r="16" spans="1:256" ht="18" customHeight="1">
      <c r="A16" s="60">
        <v>134</v>
      </c>
      <c r="B16" s="7" t="s">
        <v>54</v>
      </c>
      <c r="C16" s="63">
        <v>42132</v>
      </c>
      <c r="D16" s="63">
        <v>21235</v>
      </c>
      <c r="E16" s="63">
        <v>44586</v>
      </c>
      <c r="F16" s="63">
        <f>JUSTIFICATION!K160</f>
        <v>44586</v>
      </c>
      <c r="G16" s="63">
        <f>JUSTIFICATION!L160</f>
        <v>45027</v>
      </c>
      <c r="H16" s="63">
        <f>JUSTIFICATION!M160</f>
        <v>1490</v>
      </c>
      <c r="I16" s="63">
        <f t="shared" si="0"/>
        <v>46517</v>
      </c>
      <c r="J16" s="58"/>
      <c r="K16" s="62">
        <v>27</v>
      </c>
      <c r="L16" s="64"/>
    </row>
    <row r="17" spans="1:12" ht="18" customHeight="1">
      <c r="A17" s="60">
        <v>140</v>
      </c>
      <c r="B17" s="7" t="s">
        <v>345</v>
      </c>
      <c r="C17" s="63">
        <v>1961</v>
      </c>
      <c r="D17" s="63">
        <v>0</v>
      </c>
      <c r="E17" s="63">
        <v>0</v>
      </c>
      <c r="F17" s="63">
        <f>JUSTIFICATION!K176</f>
        <v>0</v>
      </c>
      <c r="G17" s="63">
        <f>JUSTIFICATION!L176</f>
        <v>0</v>
      </c>
      <c r="H17" s="63">
        <f>JUSTIFICATION!M176</f>
        <v>0</v>
      </c>
      <c r="I17" s="63">
        <f t="shared" si="0"/>
        <v>0</v>
      </c>
      <c r="J17" s="58"/>
      <c r="K17" s="62">
        <v>28</v>
      </c>
      <c r="L17" s="64"/>
    </row>
    <row r="18" spans="1:12" ht="18" customHeight="1">
      <c r="A18" s="60"/>
      <c r="B18" s="10" t="s">
        <v>55</v>
      </c>
      <c r="C18" s="65">
        <f t="shared" ref="C18:I18" si="1">SUM(C9:C17)</f>
        <v>965828</v>
      </c>
      <c r="D18" s="65">
        <f t="shared" si="1"/>
        <v>561410</v>
      </c>
      <c r="E18" s="65">
        <f t="shared" si="1"/>
        <v>1146840</v>
      </c>
      <c r="F18" s="65">
        <f t="shared" si="1"/>
        <v>1146840</v>
      </c>
      <c r="G18" s="65">
        <f t="shared" si="1"/>
        <v>1194044.804</v>
      </c>
      <c r="H18" s="65">
        <f t="shared" si="1"/>
        <v>37136</v>
      </c>
      <c r="I18" s="65">
        <f t="shared" si="1"/>
        <v>1231180.804</v>
      </c>
      <c r="J18" s="66">
        <f>ROUND((+I18-E18)/E18,4)</f>
        <v>7.3499999999999996E-2</v>
      </c>
      <c r="K18" s="62">
        <v>29</v>
      </c>
      <c r="L18" s="64"/>
    </row>
    <row r="19" spans="1:12" ht="18" customHeight="1">
      <c r="A19" s="60"/>
      <c r="B19" s="10" t="s">
        <v>56</v>
      </c>
      <c r="C19" s="26"/>
      <c r="D19" s="26"/>
      <c r="E19" s="26"/>
      <c r="F19" s="26"/>
      <c r="G19" s="26"/>
      <c r="H19" s="26"/>
      <c r="I19" s="26"/>
      <c r="J19" s="59"/>
      <c r="K19" s="62"/>
    </row>
    <row r="20" spans="1:12" ht="18" customHeight="1">
      <c r="A20" s="56" t="s">
        <v>57</v>
      </c>
      <c r="B20" s="10"/>
      <c r="C20" s="57"/>
      <c r="D20" s="57"/>
      <c r="E20" s="57"/>
      <c r="F20" s="57"/>
      <c r="G20" s="57"/>
      <c r="J20" s="58"/>
      <c r="K20" s="62"/>
    </row>
    <row r="21" spans="1:12" ht="18" customHeight="1">
      <c r="A21" s="60">
        <v>210</v>
      </c>
      <c r="B21" s="7" t="s">
        <v>412</v>
      </c>
      <c r="C21" s="61">
        <f>5525+10008</f>
        <v>15533</v>
      </c>
      <c r="D21" s="61">
        <v>1700</v>
      </c>
      <c r="E21" s="61">
        <v>1700</v>
      </c>
      <c r="F21" s="61">
        <f>+JUSTIFICATION!K181</f>
        <v>1700</v>
      </c>
      <c r="G21" s="61">
        <f>+JUSTIFICATION!L181</f>
        <v>1700</v>
      </c>
      <c r="H21" s="61">
        <f>+JUSTIFICATION!M181</f>
        <v>0</v>
      </c>
      <c r="I21" s="61">
        <f t="shared" ref="I21:I42" si="2">G21+H21</f>
        <v>1700</v>
      </c>
      <c r="J21" s="67"/>
      <c r="K21" s="62">
        <v>30</v>
      </c>
      <c r="L21" s="64"/>
    </row>
    <row r="22" spans="1:12" ht="18" hidden="1" customHeight="1">
      <c r="A22" s="60">
        <v>210</v>
      </c>
      <c r="B22" s="7" t="s">
        <v>58</v>
      </c>
      <c r="C22" s="63">
        <v>0</v>
      </c>
      <c r="D22" s="63">
        <v>0</v>
      </c>
      <c r="E22" s="63">
        <v>0</v>
      </c>
      <c r="F22" s="63">
        <f>JUSTIFICATION!K$184</f>
        <v>0</v>
      </c>
      <c r="G22" s="63">
        <f>+JUSTIFICATION!L184</f>
        <v>0</v>
      </c>
      <c r="H22" s="63">
        <f>+JUSTIFICATION!M184</f>
        <v>0</v>
      </c>
      <c r="I22" s="63">
        <f>G22+H22</f>
        <v>0</v>
      </c>
      <c r="J22" s="67"/>
      <c r="K22" s="62">
        <v>31</v>
      </c>
      <c r="L22" s="64"/>
    </row>
    <row r="23" spans="1:12" ht="18" customHeight="1">
      <c r="A23" s="60">
        <v>220</v>
      </c>
      <c r="B23" s="7" t="s">
        <v>59</v>
      </c>
      <c r="C23" s="63">
        <v>58803</v>
      </c>
      <c r="D23" s="63">
        <v>21430</v>
      </c>
      <c r="E23" s="63">
        <v>60800</v>
      </c>
      <c r="F23" s="63">
        <f>JUSTIFICATION!K188</f>
        <v>60800</v>
      </c>
      <c r="G23" s="63">
        <f>JUSTIFICATION!L188</f>
        <v>60800</v>
      </c>
      <c r="H23" s="63">
        <f>JUSTIFICATION!M188</f>
        <v>0</v>
      </c>
      <c r="I23" s="63">
        <f t="shared" si="2"/>
        <v>60800</v>
      </c>
      <c r="J23" s="67"/>
      <c r="K23" s="68">
        <v>32</v>
      </c>
      <c r="L23" s="64"/>
    </row>
    <row r="24" spans="1:12" ht="18" hidden="1" customHeight="1">
      <c r="A24" s="60">
        <v>222</v>
      </c>
      <c r="B24" s="7" t="s">
        <v>60</v>
      </c>
      <c r="C24" s="63">
        <v>0</v>
      </c>
      <c r="D24" s="63">
        <v>0</v>
      </c>
      <c r="E24" s="63">
        <v>0</v>
      </c>
      <c r="F24" s="63">
        <f>JUSTIFICATION!K191</f>
        <v>0</v>
      </c>
      <c r="G24" s="63">
        <f>JUSTIFICATION!L191</f>
        <v>0</v>
      </c>
      <c r="H24" s="63">
        <f>JUSTIFICATION!M191</f>
        <v>0</v>
      </c>
      <c r="I24" s="63">
        <f t="shared" si="2"/>
        <v>0</v>
      </c>
      <c r="J24" s="67"/>
      <c r="K24" s="62">
        <v>32</v>
      </c>
      <c r="L24" s="64"/>
    </row>
    <row r="25" spans="1:12" ht="18" customHeight="1">
      <c r="A25" s="60">
        <v>225</v>
      </c>
      <c r="B25" s="7" t="s">
        <v>61</v>
      </c>
      <c r="C25" s="63">
        <v>11081</v>
      </c>
      <c r="D25" s="63">
        <v>8064</v>
      </c>
      <c r="E25" s="63">
        <v>16144</v>
      </c>
      <c r="F25" s="63">
        <f>JUSTIFICATION!K195</f>
        <v>16128</v>
      </c>
      <c r="G25" s="63">
        <f>JUSTIFICATION!L195</f>
        <v>16144</v>
      </c>
      <c r="H25" s="63">
        <f>JUSTIFICATION!M195</f>
        <v>0</v>
      </c>
      <c r="I25" s="63">
        <f t="shared" si="2"/>
        <v>16144</v>
      </c>
      <c r="J25" s="67"/>
      <c r="K25" s="68">
        <v>33</v>
      </c>
      <c r="L25" s="64"/>
    </row>
    <row r="26" spans="1:12" ht="18" customHeight="1">
      <c r="A26" s="60">
        <v>240</v>
      </c>
      <c r="B26" s="7" t="s">
        <v>62</v>
      </c>
      <c r="C26" s="63">
        <v>49214</v>
      </c>
      <c r="D26" s="63">
        <v>8001</v>
      </c>
      <c r="E26" s="63">
        <v>35700</v>
      </c>
      <c r="F26" s="63">
        <f>JUSTIFICATION!K200</f>
        <v>30000</v>
      </c>
      <c r="G26" s="63">
        <f>JUSTIFICATION!L200</f>
        <v>35700</v>
      </c>
      <c r="H26" s="63">
        <f>JUSTIFICATION!M200</f>
        <v>0</v>
      </c>
      <c r="I26" s="63">
        <f t="shared" si="2"/>
        <v>35700</v>
      </c>
      <c r="J26" s="67"/>
      <c r="K26" s="62">
        <v>34</v>
      </c>
      <c r="L26" s="64"/>
    </row>
    <row r="27" spans="1:12" ht="18" customHeight="1">
      <c r="A27" s="60">
        <v>290</v>
      </c>
      <c r="B27" s="7" t="s">
        <v>63</v>
      </c>
      <c r="C27" s="63">
        <v>36677</v>
      </c>
      <c r="D27" s="63">
        <v>12304</v>
      </c>
      <c r="E27" s="63">
        <v>45216</v>
      </c>
      <c r="F27" s="63">
        <f>JUSTIFICATION!K216</f>
        <v>45216</v>
      </c>
      <c r="G27" s="63">
        <f>JUSTIFICATION!L216</f>
        <v>47221</v>
      </c>
      <c r="H27" s="63">
        <f>JUSTIFICATION!M216</f>
        <v>0</v>
      </c>
      <c r="I27" s="63">
        <f t="shared" si="2"/>
        <v>47221</v>
      </c>
      <c r="J27" s="67"/>
      <c r="K27" s="62">
        <v>35</v>
      </c>
      <c r="L27" s="64"/>
    </row>
    <row r="28" spans="1:12" ht="18" customHeight="1">
      <c r="A28" s="60">
        <v>295</v>
      </c>
      <c r="B28" s="7" t="s">
        <v>64</v>
      </c>
      <c r="C28" s="63">
        <v>109</v>
      </c>
      <c r="D28" s="63">
        <v>0</v>
      </c>
      <c r="E28" s="63">
        <v>100</v>
      </c>
      <c r="F28" s="63">
        <f>JUSTIFICATION!K219</f>
        <v>0</v>
      </c>
      <c r="G28" s="63">
        <f>JUSTIFICATION!L219</f>
        <v>100</v>
      </c>
      <c r="H28" s="63">
        <f>JUSTIFICATION!M219</f>
        <v>0</v>
      </c>
      <c r="I28" s="63">
        <f t="shared" si="2"/>
        <v>100</v>
      </c>
      <c r="J28" s="67"/>
      <c r="K28" s="62">
        <v>36</v>
      </c>
      <c r="L28" s="64"/>
    </row>
    <row r="29" spans="1:12" ht="18" customHeight="1">
      <c r="A29" s="60">
        <v>310</v>
      </c>
      <c r="B29" s="7" t="s">
        <v>65</v>
      </c>
      <c r="C29" s="63">
        <v>0</v>
      </c>
      <c r="D29" s="63">
        <v>0</v>
      </c>
      <c r="E29" s="63">
        <v>0</v>
      </c>
      <c r="F29" s="63">
        <f>JUSTIFICATION!K222</f>
        <v>0</v>
      </c>
      <c r="G29" s="63">
        <f>JUSTIFICATION!L222</f>
        <v>0</v>
      </c>
      <c r="H29" s="63">
        <f>JUSTIFICATION!M222</f>
        <v>0</v>
      </c>
      <c r="I29" s="63">
        <f t="shared" si="2"/>
        <v>0</v>
      </c>
      <c r="J29" s="67"/>
      <c r="K29" s="68">
        <v>37</v>
      </c>
      <c r="L29" s="64"/>
    </row>
    <row r="30" spans="1:12" ht="18" hidden="1" customHeight="1">
      <c r="A30" s="60">
        <v>310</v>
      </c>
      <c r="B30" s="7" t="s">
        <v>66</v>
      </c>
      <c r="C30" s="63">
        <v>0</v>
      </c>
      <c r="D30" s="63">
        <v>0</v>
      </c>
      <c r="E30" s="63">
        <v>0</v>
      </c>
      <c r="F30" s="63">
        <f>JUSTIFICATION!K225</f>
        <v>0</v>
      </c>
      <c r="G30" s="63">
        <f>JUSTIFICATION!L225</f>
        <v>0</v>
      </c>
      <c r="H30" s="63">
        <f>JUSTIFICATION!M225</f>
        <v>0</v>
      </c>
      <c r="I30" s="63">
        <f t="shared" si="2"/>
        <v>0</v>
      </c>
      <c r="J30" s="67"/>
      <c r="K30" s="62">
        <v>37</v>
      </c>
      <c r="L30" s="64"/>
    </row>
    <row r="31" spans="1:12" ht="18" customHeight="1">
      <c r="A31" s="60">
        <v>320</v>
      </c>
      <c r="B31" s="7" t="s">
        <v>67</v>
      </c>
      <c r="C31" s="63">
        <v>1003</v>
      </c>
      <c r="D31" s="63">
        <v>589</v>
      </c>
      <c r="E31" s="63">
        <v>1615</v>
      </c>
      <c r="F31" s="63">
        <f>JUSTIFICATION!K229</f>
        <v>1615</v>
      </c>
      <c r="G31" s="63">
        <f>JUSTIFICATION!L229</f>
        <v>1615</v>
      </c>
      <c r="H31" s="63">
        <f>JUSTIFICATION!M229</f>
        <v>0</v>
      </c>
      <c r="I31" s="63">
        <f t="shared" si="2"/>
        <v>1615</v>
      </c>
      <c r="J31" s="67"/>
      <c r="K31" s="62">
        <v>38</v>
      </c>
      <c r="L31" s="64"/>
    </row>
    <row r="32" spans="1:12" ht="18" customHeight="1">
      <c r="A32" s="60">
        <v>330</v>
      </c>
      <c r="B32" s="7" t="s">
        <v>68</v>
      </c>
      <c r="C32" s="63">
        <v>5797</v>
      </c>
      <c r="D32" s="63">
        <v>4478</v>
      </c>
      <c r="E32" s="63">
        <v>6600</v>
      </c>
      <c r="F32" s="63">
        <f>JUSTIFICATION!K234</f>
        <v>6600</v>
      </c>
      <c r="G32" s="63">
        <f>JUSTIFICATION!L234</f>
        <v>6600</v>
      </c>
      <c r="H32" s="63">
        <f>JUSTIFICATION!M234</f>
        <v>0</v>
      </c>
      <c r="I32" s="63">
        <f t="shared" si="2"/>
        <v>6600</v>
      </c>
      <c r="J32" s="67"/>
      <c r="K32" s="62">
        <v>39</v>
      </c>
      <c r="L32" s="64"/>
    </row>
    <row r="33" spans="1:12" ht="18" customHeight="1">
      <c r="A33" s="60">
        <v>335</v>
      </c>
      <c r="B33" s="7" t="s">
        <v>69</v>
      </c>
      <c r="C33" s="63">
        <v>6219</v>
      </c>
      <c r="D33" s="63">
        <v>1882</v>
      </c>
      <c r="E33" s="63">
        <v>4030</v>
      </c>
      <c r="F33" s="63">
        <f>JUSTIFICATION!K239</f>
        <v>4030</v>
      </c>
      <c r="G33" s="63">
        <f>JUSTIFICATION!L239</f>
        <v>4030</v>
      </c>
      <c r="H33" s="63">
        <f>JUSTIFICATION!M239</f>
        <v>0</v>
      </c>
      <c r="I33" s="63">
        <f t="shared" si="2"/>
        <v>4030</v>
      </c>
      <c r="J33" s="67"/>
      <c r="K33" s="62">
        <v>40</v>
      </c>
      <c r="L33" s="64"/>
    </row>
    <row r="34" spans="1:12" ht="18" customHeight="1">
      <c r="A34" s="60">
        <v>340</v>
      </c>
      <c r="B34" s="7" t="s">
        <v>70</v>
      </c>
      <c r="C34" s="63">
        <v>31868</v>
      </c>
      <c r="D34" s="63">
        <v>23637</v>
      </c>
      <c r="E34" s="63">
        <v>31540</v>
      </c>
      <c r="F34" s="63">
        <f>JUSTIFICATION!K251</f>
        <v>31540</v>
      </c>
      <c r="G34" s="63">
        <f>JUSTIFICATION!L251</f>
        <v>36540</v>
      </c>
      <c r="H34" s="63">
        <f>JUSTIFICATION!M251</f>
        <v>0</v>
      </c>
      <c r="I34" s="63">
        <f t="shared" si="2"/>
        <v>36540</v>
      </c>
      <c r="J34" s="67"/>
      <c r="K34" s="68">
        <v>41</v>
      </c>
      <c r="L34" s="64"/>
    </row>
    <row r="35" spans="1:12" ht="18" customHeight="1">
      <c r="A35" s="60">
        <v>350</v>
      </c>
      <c r="B35" s="7" t="s">
        <v>71</v>
      </c>
      <c r="C35" s="63">
        <v>1012</v>
      </c>
      <c r="D35" s="63">
        <v>1573</v>
      </c>
      <c r="E35" s="63">
        <v>2075</v>
      </c>
      <c r="F35" s="63">
        <f>JUSTIFICATION!K$260</f>
        <v>2075</v>
      </c>
      <c r="G35" s="63">
        <f>JUSTIFICATION!L260</f>
        <v>2075</v>
      </c>
      <c r="H35" s="63">
        <f>JUSTIFICATION!M260</f>
        <v>0</v>
      </c>
      <c r="I35" s="63">
        <f t="shared" si="2"/>
        <v>2075</v>
      </c>
      <c r="J35" s="67"/>
      <c r="K35" s="62">
        <v>42</v>
      </c>
      <c r="L35" s="64"/>
    </row>
    <row r="36" spans="1:12" ht="18" customHeight="1">
      <c r="A36" s="60">
        <v>380</v>
      </c>
      <c r="B36" s="7" t="s">
        <v>72</v>
      </c>
      <c r="C36" s="63">
        <v>555</v>
      </c>
      <c r="D36" s="63">
        <v>277</v>
      </c>
      <c r="E36" s="63">
        <v>1500</v>
      </c>
      <c r="F36" s="63">
        <f>JUSTIFICATION!K$263</f>
        <v>554</v>
      </c>
      <c r="G36" s="63">
        <f>JUSTIFICATION!L263</f>
        <v>1500</v>
      </c>
      <c r="H36" s="63">
        <f>JUSTIFICATION!M261</f>
        <v>0</v>
      </c>
      <c r="I36" s="63">
        <f t="shared" si="2"/>
        <v>1500</v>
      </c>
      <c r="J36" s="67"/>
      <c r="K36" s="62">
        <v>43</v>
      </c>
      <c r="L36" s="64"/>
    </row>
    <row r="37" spans="1:12" ht="18" customHeight="1">
      <c r="A37" s="60">
        <v>450</v>
      </c>
      <c r="B37" s="7" t="s">
        <v>73</v>
      </c>
      <c r="C37" s="63">
        <v>104168</v>
      </c>
      <c r="D37" s="63">
        <v>103497</v>
      </c>
      <c r="E37" s="63">
        <v>111745</v>
      </c>
      <c r="F37" s="63">
        <f>JUSTIFICATION!K$272</f>
        <v>111745</v>
      </c>
      <c r="G37" s="63">
        <f>JUSTIFICATION!L272</f>
        <v>118852</v>
      </c>
      <c r="H37" s="63">
        <f>JUSTIFICATION!M272</f>
        <v>0</v>
      </c>
      <c r="I37" s="63">
        <f t="shared" si="2"/>
        <v>118852</v>
      </c>
      <c r="J37" s="67"/>
      <c r="K37" s="62">
        <v>44</v>
      </c>
      <c r="L37" s="64"/>
    </row>
    <row r="38" spans="1:12" ht="18" customHeight="1">
      <c r="A38" s="60">
        <v>510</v>
      </c>
      <c r="B38" s="7" t="s">
        <v>74</v>
      </c>
      <c r="C38" s="63">
        <v>14001</v>
      </c>
      <c r="D38" s="63">
        <v>12960</v>
      </c>
      <c r="E38" s="63">
        <v>14500</v>
      </c>
      <c r="F38" s="63">
        <f>JUSTIFICATION!K$278</f>
        <v>12960</v>
      </c>
      <c r="G38" s="63">
        <f>JUSTIFICATION!L278</f>
        <v>14500</v>
      </c>
      <c r="H38" s="63">
        <f>JUSTIFICATION!M278</f>
        <v>0</v>
      </c>
      <c r="I38" s="63">
        <f t="shared" si="2"/>
        <v>14500</v>
      </c>
      <c r="J38" s="67"/>
      <c r="K38" s="62">
        <v>45</v>
      </c>
      <c r="L38" s="64"/>
    </row>
    <row r="39" spans="1:12" ht="18" customHeight="1">
      <c r="A39" s="60">
        <v>530</v>
      </c>
      <c r="B39" s="7" t="s">
        <v>75</v>
      </c>
      <c r="C39" s="63">
        <v>9045</v>
      </c>
      <c r="D39" s="63">
        <v>4069</v>
      </c>
      <c r="E39" s="63">
        <v>10099</v>
      </c>
      <c r="F39" s="63">
        <f>JUSTIFICATION!K284</f>
        <v>8138</v>
      </c>
      <c r="G39" s="63">
        <f>JUSTIFICATION!L284</f>
        <v>10099</v>
      </c>
      <c r="H39" s="63">
        <f>JUSTIFICATION!M284</f>
        <v>0</v>
      </c>
      <c r="I39" s="63">
        <f t="shared" si="2"/>
        <v>10099</v>
      </c>
      <c r="J39" s="67"/>
      <c r="K39" s="62">
        <v>46</v>
      </c>
      <c r="L39" s="64"/>
    </row>
    <row r="40" spans="1:12" ht="18" customHeight="1">
      <c r="A40" s="60">
        <v>540</v>
      </c>
      <c r="B40" s="7" t="s">
        <v>76</v>
      </c>
      <c r="C40" s="63">
        <v>16053</v>
      </c>
      <c r="D40" s="63">
        <v>6299</v>
      </c>
      <c r="E40" s="63">
        <v>15360</v>
      </c>
      <c r="F40" s="63">
        <f>JUSTIFICATION!K292</f>
        <v>15360</v>
      </c>
      <c r="G40" s="63">
        <f>JUSTIFICATION!L292</f>
        <v>23860</v>
      </c>
      <c r="H40" s="63">
        <f>JUSTIFICATION!M286</f>
        <v>0</v>
      </c>
      <c r="I40" s="63">
        <f>G40+H40</f>
        <v>23860</v>
      </c>
      <c r="J40" s="67"/>
      <c r="K40" s="62">
        <v>47</v>
      </c>
      <c r="L40" s="64"/>
    </row>
    <row r="41" spans="1:12" ht="18" customHeight="1">
      <c r="A41" s="60">
        <v>790</v>
      </c>
      <c r="B41" s="7" t="s">
        <v>77</v>
      </c>
      <c r="C41" s="63">
        <v>46241</v>
      </c>
      <c r="D41" s="63">
        <v>31161</v>
      </c>
      <c r="E41" s="63">
        <v>0</v>
      </c>
      <c r="F41" s="63">
        <f>JUSTIFICATION!K$295</f>
        <v>23475</v>
      </c>
      <c r="G41" s="63">
        <f>JUSTIFICATION!L295</f>
        <v>0</v>
      </c>
      <c r="H41" s="63">
        <f>JUSTIFICATION!M292</f>
        <v>0</v>
      </c>
      <c r="I41" s="63">
        <v>35000</v>
      </c>
      <c r="J41" s="67"/>
      <c r="K41" s="62">
        <v>48</v>
      </c>
      <c r="L41" s="64"/>
    </row>
    <row r="42" spans="1:12" ht="18" hidden="1" customHeight="1">
      <c r="A42" s="60">
        <v>791</v>
      </c>
      <c r="B42" s="7" t="s">
        <v>78</v>
      </c>
      <c r="C42" s="57">
        <v>0</v>
      </c>
      <c r="D42" s="57">
        <v>0</v>
      </c>
      <c r="E42" s="57">
        <v>0</v>
      </c>
      <c r="F42" s="57">
        <v>0</v>
      </c>
      <c r="G42" s="57">
        <f>JUSTIFICATION!L295</f>
        <v>0</v>
      </c>
      <c r="H42" s="57">
        <f>JUSTIFICATION!M295</f>
        <v>0</v>
      </c>
      <c r="I42" s="57">
        <f t="shared" si="2"/>
        <v>0</v>
      </c>
      <c r="J42" s="58"/>
      <c r="K42" s="62">
        <v>48</v>
      </c>
    </row>
    <row r="43" spans="1:12" ht="18" customHeight="1">
      <c r="A43" s="60"/>
      <c r="B43" s="10" t="s">
        <v>79</v>
      </c>
      <c r="C43" s="65">
        <f t="shared" ref="C43:I43" si="3">SUM(C21:C42)</f>
        <v>407379</v>
      </c>
      <c r="D43" s="65">
        <f t="shared" si="3"/>
        <v>241921</v>
      </c>
      <c r="E43" s="65">
        <f t="shared" si="3"/>
        <v>358724</v>
      </c>
      <c r="F43" s="65">
        <f t="shared" si="3"/>
        <v>371936</v>
      </c>
      <c r="G43" s="65">
        <f t="shared" si="3"/>
        <v>381336</v>
      </c>
      <c r="H43" s="65">
        <f t="shared" si="3"/>
        <v>0</v>
      </c>
      <c r="I43" s="65">
        <f t="shared" si="3"/>
        <v>416336</v>
      </c>
      <c r="J43" s="66">
        <f>ROUND((+I43-E43)/E43,4)</f>
        <v>0.16059999999999999</v>
      </c>
      <c r="K43" s="62">
        <v>49</v>
      </c>
      <c r="L43" s="64"/>
    </row>
    <row r="44" spans="1:12" ht="18" customHeight="1">
      <c r="A44" s="60"/>
      <c r="B44" s="7" t="s">
        <v>56</v>
      </c>
      <c r="C44" s="57"/>
      <c r="D44" s="57"/>
      <c r="E44" s="57"/>
      <c r="F44" s="57"/>
      <c r="G44" s="57"/>
      <c r="H44" s="57"/>
      <c r="J44" s="58"/>
      <c r="K44" s="62"/>
    </row>
    <row r="45" spans="1:12" ht="18" customHeight="1">
      <c r="A45" s="56" t="s">
        <v>80</v>
      </c>
      <c r="B45" s="10"/>
      <c r="C45" s="57"/>
      <c r="D45" s="57"/>
      <c r="E45" s="57"/>
      <c r="F45" s="57"/>
      <c r="G45" s="57"/>
      <c r="J45" s="58"/>
      <c r="K45" s="62"/>
    </row>
    <row r="46" spans="1:12" ht="18" customHeight="1">
      <c r="A46" s="60">
        <v>810</v>
      </c>
      <c r="B46" s="7" t="s">
        <v>81</v>
      </c>
      <c r="C46" s="61">
        <v>19851</v>
      </c>
      <c r="D46" s="61">
        <v>9543</v>
      </c>
      <c r="E46" s="61">
        <v>10000</v>
      </c>
      <c r="F46" s="61">
        <f>JUSTIFICATION!K301</f>
        <v>10000</v>
      </c>
      <c r="G46" s="61">
        <f>JUSTIFICATION!L301</f>
        <v>20600</v>
      </c>
      <c r="H46" s="61">
        <f>JUSTIFICATION!M301</f>
        <v>0</v>
      </c>
      <c r="I46" s="61">
        <f t="shared" ref="I46:I53" si="4">G46+H46</f>
        <v>20600</v>
      </c>
      <c r="J46" s="67"/>
      <c r="K46" s="62">
        <v>50</v>
      </c>
      <c r="L46" s="64"/>
    </row>
    <row r="47" spans="1:12" ht="18" customHeight="1">
      <c r="A47" s="60">
        <v>815</v>
      </c>
      <c r="B47" s="7" t="s">
        <v>82</v>
      </c>
      <c r="C47" s="63">
        <v>54156</v>
      </c>
      <c r="D47" s="63">
        <v>14133</v>
      </c>
      <c r="E47" s="63">
        <v>55876</v>
      </c>
      <c r="F47" s="63">
        <f>JUSTIFICATION!K305</f>
        <v>55876</v>
      </c>
      <c r="G47" s="63">
        <f>JUSTIFICATION!L305</f>
        <v>60135</v>
      </c>
      <c r="H47" s="63">
        <f>JUSTIFICATION!M305</f>
        <v>0</v>
      </c>
      <c r="I47" s="63">
        <f t="shared" si="4"/>
        <v>60135</v>
      </c>
      <c r="J47" s="67"/>
      <c r="K47" s="62">
        <v>51</v>
      </c>
      <c r="L47" s="64"/>
    </row>
    <row r="48" spans="1:12" ht="18" customHeight="1">
      <c r="A48" s="60">
        <v>815</v>
      </c>
      <c r="B48" s="7" t="s">
        <v>83</v>
      </c>
      <c r="C48" s="63">
        <v>56725</v>
      </c>
      <c r="D48" s="63">
        <v>23300</v>
      </c>
      <c r="E48" s="63">
        <v>59090</v>
      </c>
      <c r="F48" s="63">
        <f>JUSTIFICATION!K309</f>
        <v>59090</v>
      </c>
      <c r="G48" s="63">
        <f>JUSTIFICATION!L309</f>
        <v>63060</v>
      </c>
      <c r="H48" s="63">
        <f>JUSTIFICATION!M309</f>
        <v>0</v>
      </c>
      <c r="I48" s="63">
        <f t="shared" si="4"/>
        <v>63060</v>
      </c>
      <c r="J48" s="67"/>
      <c r="K48" s="62">
        <v>52</v>
      </c>
      <c r="L48" s="64"/>
    </row>
    <row r="49" spans="1:12" ht="18" customHeight="1">
      <c r="A49" s="60">
        <v>815</v>
      </c>
      <c r="B49" s="28" t="s">
        <v>84</v>
      </c>
      <c r="C49" s="63">
        <v>10852</v>
      </c>
      <c r="D49" s="63">
        <v>8305</v>
      </c>
      <c r="E49" s="63">
        <v>17100</v>
      </c>
      <c r="F49" s="63">
        <f>JUSTIFICATION!K313</f>
        <v>17100</v>
      </c>
      <c r="G49" s="63">
        <f>JUSTIFICATION!L313</f>
        <v>17955</v>
      </c>
      <c r="H49" s="63">
        <f>JUSTIFICATION!M313</f>
        <v>0</v>
      </c>
      <c r="I49" s="63">
        <f t="shared" si="4"/>
        <v>17955</v>
      </c>
      <c r="J49" s="67"/>
      <c r="K49" s="62">
        <v>53</v>
      </c>
      <c r="L49" s="64"/>
    </row>
    <row r="50" spans="1:12" ht="18" customHeight="1">
      <c r="A50" s="60">
        <v>815</v>
      </c>
      <c r="B50" s="7" t="s">
        <v>85</v>
      </c>
      <c r="C50" s="63">
        <v>11712</v>
      </c>
      <c r="D50" s="63">
        <v>3849</v>
      </c>
      <c r="E50" s="63">
        <v>13020</v>
      </c>
      <c r="F50" s="63">
        <f>JUSTIFICATION!K317</f>
        <v>13020</v>
      </c>
      <c r="G50" s="63">
        <f>JUSTIFICATION!L317</f>
        <v>13520</v>
      </c>
      <c r="H50" s="63">
        <f>JUSTIFICATION!M317</f>
        <v>0</v>
      </c>
      <c r="I50" s="63">
        <f t="shared" si="4"/>
        <v>13520</v>
      </c>
      <c r="J50" s="67"/>
      <c r="K50" s="62">
        <v>54</v>
      </c>
      <c r="L50" s="64"/>
    </row>
    <row r="51" spans="1:12" ht="18" customHeight="1">
      <c r="A51" s="60">
        <v>815</v>
      </c>
      <c r="B51" s="7" t="s">
        <v>86</v>
      </c>
      <c r="C51" s="63">
        <v>15761</v>
      </c>
      <c r="D51" s="63">
        <v>14923</v>
      </c>
      <c r="E51" s="63">
        <v>16325</v>
      </c>
      <c r="F51" s="63">
        <f>+JUSTIFICATION!K321</f>
        <v>16325</v>
      </c>
      <c r="G51" s="63">
        <f>+JUSTIFICATION!L321</f>
        <v>29086</v>
      </c>
      <c r="H51" s="63">
        <f>+JUSTIFICATION!M321</f>
        <v>0</v>
      </c>
      <c r="I51" s="63">
        <f t="shared" si="4"/>
        <v>29086</v>
      </c>
      <c r="J51" s="67"/>
      <c r="K51" s="68">
        <v>55</v>
      </c>
      <c r="L51" s="64"/>
    </row>
    <row r="52" spans="1:12" ht="18" customHeight="1">
      <c r="A52" s="60">
        <v>815</v>
      </c>
      <c r="B52" s="7" t="s">
        <v>87</v>
      </c>
      <c r="C52" s="63">
        <v>6456</v>
      </c>
      <c r="D52" s="63">
        <v>7059</v>
      </c>
      <c r="E52" s="63">
        <v>6637</v>
      </c>
      <c r="F52" s="63">
        <f>+JUSTIFICATION!K325</f>
        <v>7098</v>
      </c>
      <c r="G52" s="63">
        <f>+JUSTIFICATION!L325</f>
        <v>7500</v>
      </c>
      <c r="H52" s="63">
        <f>+JUSTIFICATION!M325</f>
        <v>0</v>
      </c>
      <c r="I52" s="63">
        <f t="shared" si="4"/>
        <v>7500</v>
      </c>
      <c r="J52" s="67"/>
      <c r="K52" s="68">
        <v>56</v>
      </c>
      <c r="L52" s="64"/>
    </row>
    <row r="53" spans="1:12" ht="18" customHeight="1">
      <c r="A53" s="60">
        <v>850</v>
      </c>
      <c r="B53" s="28" t="s">
        <v>88</v>
      </c>
      <c r="C53" s="63">
        <v>18979</v>
      </c>
      <c r="D53" s="63">
        <v>0</v>
      </c>
      <c r="E53" s="63">
        <v>0</v>
      </c>
      <c r="F53" s="63">
        <f>+JUSTIFICATION!K329</f>
        <v>0</v>
      </c>
      <c r="G53" s="63">
        <f>+JUSTIFICATION!L329</f>
        <v>0</v>
      </c>
      <c r="H53" s="63">
        <f>+JUSTIFICATION!M329</f>
        <v>0</v>
      </c>
      <c r="I53" s="63">
        <f t="shared" si="4"/>
        <v>0</v>
      </c>
      <c r="J53" s="67"/>
      <c r="K53" s="69">
        <v>57</v>
      </c>
      <c r="L53" s="64"/>
    </row>
    <row r="54" spans="1:12" ht="18" hidden="1" customHeight="1">
      <c r="A54" s="60">
        <v>899</v>
      </c>
      <c r="B54" s="28" t="s">
        <v>89</v>
      </c>
      <c r="C54" s="63">
        <v>0</v>
      </c>
      <c r="D54" s="63">
        <v>0</v>
      </c>
      <c r="E54" s="63">
        <v>0</v>
      </c>
      <c r="F54" s="63">
        <f>+JUSTIFICATION!K333</f>
        <v>0</v>
      </c>
      <c r="G54" s="63">
        <f>+JUSTIFICATION!L333</f>
        <v>0</v>
      </c>
      <c r="H54" s="63">
        <f>+JUSTIFICATION!M333</f>
        <v>0</v>
      </c>
      <c r="I54" s="63">
        <f>G54+H54</f>
        <v>0</v>
      </c>
      <c r="J54" s="58"/>
      <c r="K54" s="62"/>
    </row>
    <row r="55" spans="1:12" ht="18" customHeight="1">
      <c r="A55" s="60"/>
      <c r="B55" s="10" t="s">
        <v>90</v>
      </c>
      <c r="C55" s="65">
        <f t="shared" ref="C55:I55" si="5">SUM(C46:C54)</f>
        <v>194492</v>
      </c>
      <c r="D55" s="65">
        <f t="shared" si="5"/>
        <v>81112</v>
      </c>
      <c r="E55" s="65">
        <f t="shared" si="5"/>
        <v>178048</v>
      </c>
      <c r="F55" s="65">
        <f t="shared" si="5"/>
        <v>178509</v>
      </c>
      <c r="G55" s="65">
        <f t="shared" si="5"/>
        <v>211856</v>
      </c>
      <c r="H55" s="65">
        <f t="shared" si="5"/>
        <v>0</v>
      </c>
      <c r="I55" s="65">
        <f t="shared" si="5"/>
        <v>211856</v>
      </c>
      <c r="J55" s="66">
        <f>ROUND((+I55-E55)/E55,4)</f>
        <v>0.18990000000000001</v>
      </c>
      <c r="K55" s="62">
        <v>59</v>
      </c>
    </row>
    <row r="56" spans="1:12" ht="18" customHeight="1">
      <c r="A56" s="60"/>
      <c r="B56" s="7" t="s">
        <v>56</v>
      </c>
      <c r="C56" s="57"/>
      <c r="D56" s="57"/>
      <c r="E56" s="57"/>
      <c r="F56" s="57"/>
      <c r="G56" s="57"/>
      <c r="H56" s="57"/>
      <c r="I56" s="57"/>
      <c r="J56" s="58"/>
      <c r="K56" s="62"/>
    </row>
    <row r="57" spans="1:12" ht="18" customHeight="1">
      <c r="A57" s="56">
        <v>55101</v>
      </c>
      <c r="B57" s="10" t="s">
        <v>346</v>
      </c>
      <c r="C57" s="57"/>
      <c r="D57" s="57"/>
      <c r="E57" s="57"/>
      <c r="F57" s="57"/>
      <c r="G57" s="57"/>
      <c r="H57" s="57"/>
      <c r="I57" s="57"/>
      <c r="J57" s="58"/>
      <c r="K57" s="7"/>
    </row>
    <row r="58" spans="1:12" ht="18" customHeight="1">
      <c r="A58" s="60"/>
      <c r="B58" s="28" t="s">
        <v>91</v>
      </c>
      <c r="C58" s="61">
        <v>0</v>
      </c>
      <c r="D58" s="61">
        <f>43229+76998</f>
        <v>120227</v>
      </c>
      <c r="E58" s="61">
        <v>103000</v>
      </c>
      <c r="F58" s="61">
        <f>+JUSTIFICATION!K354</f>
        <v>0</v>
      </c>
      <c r="G58" s="61">
        <f>+JUSTIFICATION!N351</f>
        <v>20000</v>
      </c>
      <c r="H58" s="61">
        <f>+JUSTIFICATION!M354</f>
        <v>0</v>
      </c>
      <c r="I58" s="61">
        <f>G58+H58</f>
        <v>20000</v>
      </c>
      <c r="J58" s="58"/>
      <c r="K58" s="62"/>
    </row>
    <row r="59" spans="1:12" ht="18" customHeight="1">
      <c r="A59" s="60"/>
      <c r="B59" s="10" t="s">
        <v>92</v>
      </c>
      <c r="C59" s="65">
        <f t="shared" ref="C59:I59" si="6">C55+C43+C18+C58</f>
        <v>1567699</v>
      </c>
      <c r="D59" s="65">
        <f t="shared" si="6"/>
        <v>1004670</v>
      </c>
      <c r="E59" s="65">
        <f t="shared" si="6"/>
        <v>1786612</v>
      </c>
      <c r="F59" s="65">
        <f t="shared" si="6"/>
        <v>1697285</v>
      </c>
      <c r="G59" s="65">
        <f t="shared" si="6"/>
        <v>1807236.804</v>
      </c>
      <c r="H59" s="65">
        <f t="shared" si="6"/>
        <v>37136</v>
      </c>
      <c r="I59" s="65">
        <f t="shared" si="6"/>
        <v>1879372.804</v>
      </c>
      <c r="J59" s="66">
        <f>ROUND((+I59-E59)/E59,4)</f>
        <v>5.1900000000000002E-2</v>
      </c>
      <c r="K59" s="62">
        <v>63</v>
      </c>
    </row>
    <row r="60" spans="1:12" ht="18" customHeight="1">
      <c r="A60" s="60"/>
      <c r="B60" s="7" t="s">
        <v>56</v>
      </c>
      <c r="C60" s="57"/>
      <c r="D60" s="57"/>
      <c r="E60" s="57"/>
      <c r="F60" s="57"/>
      <c r="G60" s="57"/>
      <c r="H60" s="57"/>
      <c r="I60" s="57"/>
      <c r="J60" s="58"/>
      <c r="K60" s="62"/>
    </row>
    <row r="61" spans="1:12" ht="18" customHeight="1">
      <c r="A61" s="56" t="s">
        <v>93</v>
      </c>
      <c r="B61" s="10"/>
      <c r="C61" s="57"/>
      <c r="D61" s="57"/>
      <c r="E61" s="57"/>
      <c r="F61" s="57"/>
      <c r="G61" s="57"/>
      <c r="H61" s="57"/>
      <c r="I61" s="57"/>
      <c r="J61" s="58"/>
      <c r="K61" s="62"/>
    </row>
    <row r="62" spans="1:12" ht="18" customHeight="1">
      <c r="A62" s="60"/>
      <c r="B62" s="7" t="s">
        <v>94</v>
      </c>
      <c r="C62" s="61">
        <v>295000</v>
      </c>
      <c r="D62" s="61">
        <v>325000</v>
      </c>
      <c r="E62" s="61">
        <v>325000</v>
      </c>
      <c r="F62" s="61">
        <f>JUSTIFICATION!K359</f>
        <v>325000</v>
      </c>
      <c r="G62" s="61">
        <f>JUSTIFICATION!L359</f>
        <v>335000</v>
      </c>
      <c r="H62" s="61">
        <f>JUSTIFICATION!M359</f>
        <v>0</v>
      </c>
      <c r="I62" s="61">
        <f>G62+H62</f>
        <v>335000</v>
      </c>
      <c r="J62" s="58"/>
      <c r="K62" s="62">
        <v>64</v>
      </c>
    </row>
    <row r="63" spans="1:12" ht="18" customHeight="1">
      <c r="A63" s="60"/>
      <c r="B63" s="7" t="s">
        <v>95</v>
      </c>
      <c r="C63" s="63">
        <v>66771</v>
      </c>
      <c r="D63" s="63">
        <v>57858</v>
      </c>
      <c r="E63" s="63">
        <v>57858</v>
      </c>
      <c r="F63" s="63">
        <f>JUSTIFICATION!K363</f>
        <v>57858</v>
      </c>
      <c r="G63" s="63">
        <f>JUSTIFICATION!L363</f>
        <v>50244</v>
      </c>
      <c r="H63" s="63">
        <f>JUSTIFICATION!M363</f>
        <v>0</v>
      </c>
      <c r="I63" s="63">
        <f>G63+H63</f>
        <v>50244</v>
      </c>
      <c r="J63" s="58"/>
      <c r="K63" s="62">
        <v>65</v>
      </c>
    </row>
    <row r="64" spans="1:12" ht="18" customHeight="1">
      <c r="A64" s="60"/>
      <c r="B64" s="10" t="s">
        <v>96</v>
      </c>
      <c r="C64" s="65">
        <f t="shared" ref="C64:I64" si="7">SUM(C62:C63)</f>
        <v>361771</v>
      </c>
      <c r="D64" s="65">
        <f t="shared" si="7"/>
        <v>382858</v>
      </c>
      <c r="E64" s="65">
        <f t="shared" si="7"/>
        <v>382858</v>
      </c>
      <c r="F64" s="65">
        <f t="shared" si="7"/>
        <v>382858</v>
      </c>
      <c r="G64" s="65">
        <f t="shared" si="7"/>
        <v>385244</v>
      </c>
      <c r="H64" s="65">
        <f t="shared" si="7"/>
        <v>0</v>
      </c>
      <c r="I64" s="65">
        <f t="shared" si="7"/>
        <v>385244</v>
      </c>
      <c r="J64" s="66">
        <f>ROUND((+I64-E64)/E64,4)</f>
        <v>6.1999999999999998E-3</v>
      </c>
      <c r="K64" s="62">
        <v>66</v>
      </c>
    </row>
    <row r="65" spans="1:11" ht="18" customHeight="1">
      <c r="A65" s="60"/>
      <c r="C65" s="57"/>
      <c r="D65" s="57"/>
      <c r="E65" s="57"/>
      <c r="F65" s="57"/>
      <c r="G65" s="57"/>
      <c r="H65" s="57"/>
      <c r="I65" s="57"/>
      <c r="J65" s="58"/>
      <c r="K65" s="62"/>
    </row>
    <row r="66" spans="1:11" ht="18" customHeight="1" thickBot="1">
      <c r="A66" s="70" t="s">
        <v>97</v>
      </c>
      <c r="B66" s="71"/>
      <c r="C66" s="72">
        <f t="shared" ref="C66:I66" si="8">C18+C43+C55+C64+C58</f>
        <v>1929470</v>
      </c>
      <c r="D66" s="72">
        <f t="shared" si="8"/>
        <v>1387528</v>
      </c>
      <c r="E66" s="72">
        <f t="shared" si="8"/>
        <v>2169470</v>
      </c>
      <c r="F66" s="72">
        <f t="shared" si="8"/>
        <v>2080143</v>
      </c>
      <c r="G66" s="72">
        <f t="shared" si="8"/>
        <v>2192480.804</v>
      </c>
      <c r="H66" s="72">
        <f t="shared" si="8"/>
        <v>37136</v>
      </c>
      <c r="I66" s="72">
        <f t="shared" si="8"/>
        <v>2264616.804</v>
      </c>
      <c r="J66" s="73">
        <f>ROUND((+I66-E66)/E66,4)</f>
        <v>4.3900000000000002E-2</v>
      </c>
      <c r="K66" s="62">
        <v>67</v>
      </c>
    </row>
    <row r="67" spans="1:11" ht="13.5" thickTop="1"/>
    <row r="68" spans="1:11">
      <c r="A68" s="54"/>
      <c r="B68" s="74"/>
      <c r="I68" s="7">
        <v>2264612</v>
      </c>
    </row>
    <row r="69" spans="1:11">
      <c r="I69" s="61">
        <f>+I68-I66</f>
        <v>-4.8040000000037253</v>
      </c>
    </row>
    <row r="70" spans="1:11">
      <c r="C70" s="61"/>
      <c r="F70" s="7" t="s">
        <v>464</v>
      </c>
    </row>
    <row r="110" spans="1:11">
      <c r="A110" s="7" t="s">
        <v>98</v>
      </c>
      <c r="K110" s="7"/>
    </row>
    <row r="111" spans="1:11">
      <c r="A111" s="7" t="s">
        <v>99</v>
      </c>
      <c r="K111" s="7"/>
    </row>
    <row r="112" spans="1:11">
      <c r="A112" s="7" t="s">
        <v>100</v>
      </c>
      <c r="K112" s="7"/>
    </row>
    <row r="113" spans="1:11">
      <c r="A113" s="7" t="s">
        <v>101</v>
      </c>
      <c r="K113" s="7"/>
    </row>
    <row r="114" spans="1:11">
      <c r="A114" s="7" t="s">
        <v>102</v>
      </c>
      <c r="K114" s="7"/>
    </row>
    <row r="120" spans="1:11">
      <c r="A120" s="7" t="s">
        <v>103</v>
      </c>
      <c r="K120" s="7"/>
    </row>
    <row r="121" spans="1:11">
      <c r="A121" s="7" t="s">
        <v>104</v>
      </c>
      <c r="K121" s="7"/>
    </row>
    <row r="122" spans="1:11">
      <c r="A122" s="7" t="s">
        <v>105</v>
      </c>
      <c r="K122" s="7"/>
    </row>
    <row r="123" spans="1:11">
      <c r="A123" s="7" t="s">
        <v>106</v>
      </c>
      <c r="K123" s="7"/>
    </row>
    <row r="124" spans="1:11">
      <c r="A124" s="7" t="s">
        <v>107</v>
      </c>
      <c r="K124" s="7"/>
    </row>
    <row r="125" spans="1:11">
      <c r="A125" s="7" t="s">
        <v>102</v>
      </c>
      <c r="K125" s="7"/>
    </row>
  </sheetData>
  <protectedRanges>
    <protectedRange sqref="K5:S67" name="Range4"/>
    <protectedRange sqref="K1:T78" name="Range2"/>
    <protectedRange sqref="K6" name="Range3"/>
  </protectedRange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V372"/>
  <sheetViews>
    <sheetView tabSelected="1" topLeftCell="A41" zoomScale="80" zoomScaleNormal="80" workbookViewId="0">
      <selection activeCell="C69" sqref="C69"/>
    </sheetView>
  </sheetViews>
  <sheetFormatPr defaultRowHeight="12.75"/>
  <cols>
    <col min="1" max="1" width="14" style="7" customWidth="1"/>
    <col min="2" max="2" width="16.42578125" style="7" customWidth="1"/>
    <col min="3" max="3" width="30.140625" style="7" customWidth="1"/>
    <col min="4" max="4" width="11.7109375" style="7" customWidth="1"/>
    <col min="5" max="5" width="12.7109375" style="7" customWidth="1"/>
    <col min="6" max="6" width="9.140625" style="7" customWidth="1"/>
    <col min="7" max="7" width="11.5703125" style="7" customWidth="1"/>
    <col min="8" max="8" width="11.140625" style="7" customWidth="1"/>
    <col min="9" max="12" width="11.5703125" style="7" customWidth="1"/>
    <col min="13" max="13" width="8.85546875" style="7" customWidth="1"/>
    <col min="14" max="14" width="14.140625" style="7" customWidth="1"/>
    <col min="15" max="15" width="75.7109375" style="7" customWidth="1"/>
    <col min="16" max="17" width="9.140625" style="7"/>
    <col min="18" max="18" width="11.42578125" style="7" bestFit="1" customWidth="1"/>
    <col min="19" max="16384" width="9.140625" style="7"/>
  </cols>
  <sheetData>
    <row r="1" spans="1:256">
      <c r="A1" s="207" t="s">
        <v>108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>
        <f ca="1">NOW()</f>
        <v>43894.683751273151</v>
      </c>
      <c r="N1" s="210">
        <f ca="1">NOW()</f>
        <v>43894.683751273151</v>
      </c>
      <c r="O1" s="204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</row>
    <row r="2" spans="1:256">
      <c r="A2" s="211" t="s">
        <v>413</v>
      </c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 t="s">
        <v>109</v>
      </c>
      <c r="N2" s="212" t="s">
        <v>110</v>
      </c>
      <c r="O2" s="205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</row>
    <row r="3" spans="1:256">
      <c r="A3" s="211" t="s">
        <v>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8"/>
      <c r="N3" s="213"/>
      <c r="O3" s="205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</row>
    <row r="4" spans="1:256">
      <c r="A4" s="214" t="s">
        <v>111</v>
      </c>
      <c r="B4" s="79" t="s">
        <v>112</v>
      </c>
      <c r="C4" s="484" t="s">
        <v>113</v>
      </c>
      <c r="D4" s="485"/>
      <c r="E4" s="485"/>
      <c r="F4" s="485"/>
      <c r="G4" s="485"/>
      <c r="H4" s="486" t="s">
        <v>114</v>
      </c>
      <c r="I4" s="487"/>
      <c r="J4" s="485"/>
      <c r="K4" s="487"/>
      <c r="L4" s="485"/>
      <c r="M4" s="487"/>
      <c r="N4" s="488"/>
      <c r="O4" s="205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</row>
    <row r="5" spans="1:256">
      <c r="A5" s="215" t="s">
        <v>115</v>
      </c>
      <c r="B5" s="80"/>
      <c r="C5" s="81"/>
      <c r="D5" s="82"/>
      <c r="E5" s="82"/>
      <c r="F5" s="82"/>
      <c r="G5" s="83"/>
      <c r="H5" s="86">
        <v>2017</v>
      </c>
      <c r="I5" s="226">
        <v>2018</v>
      </c>
      <c r="J5" s="86">
        <v>2018</v>
      </c>
      <c r="K5" s="226">
        <v>2018</v>
      </c>
      <c r="L5" s="86">
        <v>2019</v>
      </c>
      <c r="M5" s="226" t="s">
        <v>40</v>
      </c>
      <c r="N5" s="216"/>
      <c r="O5" s="205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</row>
    <row r="6" spans="1:256">
      <c r="A6" s="217">
        <v>55100</v>
      </c>
      <c r="B6" s="80"/>
      <c r="C6" s="84"/>
      <c r="D6" s="76"/>
      <c r="E6" s="76"/>
      <c r="F6" s="76"/>
      <c r="G6" s="85"/>
      <c r="H6" s="86" t="s">
        <v>116</v>
      </c>
      <c r="I6" s="227" t="s">
        <v>117</v>
      </c>
      <c r="J6" s="86" t="s">
        <v>118</v>
      </c>
      <c r="K6" s="227" t="s">
        <v>116</v>
      </c>
      <c r="L6" s="86" t="s">
        <v>119</v>
      </c>
      <c r="M6" s="227" t="s">
        <v>42</v>
      </c>
      <c r="N6" s="218">
        <v>2019</v>
      </c>
      <c r="O6" s="205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</row>
    <row r="7" spans="1:256" ht="18.75" thickBot="1">
      <c r="A7" s="219"/>
      <c r="B7" s="220"/>
      <c r="C7" s="221"/>
      <c r="D7" s="222"/>
      <c r="E7" s="222"/>
      <c r="F7" s="222"/>
      <c r="G7" s="223"/>
      <c r="H7" s="225" t="s">
        <v>120</v>
      </c>
      <c r="I7" s="228" t="s">
        <v>120</v>
      </c>
      <c r="J7" s="225" t="s">
        <v>121</v>
      </c>
      <c r="K7" s="228" t="s">
        <v>122</v>
      </c>
      <c r="L7" s="225" t="s">
        <v>44</v>
      </c>
      <c r="M7" s="228" t="s">
        <v>45</v>
      </c>
      <c r="N7" s="224" t="s">
        <v>123</v>
      </c>
      <c r="O7" s="206" t="s">
        <v>124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</row>
    <row r="8" spans="1:256">
      <c r="A8" s="168"/>
      <c r="B8" s="230"/>
      <c r="C8" s="249"/>
      <c r="D8" s="249"/>
      <c r="E8" s="249"/>
      <c r="F8" s="250" t="s">
        <v>125</v>
      </c>
      <c r="G8" s="251" t="s">
        <v>126</v>
      </c>
      <c r="H8" s="88"/>
      <c r="I8" s="90"/>
      <c r="J8" s="90"/>
      <c r="K8" s="90"/>
      <c r="L8" s="90"/>
      <c r="M8" s="90"/>
      <c r="N8" s="231"/>
      <c r="O8" s="377"/>
    </row>
    <row r="9" spans="1:256" ht="13.5" thickBot="1">
      <c r="A9" s="176"/>
      <c r="B9" s="231"/>
      <c r="C9" s="229" t="s">
        <v>127</v>
      </c>
      <c r="D9" s="89" t="s">
        <v>128</v>
      </c>
      <c r="E9" s="89" t="s">
        <v>129</v>
      </c>
      <c r="F9" s="89" t="s">
        <v>130</v>
      </c>
      <c r="G9" s="252" t="s">
        <v>131</v>
      </c>
      <c r="H9" s="88"/>
      <c r="I9" s="90"/>
      <c r="J9" s="90"/>
      <c r="K9" s="90"/>
      <c r="L9" s="90"/>
      <c r="M9" s="90"/>
      <c r="N9" s="231"/>
      <c r="O9" s="363"/>
    </row>
    <row r="10" spans="1:256" ht="13.5" thickTop="1">
      <c r="A10" s="180">
        <v>110</v>
      </c>
      <c r="B10" s="232" t="s">
        <v>132</v>
      </c>
      <c r="D10" s="92"/>
      <c r="E10" s="93"/>
      <c r="F10" s="94"/>
      <c r="G10" s="101"/>
      <c r="H10" s="88"/>
      <c r="I10" s="90"/>
      <c r="J10" s="90"/>
      <c r="K10" s="90"/>
      <c r="L10" s="90"/>
      <c r="M10" s="96"/>
      <c r="N10" s="101"/>
      <c r="O10" s="363"/>
    </row>
    <row r="11" spans="1:256">
      <c r="A11" s="233">
        <v>2.24E-2</v>
      </c>
      <c r="B11" s="234"/>
      <c r="C11" s="7" t="s">
        <v>366</v>
      </c>
      <c r="D11" s="7">
        <v>2080</v>
      </c>
      <c r="E11" s="93">
        <f t="shared" ref="E11:E19" si="0">ROUND(D11/2080,2)</f>
        <v>1</v>
      </c>
      <c r="F11" s="57">
        <v>82081</v>
      </c>
      <c r="G11" s="101">
        <f t="shared" ref="G11:G19" si="1">ROUND(E11*F11,0)</f>
        <v>82081</v>
      </c>
      <c r="H11" s="95"/>
      <c r="I11" s="96"/>
      <c r="J11" s="96"/>
      <c r="K11" s="97"/>
      <c r="L11" s="96"/>
      <c r="M11" s="96">
        <f t="shared" ref="M11:M20" si="2">ROUND(G11*B$22,0)+ROUND((((G11*B$22)+G11)*A11),0)</f>
        <v>3517</v>
      </c>
      <c r="N11" s="101">
        <f t="shared" ref="N11:N16" si="3">+G11+M11</f>
        <v>85598</v>
      </c>
      <c r="O11" s="378"/>
    </row>
    <row r="12" spans="1:256">
      <c r="A12" s="235">
        <v>1.26E-2</v>
      </c>
      <c r="B12" s="236"/>
      <c r="C12" s="7" t="s">
        <v>352</v>
      </c>
      <c r="D12" s="7">
        <v>2080</v>
      </c>
      <c r="E12" s="93">
        <f t="shared" si="0"/>
        <v>1</v>
      </c>
      <c r="F12" s="57">
        <v>55028</v>
      </c>
      <c r="G12" s="101">
        <f t="shared" si="1"/>
        <v>55028</v>
      </c>
      <c r="H12" s="95"/>
      <c r="I12" s="96"/>
      <c r="J12" s="96"/>
      <c r="K12" s="97"/>
      <c r="L12" s="96"/>
      <c r="M12" s="96">
        <f t="shared" si="2"/>
        <v>1808</v>
      </c>
      <c r="N12" s="101">
        <f t="shared" si="3"/>
        <v>56836</v>
      </c>
      <c r="O12" s="363"/>
    </row>
    <row r="13" spans="1:256">
      <c r="A13" s="235">
        <v>1.84E-2</v>
      </c>
      <c r="B13" s="236"/>
      <c r="C13" s="7" t="s">
        <v>354</v>
      </c>
      <c r="D13" s="7">
        <v>2080</v>
      </c>
      <c r="E13" s="93">
        <f t="shared" si="0"/>
        <v>1</v>
      </c>
      <c r="F13" s="57">
        <v>56542</v>
      </c>
      <c r="G13" s="101">
        <f t="shared" si="1"/>
        <v>56542</v>
      </c>
      <c r="H13" s="95"/>
      <c r="I13" s="96"/>
      <c r="J13" s="96"/>
      <c r="K13" s="97"/>
      <c r="L13" s="96"/>
      <c r="M13" s="96">
        <f t="shared" si="2"/>
        <v>2192</v>
      </c>
      <c r="N13" s="101">
        <f t="shared" si="3"/>
        <v>58734</v>
      </c>
      <c r="O13" s="363"/>
    </row>
    <row r="14" spans="1:256">
      <c r="A14" s="235">
        <v>2.64E-2</v>
      </c>
      <c r="B14" s="234"/>
      <c r="C14" s="7" t="s">
        <v>353</v>
      </c>
      <c r="D14" s="7">
        <v>2080</v>
      </c>
      <c r="E14" s="93">
        <f t="shared" si="0"/>
        <v>1</v>
      </c>
      <c r="F14" s="57">
        <v>56542</v>
      </c>
      <c r="G14" s="101">
        <f t="shared" si="1"/>
        <v>56542</v>
      </c>
      <c r="H14" s="95"/>
      <c r="I14" s="96"/>
      <c r="J14" s="96"/>
      <c r="K14" s="97"/>
      <c r="L14" s="96"/>
      <c r="M14" s="96">
        <f t="shared" si="2"/>
        <v>2654</v>
      </c>
      <c r="N14" s="101">
        <f t="shared" si="3"/>
        <v>59196</v>
      </c>
      <c r="O14" s="379"/>
    </row>
    <row r="15" spans="1:256">
      <c r="A15" s="235">
        <v>9.1999999999999998E-3</v>
      </c>
      <c r="B15" s="237"/>
      <c r="C15" s="7" t="s">
        <v>355</v>
      </c>
      <c r="D15" s="7">
        <v>2080</v>
      </c>
      <c r="E15" s="93">
        <f t="shared" si="0"/>
        <v>1</v>
      </c>
      <c r="F15" s="57">
        <v>56542</v>
      </c>
      <c r="G15" s="101">
        <f t="shared" si="1"/>
        <v>56542</v>
      </c>
      <c r="H15" s="95"/>
      <c r="I15" s="96"/>
      <c r="J15" s="96"/>
      <c r="K15" s="97"/>
      <c r="L15" s="96"/>
      <c r="M15" s="96">
        <f t="shared" si="2"/>
        <v>1662</v>
      </c>
      <c r="N15" s="101">
        <f>+G15+M15</f>
        <v>58204</v>
      </c>
      <c r="O15" s="379"/>
    </row>
    <row r="16" spans="1:256">
      <c r="A16" s="235">
        <v>2.58E-2</v>
      </c>
      <c r="B16" s="234"/>
      <c r="C16" s="7" t="s">
        <v>133</v>
      </c>
      <c r="D16" s="7">
        <v>2080</v>
      </c>
      <c r="E16" s="93">
        <f t="shared" si="0"/>
        <v>1</v>
      </c>
      <c r="F16" s="57">
        <v>65540</v>
      </c>
      <c r="G16" s="101">
        <f t="shared" si="1"/>
        <v>65540</v>
      </c>
      <c r="H16" s="95"/>
      <c r="I16" s="96"/>
      <c r="J16" s="96"/>
      <c r="K16" s="97"/>
      <c r="L16" s="96"/>
      <c r="M16" s="96">
        <f t="shared" si="2"/>
        <v>3036</v>
      </c>
      <c r="N16" s="101">
        <f t="shared" si="3"/>
        <v>68576</v>
      </c>
      <c r="O16" s="379"/>
    </row>
    <row r="17" spans="1:15">
      <c r="A17" s="235">
        <v>9.1999999999999998E-3</v>
      </c>
      <c r="B17" s="234"/>
      <c r="C17" s="7" t="s">
        <v>370</v>
      </c>
      <c r="D17" s="7">
        <v>2080</v>
      </c>
      <c r="E17" s="93">
        <f t="shared" si="0"/>
        <v>1</v>
      </c>
      <c r="F17" s="57">
        <v>48975</v>
      </c>
      <c r="G17" s="101">
        <f t="shared" si="1"/>
        <v>48975</v>
      </c>
      <c r="H17" s="95"/>
      <c r="I17" s="96"/>
      <c r="J17" s="96"/>
      <c r="K17" s="97"/>
      <c r="L17" s="96"/>
      <c r="M17" s="96">
        <f t="shared" si="2"/>
        <v>1440</v>
      </c>
      <c r="N17" s="101">
        <f t="shared" ref="N17:N19" si="4">+G17+M17</f>
        <v>50415</v>
      </c>
      <c r="O17" s="379"/>
    </row>
    <row r="18" spans="1:15">
      <c r="A18" s="235">
        <v>1.54E-2</v>
      </c>
      <c r="B18" s="234"/>
      <c r="C18" s="7" t="s">
        <v>371</v>
      </c>
      <c r="D18" s="7">
        <v>2080</v>
      </c>
      <c r="E18" s="93">
        <f t="shared" si="0"/>
        <v>1</v>
      </c>
      <c r="F18" s="57">
        <v>50322</v>
      </c>
      <c r="G18" s="101">
        <f t="shared" si="1"/>
        <v>50322</v>
      </c>
      <c r="H18" s="95"/>
      <c r="I18" s="95"/>
      <c r="J18" s="95"/>
      <c r="K18" s="100"/>
      <c r="L18" s="95"/>
      <c r="M18" s="96">
        <f t="shared" si="2"/>
        <v>1796</v>
      </c>
      <c r="N18" s="101">
        <f t="shared" si="4"/>
        <v>52118</v>
      </c>
      <c r="O18" s="380"/>
    </row>
    <row r="19" spans="1:15">
      <c r="A19" s="235">
        <v>2.2599999999999999E-2</v>
      </c>
      <c r="B19" s="234"/>
      <c r="C19" s="7" t="s">
        <v>372</v>
      </c>
      <c r="D19" s="7">
        <v>2080</v>
      </c>
      <c r="E19" s="93">
        <f t="shared" si="0"/>
        <v>1</v>
      </c>
      <c r="F19" s="57">
        <v>47664</v>
      </c>
      <c r="G19" s="101">
        <f t="shared" si="1"/>
        <v>47664</v>
      </c>
      <c r="H19" s="95"/>
      <c r="I19" s="95"/>
      <c r="J19" s="95"/>
      <c r="K19" s="100"/>
      <c r="L19" s="95"/>
      <c r="M19" s="96">
        <f t="shared" si="2"/>
        <v>2052</v>
      </c>
      <c r="N19" s="101">
        <f t="shared" si="4"/>
        <v>49716</v>
      </c>
      <c r="O19" s="380"/>
    </row>
    <row r="20" spans="1:15">
      <c r="A20" s="235">
        <v>2.3E-2</v>
      </c>
      <c r="B20" s="238"/>
      <c r="C20" s="7" t="s">
        <v>367</v>
      </c>
      <c r="D20" s="7">
        <v>2080</v>
      </c>
      <c r="E20" s="93">
        <f t="shared" ref="E20" si="5">ROUND(D20/2080,2)</f>
        <v>1</v>
      </c>
      <c r="F20" s="201">
        <v>46389</v>
      </c>
      <c r="G20" s="101">
        <f>ROUND(F20*E20,0)</f>
        <v>46389</v>
      </c>
      <c r="H20" s="95"/>
      <c r="I20" s="95"/>
      <c r="J20" s="95"/>
      <c r="K20" s="100"/>
      <c r="L20" s="95"/>
      <c r="M20" s="96">
        <f t="shared" si="2"/>
        <v>2016</v>
      </c>
      <c r="N20" s="101">
        <f t="shared" ref="N20" si="6">+G20+M20</f>
        <v>48405</v>
      </c>
      <c r="O20" s="380"/>
    </row>
    <row r="21" spans="1:15">
      <c r="A21" s="235"/>
      <c r="B21" s="238"/>
      <c r="E21" s="93"/>
      <c r="F21" s="201"/>
      <c r="G21" s="101"/>
      <c r="H21" s="95"/>
      <c r="I21" s="95"/>
      <c r="J21" s="95"/>
      <c r="K21" s="100"/>
      <c r="L21" s="95"/>
      <c r="M21" s="96"/>
      <c r="N21" s="101"/>
      <c r="O21" s="380"/>
    </row>
    <row r="22" spans="1:15">
      <c r="A22" s="268" t="s">
        <v>134</v>
      </c>
      <c r="B22" s="269">
        <v>0.02</v>
      </c>
      <c r="C22" s="160" t="s">
        <v>135</v>
      </c>
      <c r="E22" s="93"/>
      <c r="F22" s="57"/>
      <c r="G22" s="255">
        <f>SUM(G11:G21)</f>
        <v>565625</v>
      </c>
      <c r="H22" s="105"/>
      <c r="I22" s="104"/>
      <c r="J22" s="104"/>
      <c r="K22" s="105"/>
      <c r="L22" s="105"/>
      <c r="M22" s="104"/>
      <c r="N22" s="277"/>
      <c r="O22" s="363"/>
    </row>
    <row r="23" spans="1:15">
      <c r="A23" s="270" t="s">
        <v>136</v>
      </c>
      <c r="B23" s="198"/>
      <c r="C23" s="271" t="s">
        <v>137</v>
      </c>
      <c r="D23" s="258"/>
      <c r="E23" s="259"/>
      <c r="F23" s="267"/>
      <c r="G23" s="272">
        <v>560850</v>
      </c>
      <c r="H23" s="371">
        <f>'LINE ITEM EXP'!C9</f>
        <v>480335</v>
      </c>
      <c r="I23" s="372">
        <f>'LINE ITEM EXP'!D9</f>
        <v>272140</v>
      </c>
      <c r="J23" s="372">
        <f>'LINE ITEM EXP'!E9</f>
        <v>560850</v>
      </c>
      <c r="K23" s="373">
        <f>G23</f>
        <v>560850</v>
      </c>
      <c r="L23" s="373">
        <f>G22</f>
        <v>565625</v>
      </c>
      <c r="M23" s="372">
        <f>SUM(M11:M21)</f>
        <v>22173</v>
      </c>
      <c r="N23" s="374">
        <f>SUM(N11:N22)</f>
        <v>587798</v>
      </c>
      <c r="O23" s="363"/>
    </row>
    <row r="24" spans="1:15">
      <c r="A24" s="168">
        <v>111</v>
      </c>
      <c r="B24" s="169" t="s">
        <v>138</v>
      </c>
      <c r="C24" s="248"/>
      <c r="D24" s="273" t="s">
        <v>131</v>
      </c>
      <c r="E24" s="274" t="s">
        <v>139</v>
      </c>
      <c r="F24" s="275" t="s">
        <v>140</v>
      </c>
      <c r="G24" s="276" t="s">
        <v>141</v>
      </c>
      <c r="H24" s="95"/>
      <c r="I24" s="95"/>
      <c r="J24" s="95"/>
      <c r="K24" s="95"/>
      <c r="L24" s="95"/>
      <c r="M24" s="104"/>
      <c r="N24" s="277"/>
      <c r="O24" s="363"/>
    </row>
    <row r="25" spans="1:15">
      <c r="A25" s="396">
        <f t="shared" ref="A25:A38" si="7">DATEDIF((B25),(C$132),"y")</f>
        <v>14</v>
      </c>
      <c r="B25" s="397">
        <v>38419</v>
      </c>
      <c r="C25" s="87" t="s">
        <v>366</v>
      </c>
      <c r="D25" s="111">
        <f>G11</f>
        <v>82081</v>
      </c>
      <c r="E25" s="112">
        <f>IF(A25&lt;5,0,IF(AND(A25&gt;=5,A25&lt;=9),0.01,IF(AND(A25&gt;=10,A25&lt;=14),0.02,IF(AND(A25&gt;=15,A25&lt;=19),0.03,IF(AND(A25&gt;=20,A25&lt;=50),0.04,"")))))</f>
        <v>0.02</v>
      </c>
      <c r="F25" s="113">
        <v>1</v>
      </c>
      <c r="G25" s="101">
        <f>ROUND(D25*E25,0)</f>
        <v>1642</v>
      </c>
      <c r="H25" s="95"/>
      <c r="I25" s="95"/>
      <c r="J25" s="95"/>
      <c r="K25" s="100"/>
      <c r="L25" s="95"/>
      <c r="M25" s="96">
        <f>ROUND(M11*E25,0)</f>
        <v>70</v>
      </c>
      <c r="N25" s="101">
        <f>G25+M25</f>
        <v>1712</v>
      </c>
      <c r="O25" s="363"/>
    </row>
    <row r="26" spans="1:15">
      <c r="A26" s="396">
        <f t="shared" si="7"/>
        <v>2</v>
      </c>
      <c r="B26" s="397">
        <v>42933</v>
      </c>
      <c r="C26" s="87" t="s">
        <v>352</v>
      </c>
      <c r="D26" s="111">
        <v>51996</v>
      </c>
      <c r="E26" s="112">
        <v>0</v>
      </c>
      <c r="F26" s="113">
        <v>1</v>
      </c>
      <c r="G26" s="101">
        <f>ROUND(D26*E26,0)</f>
        <v>0</v>
      </c>
      <c r="H26" s="95"/>
      <c r="I26" s="95"/>
      <c r="J26" s="95"/>
      <c r="K26" s="100"/>
      <c r="L26" s="95"/>
      <c r="M26" s="96">
        <f>ROUND((M12*E26)*F26,0)</f>
        <v>0</v>
      </c>
      <c r="N26" s="101">
        <f t="shared" ref="N26:N38" si="8">G26+M26</f>
        <v>0</v>
      </c>
      <c r="O26" s="363"/>
    </row>
    <row r="27" spans="1:15">
      <c r="A27" s="398">
        <f t="shared" si="7"/>
        <v>15</v>
      </c>
      <c r="B27" s="399">
        <v>38005</v>
      </c>
      <c r="C27" s="7" t="s">
        <v>446</v>
      </c>
      <c r="D27" s="111">
        <f>+G14</f>
        <v>56542</v>
      </c>
      <c r="E27" s="112">
        <f t="shared" ref="E27" si="9">IF(A27&lt;5,0,IF(AND(A27&gt;=5,A27&lt;=9),0.01,IF(AND(A27&gt;=10,A27&lt;=14),0.02,IF(AND(A27&gt;=15,A27&lt;=19),0.03,IF(AND(A27&gt;=20,A27&lt;=50),0.04,"")))))</f>
        <v>0.03</v>
      </c>
      <c r="F27" s="113">
        <v>1</v>
      </c>
      <c r="G27" s="101">
        <f t="shared" ref="G27:G33" si="10">ROUND(D27*E27,0)</f>
        <v>1696</v>
      </c>
      <c r="H27" s="95"/>
      <c r="I27" s="95"/>
      <c r="J27" s="95"/>
      <c r="K27" s="100"/>
      <c r="L27" s="95"/>
      <c r="M27" s="96">
        <f>ROUND(M14*E27,0)</f>
        <v>80</v>
      </c>
      <c r="N27" s="101">
        <f t="shared" si="8"/>
        <v>1776</v>
      </c>
      <c r="O27" s="363"/>
    </row>
    <row r="28" spans="1:15">
      <c r="A28" s="396">
        <f t="shared" si="7"/>
        <v>23</v>
      </c>
      <c r="B28" s="397">
        <v>35186</v>
      </c>
      <c r="C28" s="87" t="s">
        <v>356</v>
      </c>
      <c r="D28" s="111">
        <f>G13</f>
        <v>56542</v>
      </c>
      <c r="E28" s="112">
        <f>IF(A28&lt;5,0,IF(AND(A28&gt;=5,A28&lt;=9),0.01,IF(AND(A28&gt;=10,A28&lt;=14),0.02,IF(AND(A28&gt;=15,A28&lt;=19),0.03,IF(AND(A28&gt;=20,A28&lt;=50),0.04,"")))))</f>
        <v>0.04</v>
      </c>
      <c r="F28" s="113">
        <v>1</v>
      </c>
      <c r="G28" s="101">
        <f>ROUND(D28*E28*F28,0)</f>
        <v>2262</v>
      </c>
      <c r="H28" s="95"/>
      <c r="I28" s="95"/>
      <c r="J28" s="95"/>
      <c r="K28" s="100"/>
      <c r="L28" s="95"/>
      <c r="M28" s="96">
        <f>ROUND(M13*E28,0)</f>
        <v>88</v>
      </c>
      <c r="N28" s="101">
        <f t="shared" si="8"/>
        <v>2350</v>
      </c>
      <c r="O28" s="363"/>
    </row>
    <row r="29" spans="1:15">
      <c r="A29" s="396">
        <f t="shared" si="7"/>
        <v>12</v>
      </c>
      <c r="B29" s="397">
        <v>39199</v>
      </c>
      <c r="C29" s="87" t="s">
        <v>142</v>
      </c>
      <c r="D29" s="111">
        <f>+G45</f>
        <v>20394</v>
      </c>
      <c r="E29" s="112">
        <f>IF(A29&lt;5,0,IF(AND(A29&gt;=5,A29&lt;=9),0.01,IF(AND(A29&gt;=10,A29&lt;=14),0.02,IF(AND(A29&gt;=15,A29&lt;=19),0.03,IF(AND(A29&gt;=20,A29&lt;=50),0.04,"")))))</f>
        <v>0.02</v>
      </c>
      <c r="F29" s="113">
        <v>1</v>
      </c>
      <c r="G29" s="101">
        <f t="shared" ref="G29" si="11">ROUND(D29*E29,0)</f>
        <v>408</v>
      </c>
      <c r="H29" s="95"/>
      <c r="I29" s="95"/>
      <c r="J29" s="95"/>
      <c r="K29" s="100"/>
      <c r="L29" s="95"/>
      <c r="M29" s="96">
        <f>ROUND((M45*E29)*F29,0)</f>
        <v>16</v>
      </c>
      <c r="N29" s="101">
        <f t="shared" si="8"/>
        <v>424</v>
      </c>
      <c r="O29" s="363"/>
    </row>
    <row r="30" spans="1:15">
      <c r="A30" s="396">
        <f t="shared" si="7"/>
        <v>15</v>
      </c>
      <c r="B30" s="397">
        <v>38145</v>
      </c>
      <c r="C30" s="87" t="s">
        <v>143</v>
      </c>
      <c r="D30" s="111">
        <f>+G47</f>
        <v>20956</v>
      </c>
      <c r="E30" s="112">
        <f>IF(A30&lt;5,0,IF(AND(A30&gt;=5,A30&lt;=9),0.01,IF(AND(A30&gt;=10,A30&lt;=14),0.02,IF(AND(A30&gt;=15,A30&lt;=19),0.03,IF(AND(A30&gt;=20,A30&lt;=50),0.04,"")))))</f>
        <v>0.03</v>
      </c>
      <c r="F30" s="113">
        <v>1</v>
      </c>
      <c r="G30" s="101">
        <f t="shared" si="10"/>
        <v>629</v>
      </c>
      <c r="H30" s="95"/>
      <c r="I30" s="95"/>
      <c r="J30" s="95"/>
      <c r="K30" s="100"/>
      <c r="L30" s="95"/>
      <c r="M30" s="96">
        <f>ROUND((M47*E30)*F30,0)</f>
        <v>13</v>
      </c>
      <c r="N30" s="101">
        <f t="shared" si="8"/>
        <v>642</v>
      </c>
      <c r="O30" s="363"/>
    </row>
    <row r="31" spans="1:15">
      <c r="A31" s="396">
        <f t="shared" si="7"/>
        <v>13</v>
      </c>
      <c r="B31" s="397">
        <v>38884</v>
      </c>
      <c r="C31" s="87" t="s">
        <v>144</v>
      </c>
      <c r="D31" s="111">
        <f>+G44</f>
        <v>25147</v>
      </c>
      <c r="E31" s="112">
        <f t="shared" ref="E31:E37" si="12">IF(A31&lt;5,0,IF(AND(A31&gt;=5,A31&lt;=9),0.01,IF(AND(A31&gt;=10,A31&lt;=14),0.02,IF(AND(A31&gt;=15,A31&lt;=19),0.03,IF(AND(A31&gt;=20,A31&lt;=50),0.04,"")))))</f>
        <v>0.02</v>
      </c>
      <c r="F31" s="113">
        <v>1</v>
      </c>
      <c r="G31" s="101">
        <f>ROUND(D31*E31*F31,0)</f>
        <v>503</v>
      </c>
      <c r="H31" s="95"/>
      <c r="I31" s="95"/>
      <c r="J31" s="95"/>
      <c r="K31" s="100"/>
      <c r="L31" s="95"/>
      <c r="M31" s="96">
        <f>ROUND((M14*E31)*F31,0)</f>
        <v>53</v>
      </c>
      <c r="N31" s="101">
        <f>G31+M31</f>
        <v>556</v>
      </c>
      <c r="O31" s="363"/>
    </row>
    <row r="32" spans="1:15">
      <c r="A32" s="396">
        <f t="shared" si="7"/>
        <v>10</v>
      </c>
      <c r="B32" s="397">
        <v>39835</v>
      </c>
      <c r="C32" s="7" t="s">
        <v>368</v>
      </c>
      <c r="D32" s="111">
        <f>+G16</f>
        <v>65540</v>
      </c>
      <c r="E32" s="112">
        <f t="shared" si="12"/>
        <v>0.02</v>
      </c>
      <c r="F32" s="113">
        <v>2</v>
      </c>
      <c r="G32" s="101">
        <f t="shared" si="10"/>
        <v>1311</v>
      </c>
      <c r="H32" s="95"/>
      <c r="I32" s="95"/>
      <c r="J32" s="95"/>
      <c r="K32" s="100"/>
      <c r="L32" s="95"/>
      <c r="M32" s="96">
        <f>ROUND((M14*E32)*F32,0)</f>
        <v>106</v>
      </c>
      <c r="N32" s="101">
        <f t="shared" ref="N32:N37" si="13">G32+M32</f>
        <v>1417</v>
      </c>
      <c r="O32" s="363"/>
    </row>
    <row r="33" spans="1:20">
      <c r="A33" s="396">
        <f t="shared" si="7"/>
        <v>10</v>
      </c>
      <c r="B33" s="397">
        <v>39842</v>
      </c>
      <c r="C33" s="7" t="s">
        <v>369</v>
      </c>
      <c r="D33" s="111">
        <f>+G48</f>
        <v>24492</v>
      </c>
      <c r="E33" s="112">
        <f t="shared" si="12"/>
        <v>0.02</v>
      </c>
      <c r="F33" s="113">
        <v>1</v>
      </c>
      <c r="G33" s="101">
        <f t="shared" si="10"/>
        <v>490</v>
      </c>
      <c r="H33" s="95"/>
      <c r="I33" s="95"/>
      <c r="J33" s="95"/>
      <c r="K33" s="100"/>
      <c r="L33" s="95"/>
      <c r="M33" s="96">
        <f>ROUND((M48*E33)*F33,0)</f>
        <v>22</v>
      </c>
      <c r="N33" s="101">
        <f t="shared" si="13"/>
        <v>512</v>
      </c>
      <c r="O33" s="363"/>
    </row>
    <row r="34" spans="1:20">
      <c r="A34" s="396">
        <f t="shared" si="7"/>
        <v>4</v>
      </c>
      <c r="B34" s="397">
        <v>42240</v>
      </c>
      <c r="C34" s="7" t="s">
        <v>348</v>
      </c>
      <c r="D34" s="111">
        <f>+G17</f>
        <v>48975</v>
      </c>
      <c r="E34" s="112">
        <f t="shared" si="12"/>
        <v>0</v>
      </c>
      <c r="F34" s="113">
        <v>0</v>
      </c>
      <c r="G34" s="254">
        <f>ROUND(D34*E34,0)</f>
        <v>0</v>
      </c>
      <c r="H34" s="95"/>
      <c r="I34" s="95"/>
      <c r="J34" s="95"/>
      <c r="K34" s="100"/>
      <c r="L34" s="95"/>
      <c r="M34" s="96">
        <f>ROUND((M15*E34)*F34,0)</f>
        <v>0</v>
      </c>
      <c r="N34" s="101">
        <f t="shared" si="13"/>
        <v>0</v>
      </c>
      <c r="O34" s="363"/>
    </row>
    <row r="35" spans="1:20">
      <c r="A35" s="396">
        <f t="shared" si="7"/>
        <v>3</v>
      </c>
      <c r="B35" s="397">
        <v>42408</v>
      </c>
      <c r="C35" s="7" t="s">
        <v>372</v>
      </c>
      <c r="D35" s="111">
        <f>+G19</f>
        <v>47664</v>
      </c>
      <c r="E35" s="112">
        <f t="shared" si="12"/>
        <v>0</v>
      </c>
      <c r="F35" s="113">
        <v>0</v>
      </c>
      <c r="G35" s="254">
        <f>ROUND(D35*E35,0)</f>
        <v>0</v>
      </c>
      <c r="H35" s="95"/>
      <c r="I35" s="95"/>
      <c r="J35" s="95"/>
      <c r="K35" s="100"/>
      <c r="L35" s="95"/>
      <c r="M35" s="96">
        <f>ROUND((M16*E35)*F35,0)</f>
        <v>0</v>
      </c>
      <c r="N35" s="101">
        <f t="shared" ref="N35" si="14">G35+M35</f>
        <v>0</v>
      </c>
      <c r="O35" s="363"/>
      <c r="T35" s="57"/>
    </row>
    <row r="36" spans="1:20">
      <c r="A36" s="396">
        <f t="shared" si="7"/>
        <v>7</v>
      </c>
      <c r="B36" s="397">
        <v>41071</v>
      </c>
      <c r="C36" s="7" t="s">
        <v>371</v>
      </c>
      <c r="D36" s="111">
        <f>+G18</f>
        <v>50322</v>
      </c>
      <c r="E36" s="112">
        <f t="shared" si="12"/>
        <v>0.01</v>
      </c>
      <c r="F36" s="113">
        <v>0</v>
      </c>
      <c r="G36" s="254">
        <f>ROUND(D36*E36,0)</f>
        <v>503</v>
      </c>
      <c r="H36" s="95"/>
      <c r="I36" s="95"/>
      <c r="J36" s="95"/>
      <c r="K36" s="100"/>
      <c r="L36" s="95"/>
      <c r="M36" s="96">
        <f>ROUND((M17*E36)*F36,0)</f>
        <v>0</v>
      </c>
      <c r="N36" s="101">
        <f t="shared" ref="N36" si="15">G36+M36</f>
        <v>503</v>
      </c>
      <c r="O36" s="363"/>
      <c r="T36" s="112"/>
    </row>
    <row r="37" spans="1:20">
      <c r="A37" s="396">
        <f t="shared" si="7"/>
        <v>10</v>
      </c>
      <c r="B37" s="397">
        <v>40056</v>
      </c>
      <c r="C37" s="87" t="s">
        <v>355</v>
      </c>
      <c r="D37" s="111">
        <f>+G15</f>
        <v>56542</v>
      </c>
      <c r="E37" s="112">
        <f t="shared" si="12"/>
        <v>0.02</v>
      </c>
      <c r="F37" s="113">
        <v>1</v>
      </c>
      <c r="G37" s="254">
        <f>ROUND(D37*E37,0)</f>
        <v>1131</v>
      </c>
      <c r="H37" s="95"/>
      <c r="I37" s="95"/>
      <c r="J37" s="95"/>
      <c r="K37" s="100"/>
      <c r="L37" s="95"/>
      <c r="M37" s="96">
        <f>ROUND((M16*E37)*F37,0)</f>
        <v>61</v>
      </c>
      <c r="N37" s="101">
        <f t="shared" si="13"/>
        <v>1192</v>
      </c>
      <c r="O37" s="363"/>
    </row>
    <row r="38" spans="1:20">
      <c r="A38" s="396">
        <f t="shared" si="7"/>
        <v>11</v>
      </c>
      <c r="B38" s="397">
        <v>39606</v>
      </c>
      <c r="C38" s="87" t="s">
        <v>145</v>
      </c>
      <c r="D38" s="111">
        <f>+G46</f>
        <v>19854</v>
      </c>
      <c r="E38" s="112">
        <f>IF(A38&lt;5,0,IF(AND(A38&gt;=5,A38&lt;=9),0.01,IF(AND(A38&gt;=10,A38&lt;=14),0.02,IF(AND(A38&gt;=15,A38&lt;=19),0.03,IF(AND(A38&gt;=20,A38&lt;=50),0.04,"")))))</f>
        <v>0.02</v>
      </c>
      <c r="F38" s="113">
        <v>1</v>
      </c>
      <c r="G38" s="277">
        <f>ROUND(D38*E38,0)</f>
        <v>397</v>
      </c>
      <c r="H38" s="95"/>
      <c r="I38" s="95"/>
      <c r="J38" s="95"/>
      <c r="K38" s="100"/>
      <c r="L38" s="95"/>
      <c r="M38" s="96">
        <f>ROUND((M16*E38)*F38,0)</f>
        <v>61</v>
      </c>
      <c r="N38" s="101">
        <f t="shared" si="8"/>
        <v>458</v>
      </c>
      <c r="O38" s="363"/>
      <c r="T38" s="57"/>
    </row>
    <row r="39" spans="1:20">
      <c r="A39" s="180"/>
      <c r="B39" s="91"/>
      <c r="C39" s="102" t="s">
        <v>146</v>
      </c>
      <c r="E39" s="93"/>
      <c r="F39" s="94"/>
      <c r="G39" s="278">
        <f>SUM(G25:G38)</f>
        <v>10972</v>
      </c>
      <c r="H39" s="105"/>
      <c r="I39" s="104"/>
      <c r="J39" s="104"/>
      <c r="K39" s="105"/>
      <c r="L39" s="105"/>
      <c r="M39" s="104"/>
      <c r="N39" s="277"/>
      <c r="O39" s="363"/>
    </row>
    <row r="40" spans="1:20">
      <c r="A40" s="195"/>
      <c r="B40" s="256"/>
      <c r="C40" s="257" t="s">
        <v>137</v>
      </c>
      <c r="D40" s="258"/>
      <c r="E40" s="259"/>
      <c r="F40" s="267"/>
      <c r="G40" s="261">
        <v>8760</v>
      </c>
      <c r="H40" s="371">
        <f>'LINE ITEM EXP'!C10</f>
        <v>7752</v>
      </c>
      <c r="I40" s="372">
        <f>'LINE ITEM EXP'!D10</f>
        <v>4232</v>
      </c>
      <c r="J40" s="372">
        <f>'LINE ITEM EXP'!E10</f>
        <v>8760</v>
      </c>
      <c r="K40" s="373">
        <f>G40</f>
        <v>8760</v>
      </c>
      <c r="L40" s="373">
        <f>G39</f>
        <v>10972</v>
      </c>
      <c r="M40" s="372">
        <f>SUM(M25:M39)</f>
        <v>570</v>
      </c>
      <c r="N40" s="375">
        <f>SUM(N25:N39)</f>
        <v>11542</v>
      </c>
      <c r="O40" s="363"/>
      <c r="T40" s="57"/>
    </row>
    <row r="41" spans="1:20">
      <c r="A41" s="168">
        <v>120</v>
      </c>
      <c r="B41" s="303" t="s">
        <v>147</v>
      </c>
      <c r="C41" s="292"/>
      <c r="D41" s="249"/>
      <c r="E41" s="249"/>
      <c r="F41" s="250" t="s">
        <v>148</v>
      </c>
      <c r="G41" s="251"/>
      <c r="H41" s="95"/>
      <c r="I41" s="95"/>
      <c r="J41" s="95"/>
      <c r="K41" s="95"/>
      <c r="L41" s="95"/>
      <c r="M41" s="96"/>
      <c r="N41" s="101"/>
      <c r="O41" s="363"/>
    </row>
    <row r="42" spans="1:20">
      <c r="A42" s="176"/>
      <c r="C42" s="176"/>
      <c r="D42" s="89" t="s">
        <v>128</v>
      </c>
      <c r="E42" s="89" t="s">
        <v>129</v>
      </c>
      <c r="F42" s="89" t="s">
        <v>149</v>
      </c>
      <c r="G42" s="252" t="s">
        <v>131</v>
      </c>
      <c r="H42" s="95"/>
      <c r="I42" s="95"/>
      <c r="J42" s="95"/>
      <c r="K42" s="95"/>
      <c r="L42" s="95"/>
      <c r="M42" s="96"/>
      <c r="N42" s="101"/>
      <c r="O42" s="363"/>
    </row>
    <row r="43" spans="1:20">
      <c r="A43" s="176"/>
      <c r="C43" s="471" t="s">
        <v>150</v>
      </c>
      <c r="D43" s="92"/>
      <c r="E43" s="93"/>
      <c r="F43" s="94"/>
      <c r="G43" s="101"/>
      <c r="H43" s="95"/>
      <c r="I43" s="95"/>
      <c r="J43" s="95"/>
      <c r="K43" s="95"/>
      <c r="L43" s="95"/>
      <c r="M43" s="96"/>
      <c r="N43" s="101"/>
      <c r="O43" s="363"/>
    </row>
    <row r="44" spans="1:20">
      <c r="A44" s="235">
        <v>0</v>
      </c>
      <c r="B44" s="465"/>
      <c r="C44" s="176" t="s">
        <v>144</v>
      </c>
      <c r="D44" s="7">
        <v>1248</v>
      </c>
      <c r="E44" s="93">
        <f>ROUND(D44/2080,2)</f>
        <v>0.6</v>
      </c>
      <c r="F44" s="199">
        <v>20.149999999999999</v>
      </c>
      <c r="G44" s="101">
        <f>ROUND(D44*F44,0)</f>
        <v>25147</v>
      </c>
      <c r="H44" s="95"/>
      <c r="I44" s="95"/>
      <c r="J44" s="95"/>
      <c r="K44" s="100"/>
      <c r="L44" s="95"/>
      <c r="M44" s="96">
        <f>ROUND(G44*B$87,0)+ROUND((((G44*B$87)+G44)*A44),0)</f>
        <v>503</v>
      </c>
      <c r="N44" s="101">
        <f>G44+M44</f>
        <v>25650</v>
      </c>
      <c r="O44" s="363"/>
    </row>
    <row r="45" spans="1:20">
      <c r="A45" s="235">
        <v>1.84E-2</v>
      </c>
      <c r="B45" s="466"/>
      <c r="C45" s="295" t="s">
        <v>142</v>
      </c>
      <c r="D45" s="7">
        <v>1040</v>
      </c>
      <c r="E45" s="93">
        <f t="shared" ref="E45:E70" si="16">ROUND(D45/2080,2)</f>
        <v>0.5</v>
      </c>
      <c r="F45" s="94">
        <v>19.61</v>
      </c>
      <c r="G45" s="101">
        <f>ROUND(D45*F45,0)</f>
        <v>20394</v>
      </c>
      <c r="H45" s="95"/>
      <c r="I45" s="95"/>
      <c r="J45" s="95"/>
      <c r="K45" s="100"/>
      <c r="L45" s="95"/>
      <c r="M45" s="96">
        <f>ROUND(G45*B$87,0)+ROUND((((G45*B$87)+G45)*A45),0)</f>
        <v>791</v>
      </c>
      <c r="N45" s="101">
        <f t="shared" ref="N45:N47" si="17">G45+M45</f>
        <v>21185</v>
      </c>
      <c r="O45" s="363"/>
    </row>
    <row r="46" spans="1:20">
      <c r="A46" s="235">
        <v>2.0619999999999999E-2</v>
      </c>
      <c r="B46" s="467"/>
      <c r="C46" s="176" t="s">
        <v>145</v>
      </c>
      <c r="D46" s="7">
        <v>1040</v>
      </c>
      <c r="E46" s="117">
        <f t="shared" si="16"/>
        <v>0.5</v>
      </c>
      <c r="F46" s="200">
        <v>19.09</v>
      </c>
      <c r="G46" s="101">
        <f>ROUND(D46*F46,0)</f>
        <v>19854</v>
      </c>
      <c r="H46" s="95"/>
      <c r="I46" s="95"/>
      <c r="J46" s="95"/>
      <c r="K46" s="100"/>
      <c r="L46" s="95"/>
      <c r="M46" s="96">
        <f>ROUND(G46*B$87,0)+ROUND((((G46*B$87)+G46)*A46),0)</f>
        <v>815</v>
      </c>
      <c r="N46" s="101">
        <f>G46+M46</f>
        <v>20669</v>
      </c>
      <c r="O46" s="379"/>
    </row>
    <row r="47" spans="1:20">
      <c r="A47" s="235">
        <v>0</v>
      </c>
      <c r="B47" s="467"/>
      <c r="C47" s="176" t="s">
        <v>143</v>
      </c>
      <c r="D47" s="7">
        <v>1040</v>
      </c>
      <c r="E47" s="93">
        <f t="shared" si="16"/>
        <v>0.5</v>
      </c>
      <c r="F47" s="199">
        <v>20.149999999999999</v>
      </c>
      <c r="G47" s="101">
        <f>ROUND(F47*D47,0)</f>
        <v>20956</v>
      </c>
      <c r="H47" s="125"/>
      <c r="I47" s="95"/>
      <c r="J47" s="95"/>
      <c r="K47" s="100"/>
      <c r="L47" s="95"/>
      <c r="M47" s="96">
        <f>ROUND(G47*B$87,0)+ROUND((((G47*B$87)+G47)*A47),0)</f>
        <v>419</v>
      </c>
      <c r="N47" s="101">
        <f t="shared" si="17"/>
        <v>21375</v>
      </c>
      <c r="O47" s="379"/>
    </row>
    <row r="48" spans="1:20">
      <c r="A48" s="235">
        <v>2.53E-2</v>
      </c>
      <c r="B48" s="467"/>
      <c r="C48" s="176" t="s">
        <v>373</v>
      </c>
      <c r="D48" s="7">
        <v>1040</v>
      </c>
      <c r="E48" s="93">
        <f t="shared" si="16"/>
        <v>0.5</v>
      </c>
      <c r="F48" s="199">
        <v>23.55</v>
      </c>
      <c r="G48" s="101">
        <f>ROUND(F48*D48,0)</f>
        <v>24492</v>
      </c>
      <c r="H48" s="125"/>
      <c r="I48" s="95"/>
      <c r="J48" s="95"/>
      <c r="K48" s="100"/>
      <c r="L48" s="95"/>
      <c r="M48" s="96">
        <f>ROUND(G48*B$87,0)+ROUND((((G48*B$87)+G48)*A48),0)</f>
        <v>1122</v>
      </c>
      <c r="N48" s="101">
        <f t="shared" ref="N48" si="18">G48+M48</f>
        <v>25614</v>
      </c>
      <c r="O48" s="379"/>
    </row>
    <row r="49" spans="1:20">
      <c r="A49" s="235"/>
      <c r="B49" s="467"/>
      <c r="C49" s="176"/>
      <c r="E49" s="93"/>
      <c r="F49" s="199"/>
      <c r="G49" s="101"/>
      <c r="H49" s="125"/>
      <c r="I49" s="95"/>
      <c r="J49" s="95"/>
      <c r="K49" s="100"/>
      <c r="L49" s="95"/>
      <c r="M49" s="96"/>
      <c r="N49" s="101"/>
      <c r="O49" s="379"/>
    </row>
    <row r="50" spans="1:20">
      <c r="A50" s="235"/>
      <c r="B50" s="467"/>
      <c r="C50" s="176"/>
      <c r="E50" s="93"/>
      <c r="F50" s="199"/>
      <c r="G50" s="101"/>
      <c r="H50" s="125"/>
      <c r="I50" s="95"/>
      <c r="J50" s="95"/>
      <c r="K50" s="100"/>
      <c r="L50" s="95"/>
      <c r="M50" s="96"/>
      <c r="N50" s="101"/>
      <c r="O50" s="379"/>
    </row>
    <row r="51" spans="1:20">
      <c r="A51" s="279"/>
      <c r="B51" s="469"/>
      <c r="C51" s="176" t="s">
        <v>151</v>
      </c>
      <c r="E51" s="93"/>
      <c r="F51" s="57"/>
      <c r="G51" s="253">
        <f>SUM(G44:G50)</f>
        <v>110843</v>
      </c>
      <c r="H51" s="95"/>
      <c r="I51" s="95"/>
      <c r="J51" s="95"/>
      <c r="K51" s="95"/>
      <c r="L51" s="95"/>
      <c r="M51" s="96"/>
      <c r="N51" s="101"/>
      <c r="O51" s="379"/>
      <c r="S51" s="57">
        <f>+N21</f>
        <v>0</v>
      </c>
    </row>
    <row r="52" spans="1:20">
      <c r="A52" s="279"/>
      <c r="B52" s="469"/>
      <c r="C52" s="471"/>
      <c r="D52" s="10"/>
      <c r="E52" s="93"/>
      <c r="F52" s="119"/>
      <c r="G52" s="101"/>
      <c r="H52" s="125"/>
      <c r="I52" s="95"/>
      <c r="J52" s="95"/>
      <c r="K52" s="100"/>
      <c r="L52" s="95"/>
      <c r="M52" s="96"/>
      <c r="N52" s="101"/>
      <c r="O52" s="379"/>
      <c r="S52" s="57" t="e">
        <f>+N49+#REF!</f>
        <v>#REF!</v>
      </c>
    </row>
    <row r="53" spans="1:20">
      <c r="A53" s="280"/>
      <c r="B53" s="469"/>
      <c r="C53" s="471" t="s">
        <v>152</v>
      </c>
      <c r="D53" s="10"/>
      <c r="E53" s="93"/>
      <c r="F53" s="94"/>
      <c r="G53" s="254"/>
      <c r="H53" s="95"/>
      <c r="I53" s="95"/>
      <c r="J53" s="95"/>
      <c r="K53" s="100"/>
      <c r="L53" s="95"/>
      <c r="M53" s="96"/>
      <c r="N53" s="101"/>
      <c r="O53" s="379"/>
      <c r="S53" s="57" t="e">
        <f>++S51+S52</f>
        <v>#REF!</v>
      </c>
    </row>
    <row r="54" spans="1:20">
      <c r="A54" s="235">
        <v>2.0400000000000001E-2</v>
      </c>
      <c r="B54" s="467"/>
      <c r="C54" s="295" t="s">
        <v>153</v>
      </c>
      <c r="D54" s="7">
        <v>832</v>
      </c>
      <c r="E54" s="93">
        <f t="shared" ref="E54:E62" si="19">ROUND(D54/2080,2)</f>
        <v>0.4</v>
      </c>
      <c r="F54" s="199">
        <v>17.59</v>
      </c>
      <c r="G54" s="101">
        <f>ROUND(D54*F54,0)</f>
        <v>14635</v>
      </c>
      <c r="H54" s="95"/>
      <c r="I54" s="115"/>
      <c r="J54" s="95"/>
      <c r="K54" s="95"/>
      <c r="L54" s="95"/>
      <c r="M54" s="96">
        <f t="shared" ref="M54:M61" si="20">ROUND(G54*B$87,0)+ROUND((((G54*B$87)+G54)*A54),0)</f>
        <v>598</v>
      </c>
      <c r="N54" s="101">
        <f t="shared" ref="N54" si="21">G54+M54</f>
        <v>15233</v>
      </c>
      <c r="O54" s="379"/>
      <c r="S54" s="7" t="e">
        <f>+S53*6.8%</f>
        <v>#REF!</v>
      </c>
    </row>
    <row r="55" spans="1:20">
      <c r="A55" s="235">
        <v>1.4200000000000001E-2</v>
      </c>
      <c r="B55" s="467"/>
      <c r="C55" s="295" t="s">
        <v>154</v>
      </c>
      <c r="D55" s="7">
        <v>1040</v>
      </c>
      <c r="E55" s="93">
        <v>0.5</v>
      </c>
      <c r="F55" s="199">
        <v>17.59</v>
      </c>
      <c r="G55" s="101">
        <f>ROUND(D55*F55,0)</f>
        <v>18294</v>
      </c>
      <c r="H55" s="95"/>
      <c r="I55" s="115"/>
      <c r="J55" s="95"/>
      <c r="K55" s="100"/>
      <c r="L55" s="95"/>
      <c r="M55" s="96">
        <f t="shared" si="20"/>
        <v>631</v>
      </c>
      <c r="N55" s="101">
        <f>G55+M55</f>
        <v>18925</v>
      </c>
      <c r="O55" s="379"/>
      <c r="S55" s="7" t="e">
        <f>+S53*7.65%</f>
        <v>#REF!</v>
      </c>
    </row>
    <row r="56" spans="1:20">
      <c r="A56" s="235">
        <v>2.52E-2</v>
      </c>
      <c r="B56" s="467"/>
      <c r="C56" s="176" t="s">
        <v>399</v>
      </c>
      <c r="D56" s="7">
        <v>832</v>
      </c>
      <c r="E56" s="93">
        <f t="shared" si="19"/>
        <v>0.4</v>
      </c>
      <c r="F56" s="199">
        <v>16.670000000000002</v>
      </c>
      <c r="G56" s="101">
        <f>ROUND(D56*F56,0)</f>
        <v>13869</v>
      </c>
      <c r="H56" s="95"/>
      <c r="I56" s="115"/>
      <c r="J56" s="95"/>
      <c r="K56" s="100"/>
      <c r="L56" s="95"/>
      <c r="M56" s="96">
        <f t="shared" si="20"/>
        <v>633</v>
      </c>
      <c r="N56" s="101">
        <f>G56+M56</f>
        <v>14502</v>
      </c>
      <c r="O56" s="379"/>
      <c r="S56" s="57" t="e">
        <f>+S54+S53+S55</f>
        <v>#REF!</v>
      </c>
    </row>
    <row r="57" spans="1:20">
      <c r="A57" s="452">
        <v>2.64E-2</v>
      </c>
      <c r="B57" s="468"/>
      <c r="C57" s="451" t="s">
        <v>400</v>
      </c>
      <c r="D57" s="443">
        <v>1040</v>
      </c>
      <c r="E57" s="453">
        <f t="shared" si="19"/>
        <v>0.5</v>
      </c>
      <c r="F57" s="462">
        <v>16.670000000000002</v>
      </c>
      <c r="G57" s="458">
        <f>ROUND(D57*F57,0)</f>
        <v>17337</v>
      </c>
      <c r="H57" s="455"/>
      <c r="I57" s="477"/>
      <c r="J57" s="455"/>
      <c r="K57" s="455"/>
      <c r="L57" s="455"/>
      <c r="M57" s="457">
        <f t="shared" si="20"/>
        <v>814</v>
      </c>
      <c r="N57" s="454">
        <f>G57+M57</f>
        <v>18151</v>
      </c>
      <c r="O57" s="410" t="s">
        <v>445</v>
      </c>
      <c r="S57" s="57">
        <f>+N105</f>
        <v>0</v>
      </c>
    </row>
    <row r="58" spans="1:20">
      <c r="A58" s="235">
        <v>2.64E-2</v>
      </c>
      <c r="B58" s="467"/>
      <c r="C58" s="176" t="s">
        <v>401</v>
      </c>
      <c r="D58" s="7">
        <v>1040</v>
      </c>
      <c r="E58" s="93">
        <v>0.5</v>
      </c>
      <c r="F58" s="94">
        <v>17.12</v>
      </c>
      <c r="G58" s="254">
        <f>ROUND(D58*F58,0)</f>
        <v>17805</v>
      </c>
      <c r="H58" s="95"/>
      <c r="I58" s="115"/>
      <c r="J58" s="95"/>
      <c r="K58" s="95"/>
      <c r="L58" s="95"/>
      <c r="M58" s="96">
        <f t="shared" si="20"/>
        <v>835</v>
      </c>
      <c r="N58" s="101">
        <f>G58+M58</f>
        <v>18640</v>
      </c>
      <c r="O58" s="483"/>
      <c r="S58" s="57">
        <f>+N123</f>
        <v>272.5</v>
      </c>
    </row>
    <row r="59" spans="1:20">
      <c r="A59" s="235">
        <v>1.8499999999999999E-2</v>
      </c>
      <c r="B59" s="202"/>
      <c r="C59" s="295" t="s">
        <v>155</v>
      </c>
      <c r="D59" s="7">
        <v>1040</v>
      </c>
      <c r="E59" s="93">
        <f t="shared" si="19"/>
        <v>0.5</v>
      </c>
      <c r="F59" s="199">
        <v>18.649999999999999</v>
      </c>
      <c r="G59" s="101">
        <f t="shared" ref="G59:G68" si="22">ROUND(F59*D59,0)</f>
        <v>19396</v>
      </c>
      <c r="H59" s="125"/>
      <c r="I59" s="95"/>
      <c r="J59" s="95"/>
      <c r="K59" s="100"/>
      <c r="L59" s="95"/>
      <c r="M59" s="96">
        <f t="shared" si="20"/>
        <v>754</v>
      </c>
      <c r="N59" s="101">
        <f t="shared" ref="N59:N68" si="23">G59+M59</f>
        <v>20150</v>
      </c>
      <c r="O59" s="380"/>
      <c r="S59" s="57">
        <f>+N147</f>
        <v>0</v>
      </c>
    </row>
    <row r="60" spans="1:20">
      <c r="A60" s="235">
        <f>0.23%*3</f>
        <v>6.8999999999999999E-3</v>
      </c>
      <c r="B60" s="202"/>
      <c r="C60" s="176" t="s">
        <v>432</v>
      </c>
      <c r="D60" s="7">
        <v>832</v>
      </c>
      <c r="E60" s="93">
        <v>0.4</v>
      </c>
      <c r="F60" s="199">
        <v>17.12</v>
      </c>
      <c r="G60" s="101">
        <f t="shared" si="22"/>
        <v>14244</v>
      </c>
      <c r="H60" s="125"/>
      <c r="I60" s="95"/>
      <c r="J60" s="95"/>
      <c r="K60" s="100"/>
      <c r="L60" s="95"/>
      <c r="M60" s="96">
        <f t="shared" si="20"/>
        <v>385</v>
      </c>
      <c r="N60" s="101">
        <f t="shared" ref="N60" si="24">G60+M60</f>
        <v>14629</v>
      </c>
      <c r="O60" s="380"/>
      <c r="S60" s="57" t="e">
        <f>SUM(S56:S59)</f>
        <v>#REF!</v>
      </c>
      <c r="T60" s="7" t="s">
        <v>417</v>
      </c>
    </row>
    <row r="61" spans="1:20">
      <c r="A61" s="281">
        <v>9.1999999999999998E-3</v>
      </c>
      <c r="B61" s="203"/>
      <c r="C61" s="176" t="s">
        <v>402</v>
      </c>
      <c r="D61" s="7">
        <v>832</v>
      </c>
      <c r="E61" s="93">
        <f t="shared" si="19"/>
        <v>0.4</v>
      </c>
      <c r="F61" s="199">
        <v>16.670000000000002</v>
      </c>
      <c r="G61" s="101">
        <f t="shared" si="22"/>
        <v>13869</v>
      </c>
      <c r="H61" s="125"/>
      <c r="I61" s="115"/>
      <c r="J61" s="95"/>
      <c r="K61" s="100"/>
      <c r="L61" s="95"/>
      <c r="M61" s="96">
        <f t="shared" si="20"/>
        <v>407</v>
      </c>
      <c r="N61" s="101">
        <f t="shared" si="23"/>
        <v>14276</v>
      </c>
      <c r="O61" s="379"/>
    </row>
    <row r="62" spans="1:20">
      <c r="A62" s="475"/>
      <c r="B62" s="476"/>
      <c r="C62" s="451" t="s">
        <v>467</v>
      </c>
      <c r="D62" s="443">
        <v>1248</v>
      </c>
      <c r="E62" s="453">
        <f t="shared" si="19"/>
        <v>0.6</v>
      </c>
      <c r="F62" s="463">
        <v>16.670000000000002</v>
      </c>
      <c r="G62" s="454">
        <f t="shared" si="22"/>
        <v>20804</v>
      </c>
      <c r="H62" s="464"/>
      <c r="I62" s="477"/>
      <c r="J62" s="455"/>
      <c r="K62" s="456"/>
      <c r="L62" s="455"/>
      <c r="M62" s="457">
        <f t="shared" ref="M62:M68" si="25">ROUND(G62*B$87,0)</f>
        <v>416</v>
      </c>
      <c r="N62" s="454">
        <f t="shared" si="23"/>
        <v>21220</v>
      </c>
      <c r="O62" s="410" t="s">
        <v>431</v>
      </c>
      <c r="Q62" s="7" t="s">
        <v>415</v>
      </c>
    </row>
    <row r="63" spans="1:20">
      <c r="A63" s="281"/>
      <c r="B63" s="405"/>
      <c r="C63" s="472" t="s">
        <v>447</v>
      </c>
      <c r="D63" s="406">
        <v>0</v>
      </c>
      <c r="E63" s="407">
        <v>0</v>
      </c>
      <c r="F63" s="408">
        <v>16.670000000000002</v>
      </c>
      <c r="G63" s="409">
        <f t="shared" si="22"/>
        <v>0</v>
      </c>
      <c r="H63" s="125"/>
      <c r="I63" s="115"/>
      <c r="J63" s="95"/>
      <c r="K63" s="100"/>
      <c r="L63" s="95"/>
      <c r="M63" s="96">
        <f t="shared" si="25"/>
        <v>0</v>
      </c>
      <c r="N63" s="101">
        <f t="shared" si="23"/>
        <v>0</v>
      </c>
      <c r="O63" s="410" t="s">
        <v>436</v>
      </c>
    </row>
    <row r="64" spans="1:20">
      <c r="A64" s="281"/>
      <c r="B64" s="405"/>
      <c r="C64" s="472" t="s">
        <v>433</v>
      </c>
      <c r="D64" s="406">
        <v>832</v>
      </c>
      <c r="E64" s="407">
        <v>0.4</v>
      </c>
      <c r="F64" s="408">
        <v>16.670000000000002</v>
      </c>
      <c r="G64" s="409">
        <f t="shared" si="22"/>
        <v>13869</v>
      </c>
      <c r="H64" s="125"/>
      <c r="I64" s="115"/>
      <c r="J64" s="95"/>
      <c r="K64" s="100"/>
      <c r="L64" s="95"/>
      <c r="M64" s="96">
        <f t="shared" si="25"/>
        <v>277</v>
      </c>
      <c r="N64" s="101">
        <f t="shared" si="23"/>
        <v>14146</v>
      </c>
      <c r="O64" s="379"/>
    </row>
    <row r="65" spans="1:17">
      <c r="A65" s="281"/>
      <c r="B65" s="405"/>
      <c r="C65" s="472" t="s">
        <v>434</v>
      </c>
      <c r="D65" s="406">
        <v>832</v>
      </c>
      <c r="E65" s="407">
        <v>0.4</v>
      </c>
      <c r="F65" s="408">
        <v>16.670000000000002</v>
      </c>
      <c r="G65" s="409">
        <f t="shared" si="22"/>
        <v>13869</v>
      </c>
      <c r="H65" s="125"/>
      <c r="I65" s="115"/>
      <c r="J65" s="95"/>
      <c r="K65" s="100"/>
      <c r="L65" s="95"/>
      <c r="M65" s="96">
        <f t="shared" si="25"/>
        <v>277</v>
      </c>
      <c r="N65" s="101">
        <f t="shared" si="23"/>
        <v>14146</v>
      </c>
      <c r="O65" s="379"/>
    </row>
    <row r="66" spans="1:17">
      <c r="A66" s="281"/>
      <c r="B66" s="405"/>
      <c r="C66" s="472" t="s">
        <v>435</v>
      </c>
      <c r="D66" s="406">
        <v>832</v>
      </c>
      <c r="E66" s="407">
        <v>0.4</v>
      </c>
      <c r="F66" s="408">
        <v>16.670000000000002</v>
      </c>
      <c r="G66" s="409">
        <f t="shared" si="22"/>
        <v>13869</v>
      </c>
      <c r="H66" s="125"/>
      <c r="I66" s="115"/>
      <c r="J66" s="95"/>
      <c r="K66" s="100"/>
      <c r="L66" s="95"/>
      <c r="M66" s="96">
        <f t="shared" si="25"/>
        <v>277</v>
      </c>
      <c r="N66" s="101">
        <f t="shared" si="23"/>
        <v>14146</v>
      </c>
      <c r="O66" s="379"/>
    </row>
    <row r="67" spans="1:17">
      <c r="A67" s="281"/>
      <c r="B67" s="202"/>
      <c r="C67" s="176" t="s">
        <v>466</v>
      </c>
      <c r="D67" s="7">
        <v>832</v>
      </c>
      <c r="E67" s="93">
        <v>0.4</v>
      </c>
      <c r="F67" s="199">
        <v>16.670000000000002</v>
      </c>
      <c r="G67" s="101">
        <f t="shared" si="22"/>
        <v>13869</v>
      </c>
      <c r="H67" s="125"/>
      <c r="I67" s="115"/>
      <c r="J67" s="95"/>
      <c r="K67" s="100"/>
      <c r="L67" s="95"/>
      <c r="M67" s="96">
        <f t="shared" si="25"/>
        <v>277</v>
      </c>
      <c r="N67" s="101">
        <f t="shared" si="23"/>
        <v>14146</v>
      </c>
      <c r="O67" s="379"/>
    </row>
    <row r="68" spans="1:17">
      <c r="A68" s="281"/>
      <c r="B68" s="202"/>
      <c r="C68" s="176" t="s">
        <v>465</v>
      </c>
      <c r="D68" s="7">
        <v>416</v>
      </c>
      <c r="E68" s="93">
        <v>0.2</v>
      </c>
      <c r="F68" s="199">
        <v>16.670000000000002</v>
      </c>
      <c r="G68" s="101">
        <f t="shared" si="22"/>
        <v>6935</v>
      </c>
      <c r="H68" s="125"/>
      <c r="I68" s="115"/>
      <c r="J68" s="95"/>
      <c r="K68" s="100"/>
      <c r="L68" s="95"/>
      <c r="M68" s="96">
        <f t="shared" si="25"/>
        <v>139</v>
      </c>
      <c r="N68" s="101">
        <f t="shared" si="23"/>
        <v>7074</v>
      </c>
      <c r="O68" s="379"/>
    </row>
    <row r="69" spans="1:17">
      <c r="A69" s="235"/>
      <c r="B69" s="403"/>
      <c r="C69" s="176" t="s">
        <v>156</v>
      </c>
      <c r="D69" s="7">
        <v>480</v>
      </c>
      <c r="E69" s="93">
        <f t="shared" si="16"/>
        <v>0.23</v>
      </c>
      <c r="F69" s="94">
        <v>18.25</v>
      </c>
      <c r="G69" s="254">
        <f>ROUND(D69*F69,0)</f>
        <v>8760</v>
      </c>
      <c r="H69" s="95"/>
      <c r="I69" s="95"/>
      <c r="J69" s="95"/>
      <c r="K69" s="100"/>
      <c r="L69" s="95"/>
      <c r="M69" s="96">
        <f>ROUND(G69*A69,0)</f>
        <v>0</v>
      </c>
      <c r="N69" s="101">
        <f>G69+M69</f>
        <v>8760</v>
      </c>
      <c r="O69" s="410" t="s">
        <v>437</v>
      </c>
    </row>
    <row r="70" spans="1:17">
      <c r="A70" s="235"/>
      <c r="B70" s="92"/>
      <c r="C70" s="176" t="s">
        <v>156</v>
      </c>
      <c r="D70" s="7">
        <v>240</v>
      </c>
      <c r="E70" s="93">
        <f t="shared" si="16"/>
        <v>0.12</v>
      </c>
      <c r="F70" s="94">
        <v>18.25</v>
      </c>
      <c r="G70" s="277">
        <f>ROUND(D70*F70,0)</f>
        <v>4380</v>
      </c>
      <c r="H70" s="95"/>
      <c r="I70" s="95"/>
      <c r="J70" s="95"/>
      <c r="K70" s="100"/>
      <c r="L70" s="95"/>
      <c r="M70" s="96">
        <f>ROUND(G70*A70,0)</f>
        <v>0</v>
      </c>
      <c r="N70" s="101">
        <f>G70+M70</f>
        <v>4380</v>
      </c>
      <c r="O70" s="410"/>
      <c r="Q70" s="7" t="s">
        <v>416</v>
      </c>
    </row>
    <row r="71" spans="1:17">
      <c r="A71" s="176"/>
      <c r="C71" s="176" t="s">
        <v>157</v>
      </c>
      <c r="E71" s="93"/>
      <c r="F71" s="57"/>
      <c r="G71" s="253">
        <f>SUM(G53:G70)</f>
        <v>225804</v>
      </c>
      <c r="H71" s="95"/>
      <c r="I71" s="95"/>
      <c r="J71" s="95"/>
      <c r="K71" s="95"/>
      <c r="L71" s="95"/>
      <c r="M71" s="96"/>
      <c r="N71" s="101"/>
      <c r="O71" s="363"/>
    </row>
    <row r="72" spans="1:17">
      <c r="A72" s="176"/>
      <c r="B72" s="38"/>
      <c r="C72" s="473" t="s">
        <v>158</v>
      </c>
      <c r="E72" s="93"/>
      <c r="F72" s="120"/>
      <c r="G72" s="101">
        <f t="shared" ref="G72:G85" si="26">ROUND(D72*F72,0)</f>
        <v>0</v>
      </c>
      <c r="H72" s="95"/>
      <c r="I72" s="95"/>
      <c r="J72" s="95"/>
      <c r="K72" s="100"/>
      <c r="L72" s="95"/>
      <c r="M72" s="96"/>
      <c r="N72" s="101">
        <f t="shared" ref="N72:N85" si="27">G72+M72</f>
        <v>0</v>
      </c>
      <c r="O72" s="363"/>
    </row>
    <row r="73" spans="1:17">
      <c r="A73" s="233"/>
      <c r="C73" s="474" t="s">
        <v>448</v>
      </c>
      <c r="D73" s="26">
        <v>520</v>
      </c>
      <c r="E73" s="93">
        <f>ROUND(D73/2080,2)</f>
        <v>0.25</v>
      </c>
      <c r="F73" s="122">
        <v>11.5</v>
      </c>
      <c r="G73" s="101">
        <f t="shared" si="26"/>
        <v>5980</v>
      </c>
      <c r="H73" s="95"/>
      <c r="I73" s="95"/>
      <c r="J73" s="95"/>
      <c r="K73" s="100"/>
      <c r="L73" s="95"/>
      <c r="M73" s="96">
        <f t="shared" ref="M73:M85" si="28">ROUND(G73*A73,0)</f>
        <v>0</v>
      </c>
      <c r="N73" s="101">
        <f t="shared" si="27"/>
        <v>5980</v>
      </c>
      <c r="O73" s="363" t="s">
        <v>430</v>
      </c>
    </row>
    <row r="74" spans="1:17">
      <c r="A74" s="233"/>
      <c r="C74" s="474" t="s">
        <v>418</v>
      </c>
      <c r="D74" s="26">
        <v>520</v>
      </c>
      <c r="E74" s="93">
        <f t="shared" ref="E74:E85" si="29">ROUND(D74/2080,2)</f>
        <v>0.25</v>
      </c>
      <c r="F74" s="122">
        <v>11.5</v>
      </c>
      <c r="G74" s="101">
        <f t="shared" si="26"/>
        <v>5980</v>
      </c>
      <c r="H74" s="95"/>
      <c r="I74" s="95"/>
      <c r="J74" s="95"/>
      <c r="K74" s="100"/>
      <c r="L74" s="95"/>
      <c r="M74" s="96">
        <f t="shared" si="28"/>
        <v>0</v>
      </c>
      <c r="N74" s="101">
        <f t="shared" si="27"/>
        <v>5980</v>
      </c>
      <c r="O74" s="363"/>
    </row>
    <row r="75" spans="1:17">
      <c r="A75" s="233"/>
      <c r="C75" s="474" t="s">
        <v>419</v>
      </c>
      <c r="D75" s="26">
        <v>520</v>
      </c>
      <c r="E75" s="93">
        <f t="shared" si="29"/>
        <v>0.25</v>
      </c>
      <c r="F75" s="122">
        <v>11.5</v>
      </c>
      <c r="G75" s="101">
        <f t="shared" si="26"/>
        <v>5980</v>
      </c>
      <c r="H75" s="95"/>
      <c r="I75" s="95"/>
      <c r="J75" s="95"/>
      <c r="K75" s="100"/>
      <c r="L75" s="95"/>
      <c r="M75" s="96">
        <f t="shared" si="28"/>
        <v>0</v>
      </c>
      <c r="N75" s="101">
        <f t="shared" si="27"/>
        <v>5980</v>
      </c>
      <c r="O75" s="363"/>
    </row>
    <row r="76" spans="1:17">
      <c r="A76" s="233"/>
      <c r="C76" s="474" t="s">
        <v>420</v>
      </c>
      <c r="D76" s="26">
        <v>520</v>
      </c>
      <c r="E76" s="93">
        <f t="shared" si="29"/>
        <v>0.25</v>
      </c>
      <c r="F76" s="122">
        <v>9.5</v>
      </c>
      <c r="G76" s="101">
        <f t="shared" si="26"/>
        <v>4940</v>
      </c>
      <c r="H76" s="95"/>
      <c r="I76" s="95"/>
      <c r="J76" s="95"/>
      <c r="K76" s="100"/>
      <c r="L76" s="95"/>
      <c r="M76" s="96">
        <f t="shared" si="28"/>
        <v>0</v>
      </c>
      <c r="N76" s="101">
        <f t="shared" si="27"/>
        <v>4940</v>
      </c>
      <c r="O76" s="363"/>
    </row>
    <row r="77" spans="1:17">
      <c r="A77" s="233"/>
      <c r="C77" s="474" t="s">
        <v>414</v>
      </c>
      <c r="D77" s="26">
        <v>520</v>
      </c>
      <c r="E77" s="93">
        <f t="shared" si="29"/>
        <v>0.25</v>
      </c>
      <c r="F77" s="122">
        <v>9.5</v>
      </c>
      <c r="G77" s="101">
        <f t="shared" si="26"/>
        <v>4940</v>
      </c>
      <c r="H77" s="95"/>
      <c r="I77" s="95"/>
      <c r="J77" s="95"/>
      <c r="K77" s="100"/>
      <c r="L77" s="95"/>
      <c r="M77" s="96">
        <f t="shared" si="28"/>
        <v>0</v>
      </c>
      <c r="N77" s="101">
        <f t="shared" si="27"/>
        <v>4940</v>
      </c>
      <c r="O77" s="363"/>
    </row>
    <row r="78" spans="1:17">
      <c r="A78" s="233"/>
      <c r="C78" s="474" t="s">
        <v>414</v>
      </c>
      <c r="D78" s="26">
        <v>416</v>
      </c>
      <c r="E78" s="93">
        <f t="shared" si="29"/>
        <v>0.2</v>
      </c>
      <c r="F78" s="122">
        <v>9.5</v>
      </c>
      <c r="G78" s="254">
        <f t="shared" si="26"/>
        <v>3952</v>
      </c>
      <c r="H78" s="95"/>
      <c r="I78" s="95"/>
      <c r="J78" s="95"/>
      <c r="K78" s="100"/>
      <c r="L78" s="95"/>
      <c r="M78" s="96">
        <f t="shared" si="28"/>
        <v>0</v>
      </c>
      <c r="N78" s="101">
        <f t="shared" si="27"/>
        <v>3952</v>
      </c>
      <c r="O78" s="363"/>
    </row>
    <row r="79" spans="1:17">
      <c r="A79" s="233"/>
      <c r="C79" s="474" t="s">
        <v>421</v>
      </c>
      <c r="D79" s="26">
        <v>520</v>
      </c>
      <c r="E79" s="93">
        <f t="shared" si="29"/>
        <v>0.25</v>
      </c>
      <c r="F79" s="122">
        <v>11.5</v>
      </c>
      <c r="G79" s="254">
        <f t="shared" si="26"/>
        <v>5980</v>
      </c>
      <c r="H79" s="95"/>
      <c r="I79" s="95"/>
      <c r="J79" s="95"/>
      <c r="K79" s="100"/>
      <c r="L79" s="95"/>
      <c r="M79" s="96">
        <f t="shared" si="28"/>
        <v>0</v>
      </c>
      <c r="N79" s="101">
        <f t="shared" si="27"/>
        <v>5980</v>
      </c>
      <c r="O79" s="363"/>
    </row>
    <row r="80" spans="1:17">
      <c r="A80" s="233"/>
      <c r="C80" s="474" t="s">
        <v>414</v>
      </c>
      <c r="D80" s="26">
        <v>416</v>
      </c>
      <c r="E80" s="93">
        <f t="shared" si="29"/>
        <v>0.2</v>
      </c>
      <c r="F80" s="122">
        <v>9.5</v>
      </c>
      <c r="G80" s="254">
        <f t="shared" si="26"/>
        <v>3952</v>
      </c>
      <c r="H80" s="95"/>
      <c r="I80" s="95"/>
      <c r="J80" s="95"/>
      <c r="K80" s="100"/>
      <c r="L80" s="95"/>
      <c r="M80" s="96">
        <f t="shared" si="28"/>
        <v>0</v>
      </c>
      <c r="N80" s="101">
        <f t="shared" si="27"/>
        <v>3952</v>
      </c>
      <c r="O80" s="363"/>
    </row>
    <row r="81" spans="1:15">
      <c r="A81" s="233"/>
      <c r="C81" s="474" t="s">
        <v>414</v>
      </c>
      <c r="D81" s="26">
        <v>416</v>
      </c>
      <c r="E81" s="93">
        <f t="shared" si="29"/>
        <v>0.2</v>
      </c>
      <c r="F81" s="122">
        <v>9.5</v>
      </c>
      <c r="G81" s="254">
        <f t="shared" si="26"/>
        <v>3952</v>
      </c>
      <c r="H81" s="95"/>
      <c r="I81" s="95"/>
      <c r="J81" s="95"/>
      <c r="K81" s="100"/>
      <c r="L81" s="95"/>
      <c r="M81" s="96">
        <f t="shared" si="28"/>
        <v>0</v>
      </c>
      <c r="N81" s="101">
        <f t="shared" si="27"/>
        <v>3952</v>
      </c>
      <c r="O81" s="363"/>
    </row>
    <row r="82" spans="1:15">
      <c r="A82" s="233"/>
      <c r="C82" s="474" t="s">
        <v>414</v>
      </c>
      <c r="D82" s="26">
        <v>416</v>
      </c>
      <c r="E82" s="93">
        <f t="shared" si="29"/>
        <v>0.2</v>
      </c>
      <c r="F82" s="122">
        <v>9.5</v>
      </c>
      <c r="G82" s="254">
        <f t="shared" si="26"/>
        <v>3952</v>
      </c>
      <c r="H82" s="95"/>
      <c r="I82" s="95"/>
      <c r="J82" s="95"/>
      <c r="K82" s="100"/>
      <c r="L82" s="95"/>
      <c r="M82" s="96">
        <f t="shared" si="28"/>
        <v>0</v>
      </c>
      <c r="N82" s="101">
        <f t="shared" si="27"/>
        <v>3952</v>
      </c>
      <c r="O82" s="363"/>
    </row>
    <row r="83" spans="1:15">
      <c r="A83" s="233"/>
      <c r="C83" s="474" t="s">
        <v>414</v>
      </c>
      <c r="D83" s="26">
        <v>416</v>
      </c>
      <c r="E83" s="93">
        <f t="shared" ref="E83" si="30">ROUND(D83/2080,2)</f>
        <v>0.2</v>
      </c>
      <c r="F83" s="122">
        <v>9.5</v>
      </c>
      <c r="G83" s="254">
        <f t="shared" ref="G83" si="31">ROUND(D83*F83,0)</f>
        <v>3952</v>
      </c>
      <c r="H83" s="95"/>
      <c r="I83" s="95"/>
      <c r="J83" s="95"/>
      <c r="K83" s="100"/>
      <c r="L83" s="95"/>
      <c r="M83" s="96">
        <f t="shared" ref="M83" si="32">ROUND(G83*A83,0)</f>
        <v>0</v>
      </c>
      <c r="N83" s="101">
        <f t="shared" ref="N83" si="33">G83+M83</f>
        <v>3952</v>
      </c>
      <c r="O83" s="363"/>
    </row>
    <row r="84" spans="1:15">
      <c r="A84" s="233"/>
      <c r="C84" s="474" t="s">
        <v>414</v>
      </c>
      <c r="D84" s="26">
        <v>416</v>
      </c>
      <c r="E84" s="93">
        <f t="shared" si="29"/>
        <v>0.2</v>
      </c>
      <c r="F84" s="122">
        <v>9.5</v>
      </c>
      <c r="G84" s="254">
        <f t="shared" si="26"/>
        <v>3952</v>
      </c>
      <c r="H84" s="95"/>
      <c r="I84" s="95"/>
      <c r="J84" s="95"/>
      <c r="K84" s="100"/>
      <c r="L84" s="95"/>
      <c r="M84" s="96">
        <f t="shared" si="28"/>
        <v>0</v>
      </c>
      <c r="N84" s="101">
        <f t="shared" si="27"/>
        <v>3952</v>
      </c>
      <c r="O84" s="363"/>
    </row>
    <row r="85" spans="1:15">
      <c r="A85" s="233"/>
      <c r="C85" s="474" t="s">
        <v>414</v>
      </c>
      <c r="D85" s="26">
        <v>416</v>
      </c>
      <c r="E85" s="93">
        <f t="shared" si="29"/>
        <v>0.2</v>
      </c>
      <c r="F85" s="122">
        <v>9.5</v>
      </c>
      <c r="G85" s="254">
        <f t="shared" si="26"/>
        <v>3952</v>
      </c>
      <c r="H85" s="95"/>
      <c r="I85" s="95"/>
      <c r="J85" s="95"/>
      <c r="K85" s="100"/>
      <c r="L85" s="95"/>
      <c r="M85" s="96">
        <f t="shared" si="28"/>
        <v>0</v>
      </c>
      <c r="N85" s="101">
        <f t="shared" si="27"/>
        <v>3952</v>
      </c>
      <c r="O85" s="363"/>
    </row>
    <row r="86" spans="1:15">
      <c r="A86" s="282"/>
      <c r="B86" s="470"/>
      <c r="C86" s="176" t="s">
        <v>159</v>
      </c>
      <c r="D86" s="57">
        <f>SUM(D73:D85)</f>
        <v>6032</v>
      </c>
      <c r="E86" s="93"/>
      <c r="F86" s="57"/>
      <c r="G86" s="101">
        <f>SUM(G73:G85)</f>
        <v>61464</v>
      </c>
      <c r="H86" s="95"/>
      <c r="I86" s="95"/>
      <c r="J86" s="95"/>
      <c r="K86" s="100"/>
      <c r="L86" s="95"/>
      <c r="M86" s="96"/>
      <c r="N86" s="101"/>
      <c r="O86" s="363"/>
    </row>
    <row r="87" spans="1:15">
      <c r="A87" s="268" t="s">
        <v>160</v>
      </c>
      <c r="B87" s="112">
        <v>0.02</v>
      </c>
      <c r="C87" s="460" t="s">
        <v>161</v>
      </c>
      <c r="E87" s="93"/>
      <c r="F87" s="57"/>
      <c r="G87" s="255">
        <f>G71+G86+G51</f>
        <v>398111</v>
      </c>
      <c r="H87" s="105"/>
      <c r="I87" s="104"/>
      <c r="J87" s="104"/>
      <c r="K87" s="105"/>
      <c r="L87" s="105"/>
      <c r="M87" s="104"/>
      <c r="N87" s="277"/>
      <c r="O87" s="363"/>
    </row>
    <row r="88" spans="1:15" ht="15.75" thickBot="1">
      <c r="A88" s="283" t="s">
        <v>162</v>
      </c>
      <c r="B88" s="196"/>
      <c r="C88" s="461" t="s">
        <v>137</v>
      </c>
      <c r="D88" s="258"/>
      <c r="E88" s="259"/>
      <c r="F88" s="267"/>
      <c r="G88" s="261">
        <v>355727</v>
      </c>
      <c r="H88" s="371">
        <f>'LINE ITEM EXP'!C11</f>
        <v>297938</v>
      </c>
      <c r="I88" s="372">
        <f>'LINE ITEM EXP'!$D$11</f>
        <v>178881</v>
      </c>
      <c r="J88" s="372">
        <f>'LINE ITEM EXP'!E11</f>
        <v>355727</v>
      </c>
      <c r="K88" s="373">
        <f>G88</f>
        <v>355727</v>
      </c>
      <c r="L88" s="373">
        <f>G87</f>
        <v>398111</v>
      </c>
      <c r="M88" s="372">
        <f>SUM(M44:M87)</f>
        <v>10370</v>
      </c>
      <c r="N88" s="375">
        <f>SUM(N44:N87)</f>
        <v>408481</v>
      </c>
      <c r="O88" s="376"/>
    </row>
    <row r="89" spans="1:15">
      <c r="A89" s="168">
        <v>130</v>
      </c>
      <c r="B89" s="445" t="s">
        <v>163</v>
      </c>
      <c r="C89" s="249"/>
      <c r="D89" s="249"/>
      <c r="E89" s="274" t="s">
        <v>164</v>
      </c>
      <c r="F89" s="285" t="s">
        <v>7</v>
      </c>
      <c r="G89" s="276" t="s">
        <v>126</v>
      </c>
      <c r="H89" s="95"/>
      <c r="I89" s="95"/>
      <c r="J89" s="95"/>
      <c r="K89" s="95"/>
      <c r="L89" s="95"/>
      <c r="M89" s="104"/>
      <c r="N89" s="277"/>
      <c r="O89" s="363"/>
    </row>
    <row r="90" spans="1:15">
      <c r="A90" s="286"/>
      <c r="B90" s="446"/>
      <c r="C90" s="7" t="s">
        <v>374</v>
      </c>
      <c r="D90" s="7" t="s">
        <v>165</v>
      </c>
      <c r="E90" s="124">
        <v>1429.55</v>
      </c>
      <c r="F90" s="112">
        <f>E11</f>
        <v>1</v>
      </c>
      <c r="G90" s="101">
        <f t="shared" ref="G90:G104" si="34">ROUND(E90*12*F90,0)</f>
        <v>17155</v>
      </c>
      <c r="H90" s="95"/>
      <c r="I90" s="95"/>
      <c r="J90" s="95"/>
      <c r="K90" s="95"/>
      <c r="L90" s="95"/>
      <c r="M90" s="96">
        <v>0</v>
      </c>
      <c r="N90" s="101">
        <f t="shared" ref="N90:N104" si="35">G90+M90</f>
        <v>17155</v>
      </c>
      <c r="O90" s="363"/>
    </row>
    <row r="91" spans="1:15">
      <c r="A91" s="287"/>
      <c r="B91" s="447"/>
      <c r="C91" s="7" t="s">
        <v>349</v>
      </c>
      <c r="D91" s="7" t="s">
        <v>166</v>
      </c>
      <c r="E91" s="124">
        <v>582.67999999999995</v>
      </c>
      <c r="F91" s="112">
        <v>1</v>
      </c>
      <c r="G91" s="101">
        <f t="shared" si="34"/>
        <v>6992</v>
      </c>
      <c r="H91" s="95"/>
      <c r="I91" s="95"/>
      <c r="J91" s="95"/>
      <c r="K91" s="95"/>
      <c r="L91" s="95"/>
      <c r="M91" s="96">
        <v>0</v>
      </c>
      <c r="N91" s="101">
        <f t="shared" si="35"/>
        <v>6992</v>
      </c>
      <c r="O91" s="363"/>
    </row>
    <row r="92" spans="1:15">
      <c r="A92" s="288"/>
      <c r="B92" s="447"/>
      <c r="C92" s="7" t="s">
        <v>167</v>
      </c>
      <c r="D92" s="7" t="s">
        <v>166</v>
      </c>
      <c r="E92" s="124">
        <v>582.67999999999995</v>
      </c>
      <c r="F92" s="112">
        <v>1</v>
      </c>
      <c r="G92" s="289">
        <f>ROUND(E92*12*F92,0)</f>
        <v>6992</v>
      </c>
      <c r="H92" s="26"/>
      <c r="I92" s="99"/>
      <c r="J92" s="95"/>
      <c r="K92" s="95"/>
      <c r="L92" s="95"/>
      <c r="M92" s="96">
        <v>0</v>
      </c>
      <c r="N92" s="101">
        <f t="shared" si="35"/>
        <v>6992</v>
      </c>
      <c r="O92" s="363"/>
    </row>
    <row r="93" spans="1:15">
      <c r="A93" s="288"/>
      <c r="B93" s="447"/>
      <c r="C93" s="7" t="s">
        <v>375</v>
      </c>
      <c r="D93" s="7" t="s">
        <v>166</v>
      </c>
      <c r="E93" s="93">
        <v>582.67999999999995</v>
      </c>
      <c r="F93" s="112">
        <v>1</v>
      </c>
      <c r="G93" s="289">
        <f>ROUND(E93*12*F93,0)</f>
        <v>6992</v>
      </c>
      <c r="H93" s="441"/>
      <c r="I93" s="125"/>
      <c r="J93" s="95"/>
      <c r="K93" s="95"/>
      <c r="L93" s="95"/>
      <c r="M93" s="96">
        <v>0</v>
      </c>
      <c r="N93" s="101">
        <f t="shared" si="35"/>
        <v>6992</v>
      </c>
      <c r="O93" s="363"/>
    </row>
    <row r="94" spans="1:15">
      <c r="A94" s="176"/>
      <c r="B94" s="447"/>
      <c r="C94" s="7" t="s">
        <v>376</v>
      </c>
      <c r="D94" s="7" t="s">
        <v>165</v>
      </c>
      <c r="E94" s="124">
        <v>1429.55</v>
      </c>
      <c r="F94" s="112">
        <v>0.6</v>
      </c>
      <c r="G94" s="101">
        <f>ROUND(E94*7,0)</f>
        <v>10007</v>
      </c>
      <c r="H94" s="125"/>
      <c r="I94" s="95"/>
      <c r="J94" s="95"/>
      <c r="K94" s="95"/>
      <c r="L94" s="95"/>
      <c r="M94" s="96">
        <v>0</v>
      </c>
      <c r="N94" s="101">
        <f t="shared" si="35"/>
        <v>10007</v>
      </c>
      <c r="O94" s="363"/>
    </row>
    <row r="95" spans="1:15">
      <c r="A95" s="290" t="s">
        <v>168</v>
      </c>
      <c r="B95" s="446"/>
      <c r="C95" s="7" t="s">
        <v>377</v>
      </c>
      <c r="D95" s="239"/>
      <c r="E95" s="240"/>
      <c r="F95" s="112"/>
      <c r="G95" s="289"/>
      <c r="H95" s="125"/>
      <c r="I95" s="95"/>
      <c r="J95" s="95"/>
      <c r="K95" s="95"/>
      <c r="L95" s="95"/>
      <c r="M95" s="96">
        <v>0</v>
      </c>
      <c r="N95" s="101">
        <f t="shared" si="35"/>
        <v>0</v>
      </c>
      <c r="O95" s="363"/>
    </row>
    <row r="96" spans="1:15">
      <c r="A96" s="290"/>
      <c r="B96" s="446"/>
      <c r="C96" s="7" t="s">
        <v>169</v>
      </c>
      <c r="D96" s="239" t="s">
        <v>165</v>
      </c>
      <c r="E96" s="240">
        <v>1429.55</v>
      </c>
      <c r="F96" s="112">
        <v>1</v>
      </c>
      <c r="G96" s="101">
        <f t="shared" si="34"/>
        <v>17155</v>
      </c>
      <c r="H96" s="125"/>
      <c r="I96" s="95"/>
      <c r="J96" s="95"/>
      <c r="K96" s="95"/>
      <c r="L96" s="95"/>
      <c r="M96" s="96">
        <v>0</v>
      </c>
      <c r="N96" s="101">
        <f t="shared" si="35"/>
        <v>17155</v>
      </c>
      <c r="O96" s="363"/>
    </row>
    <row r="97" spans="1:15">
      <c r="A97" s="290"/>
      <c r="B97" s="446"/>
      <c r="C97" s="7" t="s">
        <v>378</v>
      </c>
      <c r="D97" s="7" t="s">
        <v>166</v>
      </c>
      <c r="E97" s="124">
        <v>582.67999999999995</v>
      </c>
      <c r="F97" s="112">
        <f>E17</f>
        <v>1</v>
      </c>
      <c r="G97" s="101">
        <f t="shared" ref="G97" si="36">ROUND(E97*12*F97,0)</f>
        <v>6992</v>
      </c>
      <c r="H97" s="95"/>
      <c r="I97" s="95"/>
      <c r="J97" s="95"/>
      <c r="K97" s="95"/>
      <c r="L97" s="95"/>
      <c r="M97" s="96">
        <v>0</v>
      </c>
      <c r="N97" s="101">
        <f t="shared" si="35"/>
        <v>6992</v>
      </c>
      <c r="O97" s="363"/>
    </row>
    <row r="98" spans="1:15">
      <c r="A98" s="290"/>
      <c r="B98" s="447"/>
      <c r="C98" s="7" t="s">
        <v>379</v>
      </c>
      <c r="D98" s="7" t="s">
        <v>165</v>
      </c>
      <c r="E98" s="124">
        <v>1429.55</v>
      </c>
      <c r="F98" s="112">
        <v>0.5</v>
      </c>
      <c r="G98" s="101">
        <f>ROUND(E98*6,0)</f>
        <v>8577</v>
      </c>
      <c r="H98" s="125"/>
      <c r="I98" s="95"/>
      <c r="J98" s="95"/>
      <c r="K98" s="95"/>
      <c r="L98" s="95"/>
      <c r="M98" s="96">
        <v>0</v>
      </c>
      <c r="N98" s="101">
        <f t="shared" si="35"/>
        <v>8577</v>
      </c>
      <c r="O98" s="363"/>
    </row>
    <row r="99" spans="1:15">
      <c r="A99" s="290" t="s">
        <v>168</v>
      </c>
      <c r="B99" s="448" t="s">
        <v>170</v>
      </c>
      <c r="C99" s="7" t="s">
        <v>380</v>
      </c>
      <c r="E99" s="240">
        <v>0</v>
      </c>
      <c r="F99" s="112">
        <v>1</v>
      </c>
      <c r="G99" s="289">
        <f t="shared" ref="G99:G101" si="37">ROUND(E99*12,0)</f>
        <v>0</v>
      </c>
      <c r="H99" s="125"/>
      <c r="I99" s="95"/>
      <c r="J99" s="95"/>
      <c r="K99" s="95"/>
      <c r="L99" s="95"/>
      <c r="M99" s="96">
        <v>0</v>
      </c>
      <c r="N99" s="101">
        <f t="shared" si="35"/>
        <v>0</v>
      </c>
      <c r="O99" s="363"/>
    </row>
    <row r="100" spans="1:15">
      <c r="A100" s="290"/>
      <c r="B100" s="447"/>
      <c r="C100" s="7" t="s">
        <v>381</v>
      </c>
      <c r="D100" s="7" t="s">
        <v>166</v>
      </c>
      <c r="E100" s="241">
        <v>582.67999999999995</v>
      </c>
      <c r="F100" s="112">
        <v>1</v>
      </c>
      <c r="G100" s="101">
        <f t="shared" si="37"/>
        <v>6992</v>
      </c>
      <c r="H100" s="125"/>
      <c r="I100" s="115"/>
      <c r="J100" s="95"/>
      <c r="K100" s="95"/>
      <c r="L100" s="95"/>
      <c r="M100" s="96">
        <v>0</v>
      </c>
      <c r="N100" s="101">
        <f>G100+M100</f>
        <v>6992</v>
      </c>
      <c r="O100" s="363"/>
    </row>
    <row r="101" spans="1:15">
      <c r="A101" s="290" t="s">
        <v>168</v>
      </c>
      <c r="B101" s="448" t="s">
        <v>170</v>
      </c>
      <c r="C101" s="7" t="s">
        <v>382</v>
      </c>
      <c r="E101" s="241">
        <v>0</v>
      </c>
      <c r="F101" s="112">
        <v>1</v>
      </c>
      <c r="G101" s="101">
        <f t="shared" si="37"/>
        <v>0</v>
      </c>
      <c r="H101" s="284"/>
      <c r="I101" s="115"/>
      <c r="J101" s="95"/>
      <c r="K101" s="95"/>
      <c r="L101" s="95"/>
      <c r="M101" s="96">
        <v>0</v>
      </c>
      <c r="N101" s="101">
        <f>G101+M101</f>
        <v>0</v>
      </c>
      <c r="O101" s="363"/>
    </row>
    <row r="102" spans="1:15">
      <c r="A102" s="290" t="s">
        <v>168</v>
      </c>
      <c r="B102" s="448"/>
      <c r="C102" s="7" t="s">
        <v>383</v>
      </c>
      <c r="E102" s="124">
        <v>0</v>
      </c>
      <c r="F102" s="112">
        <v>0.5</v>
      </c>
      <c r="G102" s="289">
        <f t="shared" si="34"/>
        <v>0</v>
      </c>
      <c r="H102" s="26"/>
      <c r="I102" s="99"/>
      <c r="J102" s="95"/>
      <c r="K102" s="95"/>
      <c r="L102" s="95"/>
      <c r="M102" s="96">
        <v>0</v>
      </c>
      <c r="N102" s="101">
        <f t="shared" si="35"/>
        <v>0</v>
      </c>
      <c r="O102" s="363"/>
    </row>
    <row r="103" spans="1:15">
      <c r="A103" s="290" t="s">
        <v>168</v>
      </c>
      <c r="B103" s="446"/>
      <c r="C103" s="7" t="s">
        <v>384</v>
      </c>
      <c r="E103" s="124">
        <v>0</v>
      </c>
      <c r="F103" s="112">
        <v>0.5</v>
      </c>
      <c r="G103" s="289">
        <f t="shared" si="34"/>
        <v>0</v>
      </c>
      <c r="H103" s="441"/>
      <c r="I103" s="115"/>
      <c r="J103" s="95"/>
      <c r="K103" s="95"/>
      <c r="L103" s="95"/>
      <c r="M103" s="96">
        <v>0</v>
      </c>
      <c r="N103" s="101">
        <f t="shared" si="35"/>
        <v>0</v>
      </c>
      <c r="O103" s="363"/>
    </row>
    <row r="104" spans="1:15">
      <c r="A104" s="290" t="s">
        <v>168</v>
      </c>
      <c r="B104" s="448" t="s">
        <v>170</v>
      </c>
      <c r="C104" s="7" t="s">
        <v>385</v>
      </c>
      <c r="D104" s="7" t="s">
        <v>165</v>
      </c>
      <c r="E104" s="124">
        <v>0</v>
      </c>
      <c r="F104" s="112">
        <v>1</v>
      </c>
      <c r="G104" s="101">
        <f t="shared" si="34"/>
        <v>0</v>
      </c>
      <c r="H104" s="125"/>
      <c r="I104" s="115"/>
      <c r="J104" s="115"/>
      <c r="K104" s="115"/>
      <c r="L104" s="115"/>
      <c r="M104" s="96">
        <v>0</v>
      </c>
      <c r="N104" s="254">
        <f t="shared" si="35"/>
        <v>0</v>
      </c>
      <c r="O104" s="363"/>
    </row>
    <row r="105" spans="1:15">
      <c r="A105" s="176"/>
      <c r="B105" s="478"/>
      <c r="E105" s="124"/>
      <c r="F105" s="112"/>
      <c r="G105" s="101"/>
      <c r="H105" s="95"/>
      <c r="I105" s="95"/>
      <c r="J105" s="95"/>
      <c r="K105" s="95"/>
      <c r="L105" s="95"/>
      <c r="M105" s="96"/>
      <c r="N105" s="101"/>
      <c r="O105" s="363"/>
    </row>
    <row r="106" spans="1:15">
      <c r="A106" s="176"/>
      <c r="B106" s="449"/>
      <c r="E106" s="93"/>
      <c r="F106" s="92"/>
      <c r="G106" s="101"/>
      <c r="H106" s="95"/>
      <c r="I106" s="95"/>
      <c r="J106" s="95"/>
      <c r="K106" s="95"/>
      <c r="L106" s="95"/>
      <c r="M106" s="96"/>
      <c r="N106" s="101"/>
      <c r="O106" s="363"/>
    </row>
    <row r="107" spans="1:15">
      <c r="A107" s="287"/>
      <c r="B107" s="231"/>
      <c r="C107" s="444" t="s">
        <v>171</v>
      </c>
      <c r="E107" s="93"/>
      <c r="F107" s="94"/>
      <c r="G107" s="253">
        <f>SUM(G90:G106)</f>
        <v>87854</v>
      </c>
      <c r="H107" s="105"/>
      <c r="I107" s="104"/>
      <c r="J107" s="104"/>
      <c r="K107" s="105"/>
      <c r="L107" s="105"/>
      <c r="M107" s="104"/>
      <c r="N107" s="101"/>
      <c r="O107" s="363"/>
    </row>
    <row r="108" spans="1:15">
      <c r="A108" s="195"/>
      <c r="B108" s="450"/>
      <c r="C108" s="271" t="s">
        <v>137</v>
      </c>
      <c r="D108" s="291"/>
      <c r="E108" s="259"/>
      <c r="F108" s="267"/>
      <c r="G108" s="261">
        <v>96243</v>
      </c>
      <c r="H108" s="371">
        <f>'LINE ITEM EXP'!C12</f>
        <v>66867</v>
      </c>
      <c r="I108" s="372">
        <f>'LINE ITEM EXP'!D12</f>
        <v>48317</v>
      </c>
      <c r="J108" s="372">
        <f>'LINE ITEM EXP'!E12</f>
        <v>96243</v>
      </c>
      <c r="K108" s="373">
        <f>G108</f>
        <v>96243</v>
      </c>
      <c r="L108" s="373">
        <f>G107</f>
        <v>87854</v>
      </c>
      <c r="M108" s="372">
        <f>SUM(M90:M107)</f>
        <v>0</v>
      </c>
      <c r="N108" s="374">
        <f>SUM(N90:N107)</f>
        <v>87854</v>
      </c>
      <c r="O108" s="363"/>
    </row>
    <row r="109" spans="1:15">
      <c r="A109" s="292"/>
      <c r="B109" s="249"/>
      <c r="C109" s="292"/>
      <c r="D109" s="262" t="s">
        <v>127</v>
      </c>
      <c r="E109" s="262" t="s">
        <v>165</v>
      </c>
      <c r="F109" s="262" t="s">
        <v>172</v>
      </c>
      <c r="G109" s="293" t="s">
        <v>173</v>
      </c>
      <c r="H109" s="95"/>
      <c r="I109" s="95"/>
      <c r="J109" s="95"/>
      <c r="K109" s="95"/>
      <c r="L109" s="95"/>
      <c r="M109" s="104"/>
      <c r="N109" s="277"/>
      <c r="O109" s="363"/>
    </row>
    <row r="110" spans="1:15">
      <c r="A110" s="180">
        <v>131</v>
      </c>
      <c r="B110" s="10" t="s">
        <v>174</v>
      </c>
      <c r="C110" s="176" t="s">
        <v>386</v>
      </c>
      <c r="D110" s="127">
        <v>0</v>
      </c>
      <c r="E110" s="57">
        <f>160.35*12</f>
        <v>1924.1999999999998</v>
      </c>
      <c r="F110" s="57">
        <v>0</v>
      </c>
      <c r="G110" s="101">
        <v>0</v>
      </c>
      <c r="H110" s="95"/>
      <c r="I110" s="95"/>
      <c r="J110" s="95"/>
      <c r="K110" s="95"/>
      <c r="L110" s="95"/>
      <c r="M110" s="96">
        <v>0</v>
      </c>
      <c r="N110" s="101">
        <f>SUM(D110:G110)+M110</f>
        <v>1924.1999999999998</v>
      </c>
      <c r="O110" s="363"/>
    </row>
    <row r="111" spans="1:15">
      <c r="A111" s="180"/>
      <c r="B111" s="10"/>
      <c r="C111" s="176" t="s">
        <v>169</v>
      </c>
      <c r="D111" s="127">
        <v>0</v>
      </c>
      <c r="E111" s="57">
        <v>1924</v>
      </c>
      <c r="F111" s="57">
        <v>0</v>
      </c>
      <c r="G111" s="101">
        <v>0</v>
      </c>
      <c r="H111" s="95"/>
      <c r="I111" s="95"/>
      <c r="J111" s="95"/>
      <c r="K111" s="95"/>
      <c r="L111" s="95"/>
      <c r="M111" s="96">
        <v>0</v>
      </c>
      <c r="N111" s="101">
        <f>SUM(D111:G111)+M111</f>
        <v>1924</v>
      </c>
      <c r="O111" s="363"/>
    </row>
    <row r="112" spans="1:15">
      <c r="A112" s="176"/>
      <c r="C112" s="176" t="s">
        <v>387</v>
      </c>
      <c r="D112" s="127">
        <f>45.44*12</f>
        <v>545.28</v>
      </c>
      <c r="E112" s="57">
        <v>0</v>
      </c>
      <c r="F112" s="57">
        <v>0</v>
      </c>
      <c r="G112" s="101">
        <v>0</v>
      </c>
      <c r="H112" s="95"/>
      <c r="I112" s="95"/>
      <c r="J112" s="95"/>
      <c r="K112" s="95"/>
      <c r="L112" s="95"/>
      <c r="M112" s="96">
        <v>0</v>
      </c>
      <c r="N112" s="101">
        <f t="shared" ref="N112:N118" si="38">SUM(D112:G112)+M112</f>
        <v>545.28</v>
      </c>
      <c r="O112" s="363"/>
    </row>
    <row r="113" spans="1:15">
      <c r="A113" s="176"/>
      <c r="C113" s="176" t="s">
        <v>193</v>
      </c>
      <c r="D113" s="127">
        <v>545</v>
      </c>
      <c r="E113" s="57">
        <v>0</v>
      </c>
      <c r="F113" s="57">
        <v>0</v>
      </c>
      <c r="G113" s="101">
        <f>IF(D113="F",E113*12,F113*12)</f>
        <v>0</v>
      </c>
      <c r="H113" s="95"/>
      <c r="I113" s="95"/>
      <c r="J113" s="95"/>
      <c r="K113" s="95"/>
      <c r="L113" s="95"/>
      <c r="M113" s="96">
        <v>0</v>
      </c>
      <c r="N113" s="101">
        <f t="shared" si="38"/>
        <v>545</v>
      </c>
      <c r="O113" s="363"/>
    </row>
    <row r="114" spans="1:15">
      <c r="A114" s="176"/>
      <c r="C114" s="176" t="s">
        <v>388</v>
      </c>
      <c r="D114" s="127">
        <v>545</v>
      </c>
      <c r="E114" s="57">
        <v>0</v>
      </c>
      <c r="F114" s="57">
        <v>0</v>
      </c>
      <c r="G114" s="101">
        <v>0</v>
      </c>
      <c r="H114" s="95"/>
      <c r="I114" s="95"/>
      <c r="J114" s="95"/>
      <c r="K114" s="95"/>
      <c r="L114" s="95"/>
      <c r="M114" s="96">
        <v>0</v>
      </c>
      <c r="N114" s="101">
        <f t="shared" si="38"/>
        <v>545</v>
      </c>
      <c r="O114" s="363"/>
    </row>
    <row r="115" spans="1:15">
      <c r="A115" s="176"/>
      <c r="C115" s="176" t="s">
        <v>389</v>
      </c>
      <c r="D115" s="127">
        <v>0</v>
      </c>
      <c r="E115" s="57">
        <v>0</v>
      </c>
      <c r="F115" s="57">
        <v>0</v>
      </c>
      <c r="G115" s="101">
        <f>(89.47*12)*60%</f>
        <v>644.18399999999986</v>
      </c>
      <c r="H115" s="95"/>
      <c r="I115" s="95"/>
      <c r="J115" s="95"/>
      <c r="K115" s="95"/>
      <c r="L115" s="95"/>
      <c r="M115" s="96">
        <v>0</v>
      </c>
      <c r="N115" s="101">
        <f t="shared" si="38"/>
        <v>644.18399999999986</v>
      </c>
      <c r="O115" s="363"/>
    </row>
    <row r="116" spans="1:15">
      <c r="A116" s="176"/>
      <c r="C116" s="176" t="s">
        <v>390</v>
      </c>
      <c r="D116" s="127">
        <v>0</v>
      </c>
      <c r="E116" s="57">
        <v>962</v>
      </c>
      <c r="F116" s="57">
        <v>0</v>
      </c>
      <c r="G116" s="101">
        <v>0</v>
      </c>
      <c r="H116" s="95"/>
      <c r="I116" s="95"/>
      <c r="J116" s="95"/>
      <c r="K116" s="95"/>
      <c r="L116" s="95"/>
      <c r="M116" s="96">
        <v>0</v>
      </c>
      <c r="N116" s="101">
        <f t="shared" si="38"/>
        <v>962</v>
      </c>
      <c r="O116" s="363"/>
    </row>
    <row r="117" spans="1:15">
      <c r="A117" s="294"/>
      <c r="B117" s="128"/>
      <c r="C117" s="176" t="s">
        <v>377</v>
      </c>
      <c r="D117" s="127">
        <v>0</v>
      </c>
      <c r="E117" s="57">
        <v>0</v>
      </c>
      <c r="F117" s="57">
        <v>0</v>
      </c>
      <c r="G117" s="101">
        <f>89.47*12</f>
        <v>1073.6399999999999</v>
      </c>
      <c r="H117" s="95"/>
      <c r="I117" s="115"/>
      <c r="J117" s="95"/>
      <c r="K117" s="95"/>
      <c r="L117" s="95"/>
      <c r="M117" s="96">
        <v>0</v>
      </c>
      <c r="N117" s="101">
        <f t="shared" ref="N117" si="39">SUM(D117:G117)+M117</f>
        <v>1073.6399999999999</v>
      </c>
      <c r="O117" s="363"/>
    </row>
    <row r="118" spans="1:15">
      <c r="A118" s="176"/>
      <c r="B118" s="129"/>
      <c r="C118" s="176" t="s">
        <v>391</v>
      </c>
      <c r="D118" s="127">
        <v>0</v>
      </c>
      <c r="E118" s="57">
        <v>0</v>
      </c>
      <c r="F118" s="57">
        <v>0</v>
      </c>
      <c r="G118" s="101">
        <v>537</v>
      </c>
      <c r="H118" s="95"/>
      <c r="I118" s="95"/>
      <c r="J118" s="95"/>
      <c r="K118" s="95"/>
      <c r="L118" s="95"/>
      <c r="M118" s="96">
        <v>0</v>
      </c>
      <c r="N118" s="101">
        <f t="shared" si="38"/>
        <v>537</v>
      </c>
      <c r="O118" s="363"/>
    </row>
    <row r="119" spans="1:15">
      <c r="A119" s="176"/>
      <c r="B119" s="128"/>
      <c r="C119" s="176" t="s">
        <v>392</v>
      </c>
      <c r="D119" s="130">
        <v>545</v>
      </c>
      <c r="E119" s="98">
        <v>0</v>
      </c>
      <c r="F119" s="98">
        <v>0</v>
      </c>
      <c r="G119" s="254">
        <v>0</v>
      </c>
      <c r="H119" s="95"/>
      <c r="I119" s="95"/>
      <c r="J119" s="95"/>
      <c r="K119" s="95"/>
      <c r="L119" s="95"/>
      <c r="M119" s="96">
        <v>0</v>
      </c>
      <c r="N119" s="101">
        <f>SUM(D119:G119)+M119</f>
        <v>545</v>
      </c>
      <c r="O119" s="363"/>
    </row>
    <row r="120" spans="1:15">
      <c r="A120" s="176"/>
      <c r="B120" s="128"/>
      <c r="C120" s="176" t="s">
        <v>393</v>
      </c>
      <c r="D120" s="127">
        <v>545</v>
      </c>
      <c r="E120" s="57">
        <v>0</v>
      </c>
      <c r="F120" s="57">
        <v>0</v>
      </c>
      <c r="G120" s="101">
        <v>0</v>
      </c>
      <c r="H120" s="95"/>
      <c r="I120" s="95"/>
      <c r="J120" s="95"/>
      <c r="K120" s="95"/>
      <c r="L120" s="95"/>
      <c r="M120" s="96">
        <v>0</v>
      </c>
      <c r="N120" s="101">
        <f>SUM(D120:G120)+M120</f>
        <v>545</v>
      </c>
      <c r="O120" s="363"/>
    </row>
    <row r="121" spans="1:15">
      <c r="A121" s="176"/>
      <c r="B121" s="128"/>
      <c r="C121" s="176" t="s">
        <v>395</v>
      </c>
      <c r="D121" s="127">
        <v>545</v>
      </c>
      <c r="E121" s="57">
        <v>0</v>
      </c>
      <c r="F121" s="57">
        <v>0</v>
      </c>
      <c r="G121" s="101">
        <v>0</v>
      </c>
      <c r="H121" s="95"/>
      <c r="I121" s="95"/>
      <c r="J121" s="95"/>
      <c r="K121" s="95"/>
      <c r="L121" s="95"/>
      <c r="M121" s="96">
        <v>0</v>
      </c>
      <c r="N121" s="101">
        <f t="shared" ref="N121" si="40">SUM(D121:G121)+M121</f>
        <v>545</v>
      </c>
      <c r="O121" s="363"/>
    </row>
    <row r="122" spans="1:15">
      <c r="A122" s="295" t="s">
        <v>168</v>
      </c>
      <c r="B122" s="126" t="s">
        <v>170</v>
      </c>
      <c r="C122" s="176" t="s">
        <v>396</v>
      </c>
      <c r="D122" s="130">
        <v>0</v>
      </c>
      <c r="E122" s="98">
        <v>0</v>
      </c>
      <c r="F122" s="98">
        <v>0</v>
      </c>
      <c r="G122" s="254">
        <v>0</v>
      </c>
      <c r="H122" s="132"/>
      <c r="I122" s="132"/>
      <c r="J122" s="132"/>
      <c r="K122" s="132"/>
      <c r="L122" s="132"/>
      <c r="M122" s="96">
        <v>0</v>
      </c>
      <c r="N122" s="101">
        <f t="shared" ref="N122:N123" si="41">SUM(D122:G122)+M122</f>
        <v>0</v>
      </c>
      <c r="O122" s="363"/>
    </row>
    <row r="123" spans="1:15">
      <c r="A123" s="295"/>
      <c r="B123" s="126"/>
      <c r="C123" s="176" t="s">
        <v>463</v>
      </c>
      <c r="D123" s="130">
        <v>272.5</v>
      </c>
      <c r="E123" s="98"/>
      <c r="F123" s="98"/>
      <c r="G123" s="254"/>
      <c r="H123" s="132"/>
      <c r="I123" s="132"/>
      <c r="J123" s="132"/>
      <c r="K123" s="132"/>
      <c r="L123" s="132"/>
      <c r="M123" s="96"/>
      <c r="N123" s="101">
        <f t="shared" si="41"/>
        <v>272.5</v>
      </c>
      <c r="O123" s="363"/>
    </row>
    <row r="124" spans="1:15">
      <c r="A124" s="176"/>
      <c r="C124" s="176" t="s">
        <v>175</v>
      </c>
      <c r="D124" s="133">
        <f>SUM(D110:D123)</f>
        <v>3542.7799999999997</v>
      </c>
      <c r="E124" s="133">
        <f>SUM(E110:E123)</f>
        <v>4810.2</v>
      </c>
      <c r="F124" s="133">
        <f>SUM(F110:F123)</f>
        <v>0</v>
      </c>
      <c r="G124" s="296">
        <f>SUM(G110:G123)</f>
        <v>2254.8239999999996</v>
      </c>
      <c r="H124" s="95"/>
      <c r="I124" s="95"/>
      <c r="J124" s="95"/>
      <c r="K124" s="95"/>
      <c r="L124" s="95"/>
      <c r="M124" s="96"/>
      <c r="N124" s="101"/>
      <c r="O124" s="363"/>
    </row>
    <row r="125" spans="1:15">
      <c r="A125" s="176"/>
      <c r="C125" s="176"/>
      <c r="D125" s="6"/>
      <c r="E125" s="57"/>
      <c r="F125" s="57"/>
      <c r="G125" s="101"/>
      <c r="H125" s="95"/>
      <c r="I125" s="95"/>
      <c r="J125" s="95"/>
      <c r="K125" s="95"/>
      <c r="L125" s="95"/>
      <c r="M125" s="96">
        <v>0</v>
      </c>
      <c r="N125" s="101">
        <f>G125+M125</f>
        <v>0</v>
      </c>
      <c r="O125" s="363"/>
    </row>
    <row r="126" spans="1:15">
      <c r="A126" s="180"/>
      <c r="B126" s="459"/>
      <c r="C126" s="460" t="s">
        <v>176</v>
      </c>
      <c r="D126" s="134" t="s">
        <v>177</v>
      </c>
      <c r="E126" s="93"/>
      <c r="F126" s="94"/>
      <c r="G126" s="278">
        <f>+G124+F124+E124+D124</f>
        <v>10607.804</v>
      </c>
      <c r="H126" s="105"/>
      <c r="I126" s="104"/>
      <c r="J126" s="104"/>
      <c r="K126" s="105"/>
      <c r="L126" s="105"/>
      <c r="M126" s="104"/>
      <c r="N126" s="277"/>
      <c r="O126" s="363"/>
    </row>
    <row r="127" spans="1:15">
      <c r="A127" s="195"/>
      <c r="B127" s="196"/>
      <c r="C127" s="461" t="s">
        <v>137</v>
      </c>
      <c r="D127" s="258"/>
      <c r="E127" s="259"/>
      <c r="F127" s="267"/>
      <c r="G127" s="261">
        <v>8891</v>
      </c>
      <c r="H127" s="371">
        <f>'LINE ITEM EXP'!C13</f>
        <v>7373</v>
      </c>
      <c r="I127" s="372">
        <f>'LINE ITEM EXP'!D13</f>
        <v>4916</v>
      </c>
      <c r="J127" s="372">
        <f>'LINE ITEM EXP'!E13</f>
        <v>8891</v>
      </c>
      <c r="K127" s="373">
        <f>G127</f>
        <v>8891</v>
      </c>
      <c r="L127" s="373">
        <f>G126</f>
        <v>10607.804</v>
      </c>
      <c r="M127" s="372">
        <f>SUM(M110:M126)</f>
        <v>0</v>
      </c>
      <c r="N127" s="374">
        <f>SUM(N110:N126)</f>
        <v>10607.804</v>
      </c>
      <c r="O127" s="363"/>
    </row>
    <row r="128" spans="1:15">
      <c r="A128" s="180">
        <v>132</v>
      </c>
      <c r="B128" s="91" t="s">
        <v>178</v>
      </c>
      <c r="C128" s="87"/>
      <c r="D128" s="108" t="s">
        <v>131</v>
      </c>
      <c r="E128" s="109" t="s">
        <v>179</v>
      </c>
      <c r="F128" s="135" t="s">
        <v>180</v>
      </c>
      <c r="G128" s="136" t="s">
        <v>181</v>
      </c>
      <c r="H128" s="95"/>
      <c r="I128" s="95"/>
      <c r="J128" s="95"/>
      <c r="K128" s="95"/>
      <c r="L128" s="95"/>
      <c r="M128" s="96"/>
      <c r="N128" s="101"/>
      <c r="O128" s="363"/>
    </row>
    <row r="129" spans="1:15">
      <c r="A129" s="176"/>
      <c r="B129" s="88"/>
      <c r="C129" s="87"/>
      <c r="D129" s="111">
        <f>G22+G39+G87</f>
        <v>974708</v>
      </c>
      <c r="E129" s="112">
        <v>6.2E-2</v>
      </c>
      <c r="F129" s="112">
        <v>1.4500000000000001E-2</v>
      </c>
      <c r="G129" s="95">
        <f>ROUND(D129*(E129+F129),0)</f>
        <v>74565</v>
      </c>
      <c r="H129" s="95"/>
      <c r="I129" s="95"/>
      <c r="J129" s="95"/>
      <c r="K129" s="95"/>
      <c r="L129" s="95"/>
      <c r="M129" s="96">
        <f>ROUND((M23+M40+M88)*(E129+F129),0)</f>
        <v>2533</v>
      </c>
      <c r="N129" s="101">
        <f>G129+M129</f>
        <v>77098</v>
      </c>
      <c r="O129" s="379"/>
    </row>
    <row r="130" spans="1:15">
      <c r="A130" s="180"/>
      <c r="B130" s="91"/>
      <c r="C130" s="102" t="s">
        <v>182</v>
      </c>
      <c r="D130" s="38"/>
      <c r="E130" s="93"/>
      <c r="F130" s="94"/>
      <c r="G130" s="116">
        <f>SUM(G129:G129)</f>
        <v>74565</v>
      </c>
      <c r="H130" s="104"/>
      <c r="I130" s="104"/>
      <c r="J130" s="104"/>
      <c r="K130" s="105"/>
      <c r="L130" s="105"/>
      <c r="M130" s="104"/>
      <c r="N130" s="277"/>
      <c r="O130" s="363"/>
    </row>
    <row r="131" spans="1:15">
      <c r="A131" s="176"/>
      <c r="B131" s="88"/>
      <c r="C131" s="243" t="s">
        <v>137</v>
      </c>
      <c r="D131" s="244"/>
      <c r="E131" s="245"/>
      <c r="F131" s="246"/>
      <c r="G131" s="302">
        <v>70788</v>
      </c>
      <c r="H131" s="371">
        <f>'LINE ITEM EXP'!C14</f>
        <v>60540</v>
      </c>
      <c r="I131" s="372">
        <f>'LINE ITEM EXP'!D14</f>
        <v>31146</v>
      </c>
      <c r="J131" s="372">
        <f>'LINE ITEM EXP'!E14</f>
        <v>70788</v>
      </c>
      <c r="K131" s="373">
        <f>G131</f>
        <v>70788</v>
      </c>
      <c r="L131" s="373">
        <f>G130</f>
        <v>74565</v>
      </c>
      <c r="M131" s="372">
        <f>SUM(M129:M130)</f>
        <v>2533</v>
      </c>
      <c r="N131" s="374">
        <f>SUM(N129:N130)</f>
        <v>77098</v>
      </c>
      <c r="O131" s="363"/>
    </row>
    <row r="132" spans="1:15">
      <c r="A132" s="168">
        <v>133</v>
      </c>
      <c r="B132" s="169" t="s">
        <v>183</v>
      </c>
      <c r="C132" s="297">
        <v>43830</v>
      </c>
      <c r="D132" s="298" t="s">
        <v>184</v>
      </c>
      <c r="E132" s="299" t="s">
        <v>185</v>
      </c>
      <c r="F132" s="285" t="s">
        <v>186</v>
      </c>
      <c r="G132" s="276" t="s">
        <v>126</v>
      </c>
      <c r="H132" s="95"/>
      <c r="I132" s="95"/>
      <c r="J132" s="95"/>
      <c r="K132" s="95"/>
      <c r="L132" s="95"/>
      <c r="M132" s="104"/>
      <c r="N132" s="277"/>
      <c r="O132" s="363"/>
    </row>
    <row r="133" spans="1:15">
      <c r="A133" s="402">
        <f>DATEDIF((D133),(C$132),"y")</f>
        <v>46</v>
      </c>
      <c r="B133" s="91"/>
      <c r="C133" s="87" t="s">
        <v>386</v>
      </c>
      <c r="D133" s="400">
        <v>26911</v>
      </c>
      <c r="E133" s="111">
        <f>ROUNDUP(N11,-3)/1000</f>
        <v>86</v>
      </c>
      <c r="F133" s="94">
        <f t="shared" ref="F133:F146" si="42">IF(A133&lt;30,0.05,IF(AND(A133&gt;=30,A133&lt;=34),0.06,IF(AND(A133&gt;=35,A133&lt;=39),0.07,IF(AND(A133&gt;=40,A133&lt;=44),0.08,IF(AND(A133&gt;=45,A133&lt;=49),0.12,IF(AND(A133&gt;=50,A133&lt;=54),0.22,IF(AND(A133&gt;=55,A133&lt;=59),0.39,IF(AND(A133&gt;=60,A133&lt;=64),0.49,IF(AND(A133&gt;=65,A133&lt;=69),0.57,"")))))))))</f>
        <v>0.12</v>
      </c>
      <c r="G133" s="253">
        <f t="shared" ref="G133:G146" si="43">ROUND(+E133*F133*12,0)</f>
        <v>124</v>
      </c>
      <c r="H133" s="95"/>
      <c r="I133" s="95"/>
      <c r="J133" s="95"/>
      <c r="K133" s="95"/>
      <c r="L133" s="95"/>
      <c r="M133" s="96">
        <v>0</v>
      </c>
      <c r="N133" s="101">
        <f t="shared" ref="N133:N148" si="44">G133+M133</f>
        <v>124</v>
      </c>
      <c r="O133" s="363"/>
    </row>
    <row r="134" spans="1:15">
      <c r="A134" s="402">
        <f>DATEDIF((D134),(C$132),"y")</f>
        <v>53</v>
      </c>
      <c r="B134" s="91"/>
      <c r="C134" s="87" t="s">
        <v>169</v>
      </c>
      <c r="D134" s="400">
        <v>24175</v>
      </c>
      <c r="E134" s="111">
        <f>ROUNDUP(N19,-3)/1000</f>
        <v>50</v>
      </c>
      <c r="F134" s="94">
        <f t="shared" ref="F134" si="45">IF(A134&lt;30,0.05,IF(AND(A134&gt;=30,A134&lt;=34),0.06,IF(AND(A134&gt;=35,A134&lt;=39),0.07,IF(AND(A134&gt;=40,A134&lt;=44),0.08,IF(AND(A134&gt;=45,A134&lt;=49),0.12,IF(AND(A134&gt;=50,A134&lt;=54),0.22,IF(AND(A134&gt;=55,A134&lt;=59),0.39,IF(AND(A134&gt;=60,A134&lt;=64),0.49,IF(AND(A134&gt;=65,A134&lt;=69),0.57,"")))))))))</f>
        <v>0.22</v>
      </c>
      <c r="G134" s="253">
        <f t="shared" ref="G134" si="46">ROUND(+E134*F134*12,0)</f>
        <v>132</v>
      </c>
      <c r="H134" s="95"/>
      <c r="I134" s="95"/>
      <c r="J134" s="95"/>
      <c r="K134" s="95"/>
      <c r="L134" s="95"/>
      <c r="M134" s="96">
        <v>0</v>
      </c>
      <c r="N134" s="101">
        <f>+G134+M134</f>
        <v>132</v>
      </c>
      <c r="O134" s="363"/>
    </row>
    <row r="135" spans="1:15">
      <c r="A135" s="402">
        <f t="shared" ref="A135:A146" si="47">DATEDIF((D135),(C$132),"y")</f>
        <v>48</v>
      </c>
      <c r="B135" s="137" t="s">
        <v>187</v>
      </c>
      <c r="C135" s="87" t="s">
        <v>396</v>
      </c>
      <c r="D135" s="401">
        <v>26147</v>
      </c>
      <c r="E135" s="57">
        <v>0</v>
      </c>
      <c r="F135" s="94">
        <f t="shared" si="42"/>
        <v>0.12</v>
      </c>
      <c r="G135" s="289">
        <f t="shared" si="43"/>
        <v>0</v>
      </c>
      <c r="H135" s="95"/>
      <c r="I135" s="95"/>
      <c r="J135" s="95"/>
      <c r="K135" s="95"/>
      <c r="L135" s="95"/>
      <c r="M135" s="96">
        <v>0</v>
      </c>
      <c r="N135" s="101">
        <f t="shared" si="44"/>
        <v>0</v>
      </c>
      <c r="O135" s="363"/>
    </row>
    <row r="136" spans="1:15">
      <c r="A136" s="402">
        <f t="shared" si="47"/>
        <v>38</v>
      </c>
      <c r="B136" s="137"/>
      <c r="C136" s="87" t="s">
        <v>392</v>
      </c>
      <c r="D136" s="401">
        <v>29775</v>
      </c>
      <c r="E136" s="111">
        <f>ROUNDUP(N15,-3)/1000</f>
        <v>59</v>
      </c>
      <c r="F136" s="94">
        <f t="shared" si="42"/>
        <v>7.0000000000000007E-2</v>
      </c>
      <c r="G136" s="289">
        <f t="shared" si="43"/>
        <v>50</v>
      </c>
      <c r="H136" s="95"/>
      <c r="I136" s="95"/>
      <c r="J136" s="95"/>
      <c r="K136" s="95"/>
      <c r="L136" s="95"/>
      <c r="M136" s="96">
        <v>0</v>
      </c>
      <c r="N136" s="101">
        <f>G136+M136</f>
        <v>50</v>
      </c>
      <c r="O136" s="363"/>
    </row>
    <row r="137" spans="1:15">
      <c r="A137" s="402">
        <f t="shared" si="47"/>
        <v>31</v>
      </c>
      <c r="B137" s="137"/>
      <c r="C137" s="87" t="s">
        <v>393</v>
      </c>
      <c r="D137" s="400">
        <v>32306</v>
      </c>
      <c r="E137" s="111">
        <f>ROUNDUP(N18,-3)/1000</f>
        <v>53</v>
      </c>
      <c r="F137" s="94">
        <f t="shared" si="42"/>
        <v>0.06</v>
      </c>
      <c r="G137" s="289">
        <f t="shared" si="43"/>
        <v>38</v>
      </c>
      <c r="H137" s="95"/>
      <c r="I137" s="95"/>
      <c r="J137" s="95"/>
      <c r="K137" s="95"/>
      <c r="L137" s="95"/>
      <c r="M137" s="96">
        <v>0</v>
      </c>
      <c r="N137" s="101">
        <f>G137+M137</f>
        <v>38</v>
      </c>
      <c r="O137" s="363"/>
    </row>
    <row r="138" spans="1:15">
      <c r="A138" s="402">
        <f t="shared" si="47"/>
        <v>48</v>
      </c>
      <c r="B138" s="137" t="s">
        <v>187</v>
      </c>
      <c r="C138" s="87" t="s">
        <v>394</v>
      </c>
      <c r="D138" s="401">
        <v>26091</v>
      </c>
      <c r="E138" s="57">
        <v>0</v>
      </c>
      <c r="F138" s="94">
        <f t="shared" si="42"/>
        <v>0.12</v>
      </c>
      <c r="G138" s="289">
        <f t="shared" si="43"/>
        <v>0</v>
      </c>
      <c r="H138" s="95"/>
      <c r="I138" s="95"/>
      <c r="J138" s="95"/>
      <c r="K138" s="95"/>
      <c r="L138" s="95"/>
      <c r="M138" s="96">
        <v>0</v>
      </c>
      <c r="N138" s="101">
        <f>G138+M138</f>
        <v>0</v>
      </c>
      <c r="O138" s="363"/>
    </row>
    <row r="139" spans="1:15">
      <c r="A139" s="402">
        <f t="shared" si="47"/>
        <v>59</v>
      </c>
      <c r="B139" s="88"/>
      <c r="C139" s="87" t="s">
        <v>397</v>
      </c>
      <c r="D139" s="401">
        <v>22224</v>
      </c>
      <c r="E139" s="111">
        <f>ROUNDUP(N47,-3)/1000</f>
        <v>22</v>
      </c>
      <c r="F139" s="94">
        <f t="shared" si="42"/>
        <v>0.39</v>
      </c>
      <c r="G139" s="289">
        <f t="shared" si="43"/>
        <v>103</v>
      </c>
      <c r="H139" s="95"/>
      <c r="I139" s="95"/>
      <c r="J139" s="95"/>
      <c r="K139" s="95"/>
      <c r="L139" s="95"/>
      <c r="M139" s="96">
        <v>0</v>
      </c>
      <c r="N139" s="101">
        <f t="shared" si="44"/>
        <v>103</v>
      </c>
      <c r="O139" s="363"/>
    </row>
    <row r="140" spans="1:15">
      <c r="A140" s="402">
        <f t="shared" si="47"/>
        <v>47</v>
      </c>
      <c r="B140" s="88"/>
      <c r="C140" s="87" t="s">
        <v>193</v>
      </c>
      <c r="D140" s="401">
        <v>26300</v>
      </c>
      <c r="E140" s="111">
        <f>ROUNDUP(N13,-3)/1000</f>
        <v>59</v>
      </c>
      <c r="F140" s="94">
        <f t="shared" si="42"/>
        <v>0.12</v>
      </c>
      <c r="G140" s="289">
        <f t="shared" si="43"/>
        <v>85</v>
      </c>
      <c r="H140" s="95"/>
      <c r="I140" s="95"/>
      <c r="J140" s="95"/>
      <c r="K140" s="95"/>
      <c r="L140" s="95"/>
      <c r="M140" s="96">
        <v>0</v>
      </c>
      <c r="N140" s="101">
        <f t="shared" si="44"/>
        <v>85</v>
      </c>
      <c r="O140" s="363"/>
    </row>
    <row r="141" spans="1:15">
      <c r="A141" s="402"/>
      <c r="B141" s="88"/>
      <c r="C141" s="7" t="s">
        <v>395</v>
      </c>
      <c r="D141" s="400"/>
      <c r="E141" s="111">
        <f>ROUNDUP(N21,-3)/1000</f>
        <v>0</v>
      </c>
      <c r="F141" s="94">
        <f t="shared" si="42"/>
        <v>0.05</v>
      </c>
      <c r="G141" s="289">
        <f t="shared" si="43"/>
        <v>0</v>
      </c>
      <c r="H141" s="95"/>
      <c r="I141" s="95"/>
      <c r="J141" s="95"/>
      <c r="K141" s="95"/>
      <c r="L141" s="95"/>
      <c r="M141" s="96">
        <v>0</v>
      </c>
      <c r="N141" s="101">
        <f t="shared" si="44"/>
        <v>0</v>
      </c>
      <c r="O141" s="363"/>
    </row>
    <row r="142" spans="1:15">
      <c r="A142" s="402">
        <f t="shared" si="47"/>
        <v>30</v>
      </c>
      <c r="B142" s="88"/>
      <c r="C142" s="87" t="s">
        <v>387</v>
      </c>
      <c r="D142" s="401">
        <v>32771</v>
      </c>
      <c r="E142" s="111">
        <v>0</v>
      </c>
      <c r="F142" s="94">
        <f t="shared" si="42"/>
        <v>0.06</v>
      </c>
      <c r="G142" s="289">
        <f t="shared" si="43"/>
        <v>0</v>
      </c>
      <c r="H142" s="95"/>
      <c r="I142" s="95"/>
      <c r="J142" s="95"/>
      <c r="K142" s="95"/>
      <c r="L142" s="95"/>
      <c r="M142" s="96">
        <v>0</v>
      </c>
      <c r="N142" s="101">
        <f t="shared" si="44"/>
        <v>0</v>
      </c>
      <c r="O142" s="363"/>
    </row>
    <row r="143" spans="1:15">
      <c r="A143" s="402">
        <f t="shared" si="47"/>
        <v>60</v>
      </c>
      <c r="B143" s="88"/>
      <c r="C143" s="87" t="s">
        <v>388</v>
      </c>
      <c r="D143" s="400">
        <v>21628</v>
      </c>
      <c r="E143" s="111">
        <f>ROUNDUP(N14,-3)/1000</f>
        <v>60</v>
      </c>
      <c r="F143" s="94">
        <f t="shared" si="42"/>
        <v>0.49</v>
      </c>
      <c r="G143" s="289">
        <f t="shared" si="43"/>
        <v>353</v>
      </c>
      <c r="H143" s="95"/>
      <c r="I143" s="95"/>
      <c r="J143" s="95"/>
      <c r="K143" s="95"/>
      <c r="L143" s="95"/>
      <c r="M143" s="96">
        <v>0</v>
      </c>
      <c r="N143" s="101">
        <f t="shared" si="44"/>
        <v>353</v>
      </c>
      <c r="O143" s="363"/>
    </row>
    <row r="144" spans="1:15">
      <c r="A144" s="402">
        <f t="shared" si="47"/>
        <v>68</v>
      </c>
      <c r="B144" s="137" t="s">
        <v>187</v>
      </c>
      <c r="C144" s="87" t="s">
        <v>383</v>
      </c>
      <c r="D144" s="400">
        <v>18714</v>
      </c>
      <c r="E144" s="57">
        <v>0</v>
      </c>
      <c r="F144" s="94">
        <f t="shared" si="42"/>
        <v>0.56999999999999995</v>
      </c>
      <c r="G144" s="289">
        <f t="shared" si="43"/>
        <v>0</v>
      </c>
      <c r="H144" s="95"/>
      <c r="I144" s="95"/>
      <c r="J144" s="95"/>
      <c r="K144" s="95"/>
      <c r="L144" s="95"/>
      <c r="M144" s="96">
        <v>0</v>
      </c>
      <c r="N144" s="101">
        <f>G144+M144</f>
        <v>0</v>
      </c>
      <c r="O144" s="363"/>
    </row>
    <row r="145" spans="1:15">
      <c r="A145" s="402">
        <f>DATEDIF((D145),(C$132),"y")</f>
        <v>29</v>
      </c>
      <c r="B145" s="91"/>
      <c r="C145" s="87" t="s">
        <v>377</v>
      </c>
      <c r="D145" s="400">
        <v>33130</v>
      </c>
      <c r="E145" s="111">
        <f>ROUNDUP(N17,-3)/1000</f>
        <v>51</v>
      </c>
      <c r="F145" s="94">
        <f t="shared" si="42"/>
        <v>0.05</v>
      </c>
      <c r="G145" s="253">
        <f t="shared" si="43"/>
        <v>31</v>
      </c>
      <c r="H145" s="95"/>
      <c r="I145" s="95"/>
      <c r="J145" s="95"/>
      <c r="K145" s="95"/>
      <c r="L145" s="95"/>
      <c r="M145" s="96">
        <v>0</v>
      </c>
      <c r="N145" s="101">
        <f>+G145+M145</f>
        <v>31</v>
      </c>
      <c r="O145" s="363"/>
    </row>
    <row r="146" spans="1:15">
      <c r="A146" s="402">
        <f t="shared" si="47"/>
        <v>63</v>
      </c>
      <c r="B146" s="6"/>
      <c r="C146" s="87" t="s">
        <v>398</v>
      </c>
      <c r="D146" s="400">
        <v>20746</v>
      </c>
      <c r="E146" s="111">
        <f>ROUNDUP(N44,-3)/1000</f>
        <v>26</v>
      </c>
      <c r="F146" s="94">
        <f t="shared" si="42"/>
        <v>0.49</v>
      </c>
      <c r="G146" s="289">
        <f t="shared" si="43"/>
        <v>153</v>
      </c>
      <c r="H146" s="95"/>
      <c r="I146" s="95"/>
      <c r="J146" s="95"/>
      <c r="K146" s="95"/>
      <c r="L146" s="95"/>
      <c r="M146" s="96">
        <v>0</v>
      </c>
      <c r="N146" s="101">
        <f t="shared" ref="N146" si="48">G146+M146</f>
        <v>153</v>
      </c>
      <c r="O146" s="363"/>
    </row>
    <row r="147" spans="1:15">
      <c r="A147" s="402"/>
      <c r="B147" s="6"/>
      <c r="C147" s="176"/>
      <c r="D147" s="400"/>
      <c r="E147" s="111"/>
      <c r="F147" s="94"/>
      <c r="G147" s="289"/>
      <c r="H147" s="95"/>
      <c r="I147" s="95"/>
      <c r="J147" s="95"/>
      <c r="K147" s="95"/>
      <c r="L147" s="95"/>
      <c r="M147" s="96"/>
      <c r="N147" s="101"/>
      <c r="O147" s="363"/>
    </row>
    <row r="148" spans="1:15">
      <c r="A148" s="176"/>
      <c r="B148" s="88"/>
      <c r="C148" s="87"/>
      <c r="D148" s="242"/>
      <c r="E148" s="57"/>
      <c r="F148" s="94"/>
      <c r="G148" s="300"/>
      <c r="H148" s="95"/>
      <c r="I148" s="95"/>
      <c r="J148" s="95"/>
      <c r="K148" s="95"/>
      <c r="L148" s="95"/>
      <c r="M148" s="96">
        <v>0</v>
      </c>
      <c r="N148" s="101">
        <f t="shared" si="44"/>
        <v>0</v>
      </c>
      <c r="O148" s="363"/>
    </row>
    <row r="149" spans="1:15">
      <c r="A149" s="176"/>
      <c r="B149" s="88"/>
      <c r="C149" s="87" t="s">
        <v>196</v>
      </c>
      <c r="E149" s="93"/>
      <c r="F149" s="57"/>
      <c r="G149" s="289">
        <f>SUM(G133:G148)</f>
        <v>1069</v>
      </c>
      <c r="H149" s="95"/>
      <c r="I149" s="95"/>
      <c r="J149" s="95"/>
      <c r="K149" s="95"/>
      <c r="L149" s="95"/>
      <c r="M149" s="96"/>
      <c r="N149" s="101"/>
      <c r="O149" s="363"/>
    </row>
    <row r="150" spans="1:15">
      <c r="A150" s="176"/>
      <c r="B150" s="88"/>
      <c r="C150" s="87" t="s">
        <v>197</v>
      </c>
      <c r="E150" s="93"/>
      <c r="F150" s="112">
        <v>0.2</v>
      </c>
      <c r="G150" s="101">
        <f>ROUND(G149*F150,0)</f>
        <v>214</v>
      </c>
      <c r="H150" s="95"/>
      <c r="I150" s="95"/>
      <c r="J150" s="95"/>
      <c r="K150" s="95"/>
      <c r="L150" s="95"/>
      <c r="M150" s="96">
        <v>0</v>
      </c>
      <c r="N150" s="101">
        <f>G150+M150</f>
        <v>214</v>
      </c>
      <c r="O150" s="363"/>
    </row>
    <row r="151" spans="1:15">
      <c r="A151" s="180"/>
      <c r="B151" s="91"/>
      <c r="C151" s="102" t="s">
        <v>198</v>
      </c>
      <c r="E151" s="93"/>
      <c r="F151" s="94"/>
      <c r="G151" s="278">
        <f>SUM(G149:G150)</f>
        <v>1283</v>
      </c>
      <c r="H151" s="105"/>
      <c r="I151" s="104"/>
      <c r="J151" s="104"/>
      <c r="K151" s="105"/>
      <c r="L151" s="105"/>
      <c r="M151" s="104"/>
      <c r="N151" s="277"/>
      <c r="O151" s="363"/>
    </row>
    <row r="152" spans="1:15">
      <c r="A152" s="195"/>
      <c r="B152" s="256"/>
      <c r="C152" s="257" t="s">
        <v>137</v>
      </c>
      <c r="D152" s="258"/>
      <c r="E152" s="259"/>
      <c r="F152" s="267"/>
      <c r="G152" s="261">
        <v>995</v>
      </c>
      <c r="H152" s="371">
        <f>'LINE ITEM EXP'!C15</f>
        <v>930</v>
      </c>
      <c r="I152" s="372">
        <f>'LINE ITEM EXP'!D15</f>
        <v>543</v>
      </c>
      <c r="J152" s="372">
        <f>'LINE ITEM EXP'!E15</f>
        <v>995</v>
      </c>
      <c r="K152" s="373">
        <f>G152</f>
        <v>995</v>
      </c>
      <c r="L152" s="373">
        <f>G151</f>
        <v>1283</v>
      </c>
      <c r="M152" s="372">
        <f>SUM(M133:M151)</f>
        <v>0</v>
      </c>
      <c r="N152" s="374">
        <f>SUM(N133:N151)</f>
        <v>1283</v>
      </c>
      <c r="O152" s="363"/>
    </row>
    <row r="153" spans="1:15">
      <c r="A153" s="168"/>
      <c r="B153" s="247"/>
      <c r="C153" s="248"/>
      <c r="D153" s="249"/>
      <c r="E153" s="250" t="s">
        <v>199</v>
      </c>
      <c r="F153" s="250"/>
      <c r="G153" s="251" t="s">
        <v>126</v>
      </c>
      <c r="H153" s="88"/>
      <c r="I153" s="90"/>
      <c r="J153" s="90"/>
      <c r="K153" s="90"/>
      <c r="L153" s="90"/>
      <c r="M153" s="90"/>
      <c r="N153" s="231"/>
      <c r="O153" s="363"/>
    </row>
    <row r="154" spans="1:15">
      <c r="A154" s="176"/>
      <c r="B154" s="88"/>
      <c r="C154" s="102"/>
      <c r="D154" s="89" t="s">
        <v>131</v>
      </c>
      <c r="E154" s="89" t="s">
        <v>149</v>
      </c>
      <c r="F154" s="89"/>
      <c r="G154" s="252" t="s">
        <v>200</v>
      </c>
      <c r="H154" s="88"/>
      <c r="I154" s="90"/>
      <c r="J154" s="90"/>
      <c r="K154" s="90"/>
      <c r="L154" s="90"/>
      <c r="M154" s="90"/>
      <c r="N154" s="231"/>
      <c r="O154" s="363"/>
    </row>
    <row r="155" spans="1:15">
      <c r="A155" s="180">
        <v>134</v>
      </c>
      <c r="B155" s="91" t="s">
        <v>201</v>
      </c>
      <c r="C155" s="87" t="s">
        <v>132</v>
      </c>
      <c r="D155" s="138">
        <f>G22</f>
        <v>565625</v>
      </c>
      <c r="E155" s="112">
        <v>0.13100000000000001</v>
      </c>
      <c r="F155" s="94"/>
      <c r="G155" s="253">
        <f>ROUND(D155*E155,0)</f>
        <v>74097</v>
      </c>
      <c r="H155" s="88"/>
      <c r="I155" s="90"/>
      <c r="J155" s="90"/>
      <c r="K155" s="90"/>
      <c r="L155" s="90"/>
      <c r="M155" s="96">
        <f>ROUND(M23*E155,0)</f>
        <v>2905</v>
      </c>
      <c r="N155" s="101">
        <f>G155+M155</f>
        <v>77002</v>
      </c>
      <c r="O155" s="381"/>
    </row>
    <row r="156" spans="1:15">
      <c r="A156" s="176"/>
      <c r="B156" s="88"/>
      <c r="C156" s="87" t="s">
        <v>202</v>
      </c>
      <c r="D156" s="63">
        <f>G39</f>
        <v>10972</v>
      </c>
      <c r="E156" s="112">
        <v>0.13100000000000001</v>
      </c>
      <c r="F156" s="57"/>
      <c r="G156" s="101">
        <f>ROUND(D156*E156,0)</f>
        <v>1437</v>
      </c>
      <c r="H156" s="95"/>
      <c r="I156" s="96"/>
      <c r="J156" s="96"/>
      <c r="K156" s="96"/>
      <c r="L156" s="96"/>
      <c r="M156" s="96">
        <f>ROUND(M40*E156,0)</f>
        <v>75</v>
      </c>
      <c r="N156" s="101">
        <f>+G156+M156</f>
        <v>1512</v>
      </c>
      <c r="O156" s="363"/>
    </row>
    <row r="157" spans="1:15">
      <c r="A157" s="176"/>
      <c r="B157" s="88"/>
      <c r="C157" s="87" t="s">
        <v>147</v>
      </c>
      <c r="D157" s="63">
        <f>G51</f>
        <v>110843</v>
      </c>
      <c r="E157" s="112">
        <v>0.13100000000000001</v>
      </c>
      <c r="F157" s="57"/>
      <c r="G157" s="254">
        <f>ROUND(D157*E157,0)</f>
        <v>14520</v>
      </c>
      <c r="H157" s="95"/>
      <c r="I157" s="96"/>
      <c r="J157" s="96"/>
      <c r="K157" s="96"/>
      <c r="L157" s="96"/>
      <c r="M157" s="96">
        <f>ROUND((M51)*E157,0)</f>
        <v>0</v>
      </c>
      <c r="N157" s="101">
        <f>+G157+M157</f>
        <v>14520</v>
      </c>
      <c r="O157" s="363"/>
    </row>
    <row r="158" spans="1:15">
      <c r="A158" s="176"/>
      <c r="B158" s="88"/>
      <c r="C158" s="87" t="s">
        <v>203</v>
      </c>
      <c r="D158" s="61">
        <f>SUM(D155:D157)</f>
        <v>687440</v>
      </c>
      <c r="E158" s="112">
        <v>6.5500000000000003E-2</v>
      </c>
      <c r="F158" s="57"/>
      <c r="G158" s="277">
        <f>-ROUND((D158)*E158,0)</f>
        <v>-45027</v>
      </c>
      <c r="H158" s="95"/>
      <c r="I158" s="96"/>
      <c r="J158" s="96"/>
      <c r="K158" s="96"/>
      <c r="L158" s="96"/>
      <c r="M158" s="96">
        <f>-ROUND((M23+M40+M51)*E158,0)</f>
        <v>-1490</v>
      </c>
      <c r="N158" s="101">
        <f>+G158+M158</f>
        <v>-46517</v>
      </c>
      <c r="O158" s="363"/>
    </row>
    <row r="159" spans="1:15">
      <c r="A159" s="176"/>
      <c r="B159" s="88"/>
      <c r="C159" s="102" t="s">
        <v>204</v>
      </c>
      <c r="D159" s="111"/>
      <c r="E159" s="93"/>
      <c r="F159" s="57"/>
      <c r="G159" s="255">
        <f>SUM(G155:G158)</f>
        <v>45027</v>
      </c>
      <c r="H159" s="105"/>
      <c r="I159" s="104"/>
      <c r="J159" s="104"/>
      <c r="K159" s="105"/>
      <c r="L159" s="105"/>
      <c r="M159" s="104"/>
      <c r="N159" s="277"/>
      <c r="O159" s="363"/>
    </row>
    <row r="160" spans="1:15">
      <c r="A160" s="195"/>
      <c r="B160" s="256"/>
      <c r="C160" s="257" t="s">
        <v>137</v>
      </c>
      <c r="D160" s="258"/>
      <c r="E160" s="259"/>
      <c r="F160" s="260">
        <v>2017</v>
      </c>
      <c r="G160" s="261">
        <v>44586</v>
      </c>
      <c r="H160" s="371">
        <f>'LINE ITEM EXP'!C16</f>
        <v>42132</v>
      </c>
      <c r="I160" s="372">
        <f>'LINE ITEM EXP'!D16</f>
        <v>21235</v>
      </c>
      <c r="J160" s="372">
        <f>'LINE ITEM EXP'!E16</f>
        <v>44586</v>
      </c>
      <c r="K160" s="373">
        <f>G160</f>
        <v>44586</v>
      </c>
      <c r="L160" s="373">
        <f>G159</f>
        <v>45027</v>
      </c>
      <c r="M160" s="372">
        <f>SUM(M155:M159)</f>
        <v>1490</v>
      </c>
      <c r="N160" s="374">
        <f>SUM(N155:N159)</f>
        <v>46517</v>
      </c>
      <c r="O160" s="363"/>
    </row>
    <row r="161" spans="1:18">
      <c r="A161" s="168"/>
      <c r="B161" s="169"/>
      <c r="C161" s="248"/>
      <c r="D161" s="262" t="s">
        <v>131</v>
      </c>
      <c r="E161" s="263" t="s">
        <v>149</v>
      </c>
      <c r="F161" s="264" t="s">
        <v>205</v>
      </c>
      <c r="G161" s="265" t="s">
        <v>126</v>
      </c>
      <c r="H161" s="95"/>
      <c r="I161" s="95"/>
      <c r="J161" s="95"/>
      <c r="K161" s="95"/>
      <c r="L161" s="95"/>
      <c r="M161" s="96"/>
      <c r="N161" s="101"/>
      <c r="O161" s="363"/>
    </row>
    <row r="162" spans="1:18">
      <c r="A162" s="180">
        <v>135</v>
      </c>
      <c r="B162" s="91" t="s">
        <v>206</v>
      </c>
      <c r="C162" s="87" t="s">
        <v>208</v>
      </c>
      <c r="D162" s="111">
        <v>74000</v>
      </c>
      <c r="E162" s="139">
        <v>4.7499999999999999E-3</v>
      </c>
      <c r="F162" s="140">
        <f t="shared" ref="F162:F171" si="49">IF(F$160=2017,-D162*E162,0)</f>
        <v>-351.5</v>
      </c>
      <c r="G162" s="253">
        <f>ROUND((D162*E162)+F162,0)</f>
        <v>0</v>
      </c>
      <c r="H162" s="95"/>
      <c r="I162" s="115"/>
      <c r="J162" s="95"/>
      <c r="K162" s="95"/>
      <c r="L162" s="95"/>
      <c r="M162" s="96">
        <v>0</v>
      </c>
      <c r="N162" s="101">
        <f t="shared" ref="N162:N174" si="50">G162+M162</f>
        <v>0</v>
      </c>
      <c r="O162" s="363"/>
    </row>
    <row r="163" spans="1:18">
      <c r="A163" s="176"/>
      <c r="B163" s="88"/>
      <c r="C163" s="87" t="s">
        <v>188</v>
      </c>
      <c r="D163" s="111">
        <v>0</v>
      </c>
      <c r="E163" s="139">
        <v>4.7499999999999999E-3</v>
      </c>
      <c r="F163" s="140">
        <f t="shared" si="49"/>
        <v>0</v>
      </c>
      <c r="G163" s="253">
        <f t="shared" ref="G163:G174" si="51">ROUND((D163*E163)+F163,0)</f>
        <v>0</v>
      </c>
      <c r="H163" s="95"/>
      <c r="I163" s="95"/>
      <c r="J163" s="95"/>
      <c r="K163" s="95"/>
      <c r="L163" s="95"/>
      <c r="M163" s="96">
        <v>0</v>
      </c>
      <c r="N163" s="101">
        <f t="shared" si="50"/>
        <v>0</v>
      </c>
      <c r="O163" s="363"/>
    </row>
    <row r="164" spans="1:18">
      <c r="A164" s="176"/>
      <c r="B164" s="88"/>
      <c r="C164" s="87" t="s">
        <v>207</v>
      </c>
      <c r="D164" s="111">
        <v>44000</v>
      </c>
      <c r="E164" s="139">
        <v>4.7520000000000001E-3</v>
      </c>
      <c r="F164" s="140">
        <f t="shared" si="49"/>
        <v>-209.08799999999999</v>
      </c>
      <c r="G164" s="253">
        <f t="shared" si="51"/>
        <v>0</v>
      </c>
      <c r="H164" s="95"/>
      <c r="I164" s="115"/>
      <c r="J164" s="95"/>
      <c r="K164" s="95"/>
      <c r="L164" s="95"/>
      <c r="M164" s="96">
        <v>0</v>
      </c>
      <c r="N164" s="101">
        <f t="shared" si="50"/>
        <v>0</v>
      </c>
      <c r="O164" s="363"/>
    </row>
    <row r="165" spans="1:18">
      <c r="A165" s="176"/>
      <c r="B165" s="88"/>
      <c r="C165" s="87" t="s">
        <v>192</v>
      </c>
      <c r="D165" s="111">
        <v>18000</v>
      </c>
      <c r="E165" s="139">
        <v>4.7499999999999999E-3</v>
      </c>
      <c r="F165" s="140">
        <f t="shared" si="49"/>
        <v>-85.5</v>
      </c>
      <c r="G165" s="253">
        <f t="shared" si="51"/>
        <v>0</v>
      </c>
      <c r="H165" s="95"/>
      <c r="I165" s="115"/>
      <c r="J165" s="95"/>
      <c r="K165" s="95"/>
      <c r="L165" s="95"/>
      <c r="M165" s="96">
        <v>0</v>
      </c>
      <c r="N165" s="101">
        <f>G165+M165</f>
        <v>0</v>
      </c>
      <c r="O165" s="363"/>
    </row>
    <row r="166" spans="1:18">
      <c r="A166" s="176"/>
      <c r="B166" s="88"/>
      <c r="C166" s="114" t="s">
        <v>189</v>
      </c>
      <c r="D166" s="111">
        <v>0</v>
      </c>
      <c r="E166" s="139">
        <v>4.7520000000000001E-3</v>
      </c>
      <c r="F166" s="140">
        <f t="shared" si="49"/>
        <v>0</v>
      </c>
      <c r="G166" s="253">
        <f t="shared" si="51"/>
        <v>0</v>
      </c>
      <c r="H166" s="95"/>
      <c r="I166" s="141"/>
      <c r="J166" s="95"/>
      <c r="K166" s="95"/>
      <c r="L166" s="95"/>
      <c r="M166" s="96">
        <v>0</v>
      </c>
      <c r="N166" s="101">
        <f t="shared" si="50"/>
        <v>0</v>
      </c>
      <c r="O166" s="363"/>
    </row>
    <row r="167" spans="1:18">
      <c r="A167" s="176"/>
      <c r="B167" s="88"/>
      <c r="C167" s="28" t="s">
        <v>190</v>
      </c>
      <c r="D167" s="111">
        <v>21000</v>
      </c>
      <c r="E167" s="139">
        <v>4.7520000000000001E-3</v>
      </c>
      <c r="F167" s="140">
        <f t="shared" si="49"/>
        <v>-99.792000000000002</v>
      </c>
      <c r="G167" s="253">
        <f t="shared" si="51"/>
        <v>0</v>
      </c>
      <c r="H167" s="95"/>
      <c r="I167" s="115"/>
      <c r="J167" s="95"/>
      <c r="K167" s="95"/>
      <c r="L167" s="95"/>
      <c r="M167" s="96">
        <v>0</v>
      </c>
      <c r="N167" s="101">
        <f t="shared" si="50"/>
        <v>0</v>
      </c>
      <c r="O167" s="363"/>
    </row>
    <row r="168" spans="1:18">
      <c r="A168" s="176"/>
      <c r="B168" s="88"/>
      <c r="C168" s="87" t="s">
        <v>449</v>
      </c>
      <c r="D168" s="142">
        <v>54000</v>
      </c>
      <c r="E168" s="139">
        <v>4.7520000000000001E-3</v>
      </c>
      <c r="F168" s="140">
        <f t="shared" si="49"/>
        <v>-256.608</v>
      </c>
      <c r="G168" s="253">
        <f t="shared" si="51"/>
        <v>0</v>
      </c>
      <c r="H168" s="95"/>
      <c r="I168" s="115"/>
      <c r="J168" s="95"/>
      <c r="K168" s="95"/>
      <c r="L168" s="95"/>
      <c r="M168" s="96">
        <v>0</v>
      </c>
      <c r="N168" s="101">
        <f t="shared" si="50"/>
        <v>0</v>
      </c>
      <c r="O168" s="363"/>
    </row>
    <row r="169" spans="1:18">
      <c r="A169" s="176"/>
      <c r="B169" s="88"/>
      <c r="C169" s="87" t="s">
        <v>351</v>
      </c>
      <c r="D169" s="142"/>
      <c r="E169" s="139">
        <v>4.7489999999999997E-3</v>
      </c>
      <c r="F169" s="140">
        <f t="shared" si="49"/>
        <v>0</v>
      </c>
      <c r="G169" s="253">
        <f t="shared" si="51"/>
        <v>0</v>
      </c>
      <c r="H169" s="95"/>
      <c r="I169" s="115"/>
      <c r="J169" s="95"/>
      <c r="K169" s="95"/>
      <c r="L169" s="95"/>
      <c r="M169" s="96">
        <v>0</v>
      </c>
      <c r="N169" s="101">
        <f t="shared" si="50"/>
        <v>0</v>
      </c>
      <c r="O169" s="363"/>
    </row>
    <row r="170" spans="1:18">
      <c r="A170" s="176"/>
      <c r="B170" s="88"/>
      <c r="C170" s="87" t="s">
        <v>195</v>
      </c>
      <c r="D170" s="142">
        <v>20000</v>
      </c>
      <c r="E170" s="139">
        <v>4.7499999999999999E-3</v>
      </c>
      <c r="F170" s="140">
        <f t="shared" si="49"/>
        <v>-95</v>
      </c>
      <c r="G170" s="253">
        <f t="shared" si="51"/>
        <v>0</v>
      </c>
      <c r="H170" s="95"/>
      <c r="I170" s="115"/>
      <c r="J170" s="95"/>
      <c r="K170" s="95"/>
      <c r="L170" s="95"/>
      <c r="M170" s="96">
        <v>0</v>
      </c>
      <c r="N170" s="101">
        <f>G170+M170</f>
        <v>0</v>
      </c>
      <c r="O170" s="363"/>
    </row>
    <row r="171" spans="1:18">
      <c r="A171" s="176"/>
      <c r="B171" s="88"/>
      <c r="C171" s="87" t="s">
        <v>194</v>
      </c>
      <c r="D171" s="142">
        <v>0</v>
      </c>
      <c r="E171" s="139">
        <v>4.7499999999999999E-3</v>
      </c>
      <c r="F171" s="140">
        <f t="shared" si="49"/>
        <v>0</v>
      </c>
      <c r="G171" s="253">
        <f t="shared" si="51"/>
        <v>0</v>
      </c>
      <c r="H171" s="95"/>
      <c r="I171" s="95"/>
      <c r="J171" s="95"/>
      <c r="K171" s="95"/>
      <c r="L171" s="95"/>
      <c r="M171" s="96">
        <v>0</v>
      </c>
      <c r="N171" s="101">
        <f>G171+M171</f>
        <v>0</v>
      </c>
      <c r="O171" s="363"/>
    </row>
    <row r="172" spans="1:18">
      <c r="A172" s="176"/>
      <c r="B172" s="88"/>
      <c r="C172" s="87" t="s">
        <v>191</v>
      </c>
      <c r="D172" s="142">
        <v>0</v>
      </c>
      <c r="E172" s="139">
        <v>4.7499999999999999E-3</v>
      </c>
      <c r="F172" s="140">
        <f t="shared" ref="F172" si="52">IF(F$160=2016,-D172*E172,0)</f>
        <v>0</v>
      </c>
      <c r="G172" s="253">
        <f t="shared" si="51"/>
        <v>0</v>
      </c>
      <c r="H172" s="95"/>
      <c r="I172" s="95"/>
      <c r="J172" s="95"/>
      <c r="K172" s="95"/>
      <c r="L172" s="95"/>
      <c r="M172" s="96">
        <v>0</v>
      </c>
      <c r="N172" s="101">
        <f>G172+M172</f>
        <v>0</v>
      </c>
      <c r="O172" s="363"/>
    </row>
    <row r="173" spans="1:18">
      <c r="A173" s="176"/>
      <c r="B173" s="131"/>
      <c r="C173" s="143"/>
      <c r="D173" s="142"/>
      <c r="E173" s="139"/>
      <c r="F173" s="140"/>
      <c r="G173" s="253"/>
      <c r="H173" s="95"/>
      <c r="I173" s="115"/>
      <c r="J173" s="95"/>
      <c r="K173" s="95"/>
      <c r="L173" s="95"/>
      <c r="M173" s="96">
        <v>0</v>
      </c>
      <c r="N173" s="101">
        <f t="shared" ref="N173" si="53">G173+M173</f>
        <v>0</v>
      </c>
      <c r="O173" s="363"/>
    </row>
    <row r="174" spans="1:18">
      <c r="A174" s="176"/>
      <c r="B174" s="88"/>
      <c r="C174" s="87" t="s">
        <v>209</v>
      </c>
      <c r="D174" s="142">
        <v>44000</v>
      </c>
      <c r="E174" s="139">
        <v>4.7499999999999999E-3</v>
      </c>
      <c r="F174" s="140">
        <f>IF(F$160=2017,-D174*E174,0)</f>
        <v>-209</v>
      </c>
      <c r="G174" s="266">
        <f t="shared" si="51"/>
        <v>0</v>
      </c>
      <c r="H174" s="95"/>
      <c r="I174" s="115"/>
      <c r="J174" s="95"/>
      <c r="K174" s="95"/>
      <c r="L174" s="95"/>
      <c r="M174" s="96">
        <v>0</v>
      </c>
      <c r="N174" s="101">
        <f t="shared" si="50"/>
        <v>0</v>
      </c>
      <c r="O174" s="363"/>
    </row>
    <row r="175" spans="1:18">
      <c r="A175" s="176"/>
      <c r="B175" s="88"/>
      <c r="C175" s="102" t="s">
        <v>210</v>
      </c>
      <c r="E175" s="139"/>
      <c r="F175" s="57"/>
      <c r="G175" s="255">
        <f>SUM(G162:G174)</f>
        <v>0</v>
      </c>
      <c r="H175" s="105"/>
      <c r="I175" s="104"/>
      <c r="J175" s="104"/>
      <c r="K175" s="105"/>
      <c r="L175" s="105"/>
      <c r="M175" s="104"/>
      <c r="N175" s="277"/>
      <c r="O175" s="363"/>
    </row>
    <row r="176" spans="1:18">
      <c r="A176" s="195"/>
      <c r="B176" s="256"/>
      <c r="C176" s="257" t="s">
        <v>137</v>
      </c>
      <c r="D176" s="258"/>
      <c r="E176" s="259"/>
      <c r="F176" s="267"/>
      <c r="G176" s="261">
        <v>0</v>
      </c>
      <c r="H176" s="371">
        <f>'LINE ITEM EXP'!C17</f>
        <v>1961</v>
      </c>
      <c r="I176" s="372">
        <f>'LINE ITEM EXP'!D17</f>
        <v>0</v>
      </c>
      <c r="J176" s="372">
        <f>'LINE ITEM EXP'!E17</f>
        <v>0</v>
      </c>
      <c r="K176" s="373">
        <f>G176</f>
        <v>0</v>
      </c>
      <c r="L176" s="373">
        <f>G175</f>
        <v>0</v>
      </c>
      <c r="M176" s="372">
        <f>SUM(M162:M175)</f>
        <v>0</v>
      </c>
      <c r="N176" s="374">
        <f>SUM(N162:N175)</f>
        <v>0</v>
      </c>
      <c r="O176" s="363"/>
      <c r="R176" s="111"/>
    </row>
    <row r="177" spans="1:15">
      <c r="A177" s="176"/>
      <c r="B177" s="88"/>
      <c r="C177" s="87"/>
      <c r="E177" s="109"/>
      <c r="F177" s="123"/>
      <c r="G177" s="110"/>
      <c r="H177" s="96"/>
      <c r="I177" s="95"/>
      <c r="J177" s="95"/>
      <c r="K177" s="95"/>
      <c r="L177" s="95"/>
      <c r="M177" s="104"/>
      <c r="N177" s="277"/>
      <c r="O177" s="363"/>
    </row>
    <row r="178" spans="1:15" ht="13.5" thickBot="1">
      <c r="A178" s="191"/>
      <c r="B178" s="144"/>
      <c r="C178" s="145" t="s">
        <v>55</v>
      </c>
      <c r="D178" s="146"/>
      <c r="E178" s="147"/>
      <c r="F178" s="148"/>
      <c r="G178" s="149">
        <f>G22+G39+G87+G107+G126+G130+G151+G159+G175</f>
        <v>1194044.804</v>
      </c>
      <c r="H178" s="150">
        <f t="shared" ref="H178:N178" si="54">H176+H160+H152+H131+H127+H108+H88+H23+H40</f>
        <v>965828</v>
      </c>
      <c r="I178" s="150">
        <f t="shared" si="54"/>
        <v>561410</v>
      </c>
      <c r="J178" s="150">
        <f t="shared" si="54"/>
        <v>1146840</v>
      </c>
      <c r="K178" s="150">
        <f t="shared" si="54"/>
        <v>1146840</v>
      </c>
      <c r="L178" s="150">
        <f t="shared" si="54"/>
        <v>1194044.804</v>
      </c>
      <c r="M178" s="150">
        <f t="shared" si="54"/>
        <v>37136</v>
      </c>
      <c r="N178" s="382">
        <f t="shared" si="54"/>
        <v>1231180.804</v>
      </c>
      <c r="O178" s="376"/>
    </row>
    <row r="179" spans="1:15" ht="13.5" thickTop="1">
      <c r="A179" s="180">
        <v>210</v>
      </c>
      <c r="B179" s="91" t="s">
        <v>211</v>
      </c>
      <c r="C179" s="87" t="s">
        <v>212</v>
      </c>
      <c r="D179" s="151" t="s">
        <v>213</v>
      </c>
      <c r="E179" s="139"/>
      <c r="F179" s="57"/>
      <c r="G179" s="118">
        <v>1700</v>
      </c>
      <c r="H179" s="96"/>
      <c r="I179" s="95"/>
      <c r="J179" s="95"/>
      <c r="K179" s="95"/>
      <c r="L179" s="95"/>
      <c r="M179" s="96">
        <v>0</v>
      </c>
      <c r="N179" s="101">
        <f>G179+M179</f>
        <v>1700</v>
      </c>
      <c r="O179" s="377"/>
    </row>
    <row r="180" spans="1:15">
      <c r="A180" s="176"/>
      <c r="B180" s="88"/>
      <c r="C180" s="102" t="s">
        <v>214</v>
      </c>
      <c r="D180" s="38"/>
      <c r="E180" s="93"/>
      <c r="F180" s="57"/>
      <c r="G180" s="103">
        <f>G179</f>
        <v>1700</v>
      </c>
      <c r="H180" s="104"/>
      <c r="I180" s="104"/>
      <c r="J180" s="104"/>
      <c r="K180" s="105"/>
      <c r="L180" s="105"/>
      <c r="M180" s="104"/>
      <c r="N180" s="277"/>
      <c r="O180" s="363"/>
    </row>
    <row r="181" spans="1:15">
      <c r="A181" s="176"/>
      <c r="B181" s="88"/>
      <c r="C181" s="243" t="s">
        <v>137</v>
      </c>
      <c r="D181" s="244"/>
      <c r="E181" s="245"/>
      <c r="F181" s="246"/>
      <c r="G181" s="302">
        <v>1700</v>
      </c>
      <c r="H181" s="371">
        <f>+'LINE ITEM EXP'!C21</f>
        <v>15533</v>
      </c>
      <c r="I181" s="372">
        <f>+'LINE ITEM EXP'!D21</f>
        <v>1700</v>
      </c>
      <c r="J181" s="372">
        <f>+'LINE ITEM EXP'!E21</f>
        <v>1700</v>
      </c>
      <c r="K181" s="373">
        <f>G181</f>
        <v>1700</v>
      </c>
      <c r="L181" s="373">
        <f>G180</f>
        <v>1700</v>
      </c>
      <c r="M181" s="372">
        <f>SUM(M179:M180)</f>
        <v>0</v>
      </c>
      <c r="N181" s="374">
        <f>SUM(N179:N180)</f>
        <v>1700</v>
      </c>
      <c r="O181" s="363"/>
    </row>
    <row r="182" spans="1:15">
      <c r="A182" s="168">
        <v>210</v>
      </c>
      <c r="B182" s="303" t="s">
        <v>211</v>
      </c>
      <c r="C182" s="249" t="s">
        <v>215</v>
      </c>
      <c r="D182" s="304"/>
      <c r="E182" s="305"/>
      <c r="F182" s="175"/>
      <c r="G182" s="306">
        <v>0</v>
      </c>
      <c r="H182" s="95"/>
      <c r="I182" s="96"/>
      <c r="J182" s="96"/>
      <c r="K182" s="95"/>
      <c r="L182" s="95"/>
      <c r="M182" s="96">
        <v>0</v>
      </c>
      <c r="N182" s="101">
        <f>G182+M182</f>
        <v>0</v>
      </c>
      <c r="O182" s="363"/>
    </row>
    <row r="183" spans="1:15">
      <c r="A183" s="307" t="s">
        <v>216</v>
      </c>
      <c r="C183" s="160" t="s">
        <v>214</v>
      </c>
      <c r="E183" s="93"/>
      <c r="F183" s="57"/>
      <c r="G183" s="255">
        <f>G182</f>
        <v>0</v>
      </c>
      <c r="H183" s="105"/>
      <c r="I183" s="104"/>
      <c r="J183" s="104"/>
      <c r="K183" s="105"/>
      <c r="L183" s="105"/>
      <c r="M183" s="104"/>
      <c r="N183" s="277"/>
      <c r="O183" s="363"/>
    </row>
    <row r="184" spans="1:15">
      <c r="A184" s="195"/>
      <c r="B184" s="196"/>
      <c r="C184" s="258" t="s">
        <v>137</v>
      </c>
      <c r="D184" s="258"/>
      <c r="E184" s="259"/>
      <c r="F184" s="267"/>
      <c r="G184" s="261">
        <v>0</v>
      </c>
      <c r="H184" s="371">
        <f>+'LINE ITEM EXP'!C22</f>
        <v>0</v>
      </c>
      <c r="I184" s="372">
        <f>+'LINE ITEM EXP'!D22</f>
        <v>0</v>
      </c>
      <c r="J184" s="372">
        <f>+'LINE ITEM EXP'!E22</f>
        <v>0</v>
      </c>
      <c r="K184" s="373">
        <f>G184</f>
        <v>0</v>
      </c>
      <c r="L184" s="373">
        <f>G183</f>
        <v>0</v>
      </c>
      <c r="M184" s="372">
        <f>SUM(M182:M183)</f>
        <v>0</v>
      </c>
      <c r="N184" s="374">
        <f>SUM(N182:N183)</f>
        <v>0</v>
      </c>
      <c r="O184" s="363"/>
    </row>
    <row r="185" spans="1:15">
      <c r="A185" s="168"/>
      <c r="B185" s="247"/>
      <c r="C185" s="248"/>
      <c r="D185" s="308" t="s">
        <v>217</v>
      </c>
      <c r="E185" s="308" t="s">
        <v>218</v>
      </c>
      <c r="F185" s="308" t="s">
        <v>219</v>
      </c>
      <c r="G185" s="230"/>
      <c r="H185" s="88"/>
      <c r="I185" s="90"/>
      <c r="J185" s="90"/>
      <c r="K185" s="90"/>
      <c r="L185" s="90"/>
      <c r="M185" s="90"/>
      <c r="N185" s="383"/>
      <c r="O185" s="363"/>
    </row>
    <row r="186" spans="1:15">
      <c r="A186" s="180">
        <v>220</v>
      </c>
      <c r="B186" s="91" t="s">
        <v>220</v>
      </c>
      <c r="C186" s="87" t="s">
        <v>220</v>
      </c>
      <c r="D186" s="312">
        <v>8900</v>
      </c>
      <c r="E186" s="313">
        <v>47500</v>
      </c>
      <c r="F186" s="313">
        <v>4400</v>
      </c>
      <c r="G186" s="253">
        <f>SUM(D186:F186)</f>
        <v>60800</v>
      </c>
      <c r="H186" s="88"/>
      <c r="I186" s="90"/>
      <c r="J186" s="90"/>
      <c r="K186" s="90"/>
      <c r="L186" s="90"/>
      <c r="M186" s="96">
        <v>0</v>
      </c>
      <c r="N186" s="101">
        <f>G186+M186</f>
        <v>60800</v>
      </c>
      <c r="O186" s="363"/>
    </row>
    <row r="187" spans="1:15">
      <c r="A187" s="309"/>
      <c r="B187" s="88"/>
      <c r="C187" s="102" t="s">
        <v>221</v>
      </c>
      <c r="E187" s="201">
        <v>0</v>
      </c>
      <c r="F187" s="57">
        <v>0</v>
      </c>
      <c r="G187" s="255">
        <f>G186</f>
        <v>60800</v>
      </c>
      <c r="H187" s="105"/>
      <c r="I187" s="104"/>
      <c r="J187" s="104"/>
      <c r="K187" s="105"/>
      <c r="L187" s="105"/>
      <c r="M187" s="104"/>
      <c r="N187" s="277"/>
      <c r="O187" s="363"/>
    </row>
    <row r="188" spans="1:15">
      <c r="A188" s="310"/>
      <c r="B188" s="256"/>
      <c r="C188" s="311" t="s">
        <v>137</v>
      </c>
      <c r="D188" s="314">
        <v>8844</v>
      </c>
      <c r="E188" s="316">
        <v>40469</v>
      </c>
      <c r="F188" s="315">
        <v>4377</v>
      </c>
      <c r="G188" s="261">
        <v>60800</v>
      </c>
      <c r="H188" s="371">
        <f>'LINE ITEM EXP'!C23</f>
        <v>58803</v>
      </c>
      <c r="I188" s="372">
        <f>'LINE ITEM EXP'!D23</f>
        <v>21430</v>
      </c>
      <c r="J188" s="372">
        <f>'LINE ITEM EXP'!E23</f>
        <v>60800</v>
      </c>
      <c r="K188" s="373">
        <f>G188</f>
        <v>60800</v>
      </c>
      <c r="L188" s="373">
        <f>G187</f>
        <v>60800</v>
      </c>
      <c r="M188" s="372">
        <f>SUM(M186:M187)</f>
        <v>0</v>
      </c>
      <c r="N188" s="375">
        <f>SUM(N186:N187)</f>
        <v>60800</v>
      </c>
      <c r="O188" s="363" t="s">
        <v>358</v>
      </c>
    </row>
    <row r="189" spans="1:15">
      <c r="A189" s="180">
        <v>222</v>
      </c>
      <c r="B189" s="91" t="s">
        <v>222</v>
      </c>
      <c r="C189" s="87" t="s">
        <v>222</v>
      </c>
      <c r="D189" s="142"/>
      <c r="E189" s="112"/>
      <c r="F189" s="94"/>
      <c r="G189" s="317">
        <v>0</v>
      </c>
      <c r="H189" s="88"/>
      <c r="I189" s="90"/>
      <c r="J189" s="90"/>
      <c r="K189" s="90"/>
      <c r="L189" s="90"/>
      <c r="M189" s="96">
        <v>0</v>
      </c>
      <c r="N189" s="101">
        <f>G189+M189</f>
        <v>0</v>
      </c>
      <c r="O189" s="363"/>
    </row>
    <row r="190" spans="1:15">
      <c r="A190" s="176"/>
      <c r="B190" s="88"/>
      <c r="C190" s="102" t="s">
        <v>223</v>
      </c>
      <c r="E190" s="93"/>
      <c r="F190" s="57"/>
      <c r="G190" s="103">
        <f>G189</f>
        <v>0</v>
      </c>
      <c r="H190" s="104"/>
      <c r="I190" s="104"/>
      <c r="J190" s="104"/>
      <c r="K190" s="105"/>
      <c r="L190" s="105"/>
      <c r="M190" s="104"/>
      <c r="N190" s="277"/>
      <c r="O190" s="363"/>
    </row>
    <row r="191" spans="1:15">
      <c r="A191" s="176"/>
      <c r="B191" s="88"/>
      <c r="C191" s="243" t="s">
        <v>137</v>
      </c>
      <c r="D191" s="244"/>
      <c r="E191" s="245"/>
      <c r="F191" s="246"/>
      <c r="G191" s="302">
        <v>0</v>
      </c>
      <c r="H191" s="371">
        <f>'LINE ITEM EXP'!C24</f>
        <v>0</v>
      </c>
      <c r="I191" s="372">
        <f>'LINE ITEM EXP'!D24</f>
        <v>0</v>
      </c>
      <c r="J191" s="372">
        <f>'LINE ITEM EXP'!E24</f>
        <v>0</v>
      </c>
      <c r="K191" s="373">
        <f>G191</f>
        <v>0</v>
      </c>
      <c r="L191" s="373">
        <f>G190</f>
        <v>0</v>
      </c>
      <c r="M191" s="372">
        <f>SUM(M189:M190)</f>
        <v>0</v>
      </c>
      <c r="N191" s="374">
        <f>SUM(N189:N190)</f>
        <v>0</v>
      </c>
      <c r="O191" s="363"/>
    </row>
    <row r="192" spans="1:15">
      <c r="A192" s="168">
        <v>225</v>
      </c>
      <c r="B192" s="169" t="s">
        <v>224</v>
      </c>
      <c r="C192" s="248"/>
      <c r="D192" s="308" t="s">
        <v>225</v>
      </c>
      <c r="E192" s="318" t="s">
        <v>226</v>
      </c>
      <c r="F192" s="249"/>
      <c r="G192" s="230"/>
      <c r="H192" s="95"/>
      <c r="I192" s="95"/>
      <c r="J192" s="95"/>
      <c r="K192" s="95"/>
      <c r="L192" s="95"/>
      <c r="M192" s="96"/>
      <c r="N192" s="101"/>
      <c r="O192" s="363"/>
    </row>
    <row r="193" spans="1:15">
      <c r="A193" s="176"/>
      <c r="B193" s="88"/>
      <c r="C193" s="87" t="s">
        <v>224</v>
      </c>
      <c r="D193" s="312">
        <v>10344</v>
      </c>
      <c r="E193" s="321">
        <v>5800</v>
      </c>
      <c r="F193" s="57"/>
      <c r="G193" s="253">
        <f>SUM(D193:E193)</f>
        <v>16144</v>
      </c>
      <c r="H193" s="95"/>
      <c r="I193" s="95"/>
      <c r="J193" s="95"/>
      <c r="K193" s="95"/>
      <c r="L193" s="95"/>
      <c r="M193" s="96">
        <v>0</v>
      </c>
      <c r="N193" s="101">
        <f>G193+M193</f>
        <v>16144</v>
      </c>
      <c r="O193" s="363"/>
    </row>
    <row r="194" spans="1:15">
      <c r="A194" s="176"/>
      <c r="B194" s="88"/>
      <c r="C194" s="102" t="s">
        <v>227</v>
      </c>
      <c r="E194" s="93"/>
      <c r="F194" s="57"/>
      <c r="G194" s="255">
        <f>G193</f>
        <v>16144</v>
      </c>
      <c r="H194" s="105"/>
      <c r="I194" s="104"/>
      <c r="J194" s="104"/>
      <c r="K194" s="105"/>
      <c r="L194" s="105"/>
      <c r="M194" s="104"/>
      <c r="N194" s="277"/>
      <c r="O194" s="363"/>
    </row>
    <row r="195" spans="1:15">
      <c r="A195" s="195"/>
      <c r="B195" s="319"/>
      <c r="C195" s="257" t="s">
        <v>137</v>
      </c>
      <c r="D195" s="320"/>
      <c r="E195" s="320"/>
      <c r="F195" s="267"/>
      <c r="G195" s="261">
        <v>16144</v>
      </c>
      <c r="H195" s="371">
        <f>'LINE ITEM EXP'!C25</f>
        <v>11081</v>
      </c>
      <c r="I195" s="372">
        <f>'LINE ITEM EXP'!D25</f>
        <v>8064</v>
      </c>
      <c r="J195" s="372">
        <f>'LINE ITEM EXP'!E25</f>
        <v>16144</v>
      </c>
      <c r="K195" s="373">
        <v>16128</v>
      </c>
      <c r="L195" s="373">
        <f>G194</f>
        <v>16144</v>
      </c>
      <c r="M195" s="372">
        <f>SUM(M193:M194)</f>
        <v>0</v>
      </c>
      <c r="N195" s="374">
        <f>SUM(N193:N194)</f>
        <v>16144</v>
      </c>
      <c r="O195" s="363"/>
    </row>
    <row r="196" spans="1:15">
      <c r="A196" s="180">
        <v>240</v>
      </c>
      <c r="B196" s="91" t="s">
        <v>228</v>
      </c>
      <c r="C196" s="121" t="s">
        <v>229</v>
      </c>
      <c r="D196" s="152"/>
      <c r="E196" s="139"/>
      <c r="F196" s="57"/>
      <c r="G196" s="322">
        <v>5000</v>
      </c>
      <c r="H196" s="95"/>
      <c r="I196" s="115"/>
      <c r="J196" s="95"/>
      <c r="K196" s="95"/>
      <c r="L196" s="95"/>
      <c r="M196" s="96">
        <v>0</v>
      </c>
      <c r="N196" s="101">
        <f>G196+M196</f>
        <v>5000</v>
      </c>
      <c r="O196" s="363"/>
    </row>
    <row r="197" spans="1:15">
      <c r="A197" s="176"/>
      <c r="B197" s="88"/>
      <c r="C197" s="114" t="s">
        <v>230</v>
      </c>
      <c r="D197" s="111"/>
      <c r="E197" s="139"/>
      <c r="F197" s="57"/>
      <c r="G197" s="313">
        <f>14400+13000</f>
        <v>27400</v>
      </c>
      <c r="H197" s="95"/>
      <c r="I197" s="95"/>
      <c r="J197" s="95"/>
      <c r="K197" s="95"/>
      <c r="L197" s="95"/>
      <c r="M197" s="96">
        <v>0</v>
      </c>
      <c r="N197" s="101">
        <f>G197+M197</f>
        <v>27400</v>
      </c>
      <c r="O197" s="363"/>
    </row>
    <row r="198" spans="1:15">
      <c r="A198" s="176"/>
      <c r="B198" s="88"/>
      <c r="C198" s="87" t="s">
        <v>231</v>
      </c>
      <c r="D198" s="57"/>
      <c r="E198" s="57"/>
      <c r="F198" s="57"/>
      <c r="G198" s="323">
        <v>3300</v>
      </c>
      <c r="H198" s="95"/>
      <c r="I198" s="115"/>
      <c r="J198" s="95"/>
      <c r="K198" s="95"/>
      <c r="L198" s="95"/>
      <c r="M198" s="104">
        <v>0</v>
      </c>
      <c r="N198" s="101">
        <f>G198+M198</f>
        <v>3300</v>
      </c>
      <c r="O198" s="363"/>
    </row>
    <row r="199" spans="1:15">
      <c r="A199" s="176"/>
      <c r="B199" s="88"/>
      <c r="C199" s="102" t="s">
        <v>232</v>
      </c>
      <c r="E199" s="93"/>
      <c r="F199" s="57"/>
      <c r="G199" s="103">
        <f>SUM(G196:G198)</f>
        <v>35700</v>
      </c>
      <c r="H199" s="104"/>
      <c r="I199" s="104"/>
      <c r="J199" s="104"/>
      <c r="K199" s="105"/>
      <c r="L199" s="105"/>
      <c r="M199" s="104"/>
      <c r="N199" s="277"/>
      <c r="O199" s="363"/>
    </row>
    <row r="200" spans="1:15">
      <c r="A200" s="176"/>
      <c r="B200" s="88"/>
      <c r="C200" s="243" t="s">
        <v>137</v>
      </c>
      <c r="E200" s="93"/>
      <c r="F200" s="57"/>
      <c r="G200" s="302">
        <v>35700</v>
      </c>
      <c r="H200" s="371">
        <f>'LINE ITEM EXP'!C26</f>
        <v>49214</v>
      </c>
      <c r="I200" s="372">
        <f>'LINE ITEM EXP'!D26</f>
        <v>8001</v>
      </c>
      <c r="J200" s="372">
        <f>'LINE ITEM EXP'!E26</f>
        <v>35700</v>
      </c>
      <c r="K200" s="373">
        <v>30000</v>
      </c>
      <c r="L200" s="373">
        <f>G199</f>
        <v>35700</v>
      </c>
      <c r="M200" s="372">
        <f>SUM(M196:M199)</f>
        <v>0</v>
      </c>
      <c r="N200" s="374">
        <f>SUM(N196:N199)</f>
        <v>35700</v>
      </c>
      <c r="O200" s="363"/>
    </row>
    <row r="201" spans="1:15">
      <c r="A201" s="168">
        <v>290</v>
      </c>
      <c r="B201" s="169" t="s">
        <v>233</v>
      </c>
      <c r="C201" s="248"/>
      <c r="D201" s="175"/>
      <c r="E201" s="305"/>
      <c r="F201" s="175"/>
      <c r="G201" s="322">
        <v>0</v>
      </c>
      <c r="H201" s="95"/>
      <c r="I201" s="95"/>
      <c r="J201" s="95"/>
      <c r="K201" s="95"/>
      <c r="L201" s="95"/>
      <c r="M201" s="96">
        <v>0</v>
      </c>
      <c r="N201" s="101">
        <f t="shared" ref="N201:N214" si="55">G201+M201</f>
        <v>0</v>
      </c>
      <c r="O201" s="363"/>
    </row>
    <row r="202" spans="1:15">
      <c r="A202" s="176"/>
      <c r="B202" s="88"/>
      <c r="C202" s="87" t="s">
        <v>234</v>
      </c>
      <c r="D202" s="57"/>
      <c r="E202" s="57"/>
      <c r="F202" s="57"/>
      <c r="G202" s="324">
        <v>28185</v>
      </c>
      <c r="H202" s="95"/>
      <c r="I202" s="95"/>
      <c r="J202" s="95"/>
      <c r="K202" s="95"/>
      <c r="L202" s="95"/>
      <c r="M202" s="96">
        <v>0</v>
      </c>
      <c r="N202" s="101">
        <f t="shared" si="55"/>
        <v>28185</v>
      </c>
      <c r="O202" s="363" t="s">
        <v>453</v>
      </c>
    </row>
    <row r="203" spans="1:15">
      <c r="A203" s="176"/>
      <c r="B203" s="88"/>
      <c r="C203" s="87" t="s">
        <v>235</v>
      </c>
      <c r="D203" s="153"/>
      <c r="E203" s="57"/>
      <c r="F203" s="57"/>
      <c r="G203" s="313">
        <v>220</v>
      </c>
      <c r="H203" s="95"/>
      <c r="I203" s="95"/>
      <c r="J203" s="95"/>
      <c r="K203" s="95"/>
      <c r="L203" s="95"/>
      <c r="M203" s="96">
        <v>0</v>
      </c>
      <c r="N203" s="101">
        <f t="shared" si="55"/>
        <v>220</v>
      </c>
      <c r="O203" s="363"/>
    </row>
    <row r="204" spans="1:15">
      <c r="A204" s="176"/>
      <c r="B204" s="88"/>
      <c r="C204" s="87" t="s">
        <v>236</v>
      </c>
      <c r="D204" s="153"/>
      <c r="E204" s="57"/>
      <c r="F204" s="57"/>
      <c r="G204" s="325">
        <v>408</v>
      </c>
      <c r="H204" s="95"/>
      <c r="I204" s="95"/>
      <c r="J204" s="95"/>
      <c r="K204" s="95"/>
      <c r="L204" s="95"/>
      <c r="M204" s="96">
        <v>0</v>
      </c>
      <c r="N204" s="101">
        <f t="shared" si="55"/>
        <v>408</v>
      </c>
      <c r="O204" s="363"/>
    </row>
    <row r="205" spans="1:15">
      <c r="A205" s="176"/>
      <c r="B205" s="88"/>
      <c r="C205" s="87" t="s">
        <v>237</v>
      </c>
      <c r="D205" s="153"/>
      <c r="E205" s="57"/>
      <c r="F205" s="57"/>
      <c r="G205" s="313">
        <v>800</v>
      </c>
      <c r="H205" s="95"/>
      <c r="I205" s="95"/>
      <c r="J205" s="95"/>
      <c r="K205" s="95"/>
      <c r="L205" s="95"/>
      <c r="M205" s="96">
        <v>0</v>
      </c>
      <c r="N205" s="101">
        <f t="shared" si="55"/>
        <v>800</v>
      </c>
      <c r="O205" s="363"/>
    </row>
    <row r="206" spans="1:15">
      <c r="A206" s="176"/>
      <c r="B206" s="88"/>
      <c r="C206" s="87" t="s">
        <v>238</v>
      </c>
      <c r="D206" s="153"/>
      <c r="E206" s="57"/>
      <c r="F206" s="57"/>
      <c r="G206" s="325">
        <v>8480</v>
      </c>
      <c r="H206" s="95"/>
      <c r="I206" s="95"/>
      <c r="J206" s="95"/>
      <c r="K206" s="95"/>
      <c r="L206" s="95"/>
      <c r="M206" s="96">
        <v>0</v>
      </c>
      <c r="N206" s="101">
        <f>G206+M206</f>
        <v>8480</v>
      </c>
      <c r="O206" s="363"/>
    </row>
    <row r="207" spans="1:15">
      <c r="A207" s="176"/>
      <c r="B207" s="88"/>
      <c r="C207" s="87" t="s">
        <v>239</v>
      </c>
      <c r="D207" s="153"/>
      <c r="E207" s="57"/>
      <c r="F207" s="57"/>
      <c r="G207" s="313">
        <v>730</v>
      </c>
      <c r="H207" s="95"/>
      <c r="I207" s="95"/>
      <c r="J207" s="95"/>
      <c r="K207" s="95"/>
      <c r="L207" s="95"/>
      <c r="M207" s="96">
        <v>0</v>
      </c>
      <c r="N207" s="101">
        <f>G207+M207</f>
        <v>730</v>
      </c>
      <c r="O207" s="363"/>
    </row>
    <row r="208" spans="1:15">
      <c r="A208" s="176"/>
      <c r="B208" s="88"/>
      <c r="C208" s="87" t="s">
        <v>240</v>
      </c>
      <c r="D208" s="153"/>
      <c r="E208" s="57"/>
      <c r="F208" s="57"/>
      <c r="G208" s="325">
        <v>225</v>
      </c>
      <c r="H208" s="95"/>
      <c r="I208" s="95"/>
      <c r="J208" s="95"/>
      <c r="K208" s="95"/>
      <c r="L208" s="95"/>
      <c r="M208" s="96">
        <v>0</v>
      </c>
      <c r="N208" s="101">
        <f>G208+M208</f>
        <v>225</v>
      </c>
      <c r="O208" s="363"/>
    </row>
    <row r="209" spans="1:15">
      <c r="A209" s="176"/>
      <c r="B209" s="88"/>
      <c r="C209" s="87" t="s">
        <v>241</v>
      </c>
      <c r="D209" s="153"/>
      <c r="E209" s="57"/>
      <c r="F209" s="57"/>
      <c r="G209" s="313">
        <v>7390</v>
      </c>
      <c r="H209" s="95"/>
      <c r="I209" s="95"/>
      <c r="J209" s="95"/>
      <c r="K209" s="95"/>
      <c r="L209" s="95"/>
      <c r="M209" s="96">
        <v>0</v>
      </c>
      <c r="N209" s="101">
        <f>G209+M209</f>
        <v>7390</v>
      </c>
      <c r="O209" s="363"/>
    </row>
    <row r="210" spans="1:15">
      <c r="A210" s="176"/>
      <c r="B210" s="88"/>
      <c r="C210" s="87" t="s">
        <v>357</v>
      </c>
      <c r="D210" s="57"/>
      <c r="E210" s="57"/>
      <c r="F210" s="57"/>
      <c r="G210" s="325">
        <v>483</v>
      </c>
      <c r="H210" s="95"/>
      <c r="I210" s="95"/>
      <c r="J210" s="95"/>
      <c r="K210" s="95"/>
      <c r="L210" s="95"/>
      <c r="M210" s="96">
        <v>0</v>
      </c>
      <c r="N210" s="101">
        <f t="shared" si="55"/>
        <v>483</v>
      </c>
      <c r="O210" s="363"/>
    </row>
    <row r="211" spans="1:15">
      <c r="A211" s="176"/>
      <c r="B211" s="88"/>
      <c r="C211" s="87" t="s">
        <v>242</v>
      </c>
      <c r="D211" s="153"/>
      <c r="E211" s="57"/>
      <c r="F211" s="57"/>
      <c r="G211" s="313">
        <v>300</v>
      </c>
      <c r="H211" s="95"/>
      <c r="I211" s="95"/>
      <c r="J211" s="95"/>
      <c r="K211" s="95"/>
      <c r="L211" s="95"/>
      <c r="M211" s="96">
        <v>0</v>
      </c>
      <c r="N211" s="101">
        <f t="shared" si="55"/>
        <v>300</v>
      </c>
      <c r="O211" s="363"/>
    </row>
    <row r="212" spans="1:15">
      <c r="A212" s="176"/>
      <c r="B212" s="88"/>
      <c r="C212" s="87" t="s">
        <v>365</v>
      </c>
      <c r="D212" s="153"/>
      <c r="E212" s="57"/>
      <c r="F212" s="57"/>
      <c r="G212" s="313">
        <v>0</v>
      </c>
      <c r="H212" s="95"/>
      <c r="I212" s="95"/>
      <c r="J212" s="95"/>
      <c r="K212" s="95"/>
      <c r="L212" s="95"/>
      <c r="M212" s="96">
        <v>0</v>
      </c>
      <c r="N212" s="101">
        <f t="shared" si="55"/>
        <v>0</v>
      </c>
      <c r="O212" s="363"/>
    </row>
    <row r="213" spans="1:15">
      <c r="A213" s="176"/>
      <c r="B213" s="88"/>
      <c r="C213" s="87"/>
      <c r="D213" s="153"/>
      <c r="E213" s="57"/>
      <c r="F213" s="57"/>
      <c r="G213" s="323">
        <v>0</v>
      </c>
      <c r="H213" s="95"/>
      <c r="I213" s="95"/>
      <c r="J213" s="95"/>
      <c r="K213" s="95"/>
      <c r="L213" s="95"/>
      <c r="M213" s="96">
        <v>0</v>
      </c>
      <c r="N213" s="101">
        <f t="shared" si="55"/>
        <v>0</v>
      </c>
      <c r="O213" s="363"/>
    </row>
    <row r="214" spans="1:15">
      <c r="A214" s="176"/>
      <c r="B214" s="88"/>
      <c r="C214" s="87"/>
      <c r="D214" s="57"/>
      <c r="E214" s="57"/>
      <c r="F214" s="57"/>
      <c r="G214" s="323">
        <v>0</v>
      </c>
      <c r="H214" s="95"/>
      <c r="I214" s="95"/>
      <c r="J214" s="95"/>
      <c r="K214" s="95"/>
      <c r="L214" s="95"/>
      <c r="M214" s="96">
        <v>0</v>
      </c>
      <c r="N214" s="101">
        <f t="shared" si="55"/>
        <v>0</v>
      </c>
      <c r="O214" s="363"/>
    </row>
    <row r="215" spans="1:15">
      <c r="A215" s="176"/>
      <c r="B215" s="88"/>
      <c r="C215" s="102" t="s">
        <v>243</v>
      </c>
      <c r="E215" s="93"/>
      <c r="F215" s="57"/>
      <c r="G215" s="255">
        <f>SUM(G201:G214)</f>
        <v>47221</v>
      </c>
      <c r="H215" s="105"/>
      <c r="I215" s="104"/>
      <c r="J215" s="104"/>
      <c r="K215" s="105"/>
      <c r="L215" s="105"/>
      <c r="M215" s="104"/>
      <c r="N215" s="277"/>
      <c r="O215" s="363"/>
    </row>
    <row r="216" spans="1:15">
      <c r="A216" s="195"/>
      <c r="B216" s="256"/>
      <c r="C216" s="257" t="s">
        <v>137</v>
      </c>
      <c r="D216" s="196"/>
      <c r="E216" s="326"/>
      <c r="F216" s="327"/>
      <c r="G216" s="261">
        <v>45216</v>
      </c>
      <c r="H216" s="371">
        <f>'LINE ITEM EXP'!C27</f>
        <v>36677</v>
      </c>
      <c r="I216" s="372">
        <f>'LINE ITEM EXP'!D27</f>
        <v>12304</v>
      </c>
      <c r="J216" s="372">
        <f>'LINE ITEM EXP'!E27</f>
        <v>45216</v>
      </c>
      <c r="K216" s="373">
        <v>45216</v>
      </c>
      <c r="L216" s="373">
        <f>G215</f>
        <v>47221</v>
      </c>
      <c r="M216" s="372">
        <f>SUM(M201:M215)</f>
        <v>0</v>
      </c>
      <c r="N216" s="374">
        <f>SUM(N201:N215)</f>
        <v>47221</v>
      </c>
      <c r="O216" s="363"/>
    </row>
    <row r="217" spans="1:15">
      <c r="A217" s="168">
        <v>295</v>
      </c>
      <c r="B217" s="169" t="s">
        <v>244</v>
      </c>
      <c r="C217" s="248" t="s">
        <v>245</v>
      </c>
      <c r="D217" s="170"/>
      <c r="E217" s="305"/>
      <c r="F217" s="175"/>
      <c r="G217" s="317">
        <v>100</v>
      </c>
      <c r="H217" s="95"/>
      <c r="I217" s="95"/>
      <c r="J217" s="95"/>
      <c r="K217" s="95"/>
      <c r="L217" s="95"/>
      <c r="M217" s="96">
        <v>0</v>
      </c>
      <c r="N217" s="101">
        <f>G217+M217</f>
        <v>100</v>
      </c>
      <c r="O217" s="363"/>
    </row>
    <row r="218" spans="1:15">
      <c r="A218" s="176"/>
      <c r="B218" s="88"/>
      <c r="C218" s="102" t="s">
        <v>246</v>
      </c>
      <c r="E218" s="93"/>
      <c r="F218" s="57"/>
      <c r="G218" s="255">
        <f>G217</f>
        <v>100</v>
      </c>
      <c r="H218" s="105"/>
      <c r="I218" s="104"/>
      <c r="J218" s="104"/>
      <c r="K218" s="105"/>
      <c r="L218" s="105"/>
      <c r="M218" s="104"/>
      <c r="N218" s="277"/>
      <c r="O218" s="363"/>
    </row>
    <row r="219" spans="1:15">
      <c r="A219" s="195"/>
      <c r="B219" s="256"/>
      <c r="C219" s="257" t="s">
        <v>137</v>
      </c>
      <c r="D219" s="196"/>
      <c r="E219" s="326"/>
      <c r="F219" s="327"/>
      <c r="G219" s="261">
        <v>100</v>
      </c>
      <c r="H219" s="371">
        <f>'LINE ITEM EXP'!C28</f>
        <v>109</v>
      </c>
      <c r="I219" s="372">
        <f>'LINE ITEM EXP'!D28</f>
        <v>0</v>
      </c>
      <c r="J219" s="372">
        <f>'LINE ITEM EXP'!E28</f>
        <v>100</v>
      </c>
      <c r="K219" s="373">
        <v>0</v>
      </c>
      <c r="L219" s="373">
        <f>G218</f>
        <v>100</v>
      </c>
      <c r="M219" s="372">
        <f>SUM(M217:M218)</f>
        <v>0</v>
      </c>
      <c r="N219" s="374">
        <f>SUM(N217:N218)</f>
        <v>100</v>
      </c>
      <c r="O219" s="363"/>
    </row>
    <row r="220" spans="1:15">
      <c r="A220" s="180">
        <v>310</v>
      </c>
      <c r="B220" s="91" t="s">
        <v>247</v>
      </c>
      <c r="C220" s="87" t="s">
        <v>247</v>
      </c>
      <c r="D220" s="111" t="s">
        <v>248</v>
      </c>
      <c r="E220" s="139"/>
      <c r="F220" s="57"/>
      <c r="G220" s="317">
        <v>0</v>
      </c>
      <c r="H220" s="95"/>
      <c r="I220" s="95"/>
      <c r="J220" s="95"/>
      <c r="K220" s="95"/>
      <c r="L220" s="95"/>
      <c r="M220" s="96">
        <v>0</v>
      </c>
      <c r="N220" s="101">
        <f>G220+M220</f>
        <v>0</v>
      </c>
      <c r="O220" s="363"/>
    </row>
    <row r="221" spans="1:15">
      <c r="A221" s="176"/>
      <c r="B221" s="88"/>
      <c r="C221" s="102" t="s">
        <v>246</v>
      </c>
      <c r="E221" s="93"/>
      <c r="F221" s="57"/>
      <c r="G221" s="103">
        <f>G220</f>
        <v>0</v>
      </c>
      <c r="H221" s="104"/>
      <c r="I221" s="104"/>
      <c r="J221" s="104"/>
      <c r="K221" s="105"/>
      <c r="L221" s="105"/>
      <c r="M221" s="104"/>
      <c r="N221" s="277"/>
      <c r="O221" s="363"/>
    </row>
    <row r="222" spans="1:15">
      <c r="A222" s="176"/>
      <c r="B222" s="88"/>
      <c r="C222" s="243" t="s">
        <v>137</v>
      </c>
      <c r="E222" s="93"/>
      <c r="F222" s="57"/>
      <c r="G222" s="302">
        <v>0</v>
      </c>
      <c r="H222" s="371">
        <f>'LINE ITEM EXP'!C29</f>
        <v>0</v>
      </c>
      <c r="I222" s="372">
        <f>'LINE ITEM EXP'!D29</f>
        <v>0</v>
      </c>
      <c r="J222" s="372">
        <f>'LINE ITEM EXP'!E29</f>
        <v>0</v>
      </c>
      <c r="K222" s="373">
        <f>G222</f>
        <v>0</v>
      </c>
      <c r="L222" s="373">
        <f>G221</f>
        <v>0</v>
      </c>
      <c r="M222" s="372">
        <f>SUM(M220:M221)</f>
        <v>0</v>
      </c>
      <c r="N222" s="374">
        <f>SUM(N220:N221)</f>
        <v>0</v>
      </c>
      <c r="O222" s="363"/>
    </row>
    <row r="223" spans="1:15">
      <c r="A223" s="168">
        <v>310</v>
      </c>
      <c r="B223" s="169" t="s">
        <v>247</v>
      </c>
      <c r="C223" s="248" t="s">
        <v>249</v>
      </c>
      <c r="D223" s="328"/>
      <c r="E223" s="305"/>
      <c r="F223" s="175"/>
      <c r="G223" s="306">
        <v>0</v>
      </c>
      <c r="H223" s="95"/>
      <c r="I223" s="95"/>
      <c r="J223" s="95"/>
      <c r="K223" s="95"/>
      <c r="L223" s="95"/>
      <c r="M223" s="96">
        <v>0</v>
      </c>
      <c r="N223" s="101">
        <f>G223+M223</f>
        <v>0</v>
      </c>
      <c r="O223" s="363"/>
    </row>
    <row r="224" spans="1:15">
      <c r="A224" s="176">
        <v>505</v>
      </c>
      <c r="B224" s="88" t="s">
        <v>250</v>
      </c>
      <c r="C224" s="102" t="s">
        <v>251</v>
      </c>
      <c r="E224" s="93"/>
      <c r="F224" s="57"/>
      <c r="G224" s="255">
        <f>G223</f>
        <v>0</v>
      </c>
      <c r="H224" s="105"/>
      <c r="I224" s="104"/>
      <c r="J224" s="104"/>
      <c r="K224" s="105"/>
      <c r="L224" s="105"/>
      <c r="M224" s="104"/>
      <c r="N224" s="277"/>
      <c r="O224" s="363"/>
    </row>
    <row r="225" spans="1:15">
      <c r="A225" s="195"/>
      <c r="B225" s="256"/>
      <c r="C225" s="257" t="s">
        <v>137</v>
      </c>
      <c r="D225" s="196"/>
      <c r="E225" s="326"/>
      <c r="F225" s="327"/>
      <c r="G225" s="261">
        <v>0</v>
      </c>
      <c r="H225" s="371">
        <f>'LINE ITEM EXP'!C30</f>
        <v>0</v>
      </c>
      <c r="I225" s="372">
        <f>'LINE ITEM EXP'!D30</f>
        <v>0</v>
      </c>
      <c r="J225" s="372">
        <f>'LINE ITEM EXP'!E30</f>
        <v>0</v>
      </c>
      <c r="K225" s="373">
        <f>G225</f>
        <v>0</v>
      </c>
      <c r="L225" s="373">
        <f>G224</f>
        <v>0</v>
      </c>
      <c r="M225" s="372">
        <f>SUM(M223:M224)</f>
        <v>0</v>
      </c>
      <c r="N225" s="374">
        <f>SUM(N223:N224)</f>
        <v>0</v>
      </c>
      <c r="O225" s="363"/>
    </row>
    <row r="226" spans="1:15">
      <c r="A226" s="180">
        <v>320</v>
      </c>
      <c r="B226" s="91" t="s">
        <v>252</v>
      </c>
      <c r="C226" s="87" t="s">
        <v>253</v>
      </c>
      <c r="D226" s="152" t="s">
        <v>254</v>
      </c>
      <c r="E226" s="139"/>
      <c r="F226" s="57"/>
      <c r="G226" s="322">
        <v>795</v>
      </c>
      <c r="H226" s="95"/>
      <c r="I226" s="95"/>
      <c r="J226" s="95"/>
      <c r="K226" s="95"/>
      <c r="L226" s="95"/>
      <c r="M226" s="96">
        <v>0</v>
      </c>
      <c r="N226" s="101">
        <f>G226+M226</f>
        <v>795</v>
      </c>
      <c r="O226" s="363"/>
    </row>
    <row r="227" spans="1:15">
      <c r="A227" s="176"/>
      <c r="B227" s="88"/>
      <c r="C227" s="87" t="s">
        <v>255</v>
      </c>
      <c r="D227" s="7" t="s">
        <v>256</v>
      </c>
      <c r="E227" s="139"/>
      <c r="F227" s="57"/>
      <c r="G227" s="329">
        <v>820</v>
      </c>
      <c r="H227" s="95"/>
      <c r="I227" s="95"/>
      <c r="J227" s="95"/>
      <c r="K227" s="95"/>
      <c r="L227" s="95"/>
      <c r="M227" s="96">
        <v>0</v>
      </c>
      <c r="N227" s="101">
        <f>G227+M227</f>
        <v>820</v>
      </c>
      <c r="O227" s="363"/>
    </row>
    <row r="228" spans="1:15">
      <c r="A228" s="176"/>
      <c r="B228" s="88"/>
      <c r="C228" s="102" t="s">
        <v>257</v>
      </c>
      <c r="E228" s="93"/>
      <c r="F228" s="57"/>
      <c r="G228" s="103">
        <f>SUM(G226:G227)</f>
        <v>1615</v>
      </c>
      <c r="H228" s="104"/>
      <c r="I228" s="104"/>
      <c r="J228" s="104"/>
      <c r="K228" s="105"/>
      <c r="L228" s="105"/>
      <c r="M228" s="104"/>
      <c r="N228" s="277"/>
      <c r="O228" s="363"/>
    </row>
    <row r="229" spans="1:15" ht="13.5" thickBot="1">
      <c r="A229" s="176"/>
      <c r="B229" s="88"/>
      <c r="C229" s="243" t="s">
        <v>137</v>
      </c>
      <c r="E229" s="93"/>
      <c r="F229" s="57"/>
      <c r="G229" s="302">
        <v>1615</v>
      </c>
      <c r="H229" s="371">
        <f>'LINE ITEM EXP'!C31</f>
        <v>1003</v>
      </c>
      <c r="I229" s="372">
        <f>'LINE ITEM EXP'!D31</f>
        <v>589</v>
      </c>
      <c r="J229" s="372">
        <f>'LINE ITEM EXP'!E31</f>
        <v>1615</v>
      </c>
      <c r="K229" s="373">
        <f>G229</f>
        <v>1615</v>
      </c>
      <c r="L229" s="373">
        <f>G228</f>
        <v>1615</v>
      </c>
      <c r="M229" s="372">
        <f>SUM(M226:M228)</f>
        <v>0</v>
      </c>
      <c r="N229" s="374">
        <f>SUM(N226:N228)</f>
        <v>1615</v>
      </c>
      <c r="O229" s="376"/>
    </row>
    <row r="230" spans="1:15">
      <c r="A230" s="168">
        <v>330</v>
      </c>
      <c r="B230" s="169" t="s">
        <v>258</v>
      </c>
      <c r="C230" s="248" t="s">
        <v>259</v>
      </c>
      <c r="D230" s="170"/>
      <c r="E230" s="305"/>
      <c r="F230" s="175"/>
      <c r="G230" s="322">
        <v>1500</v>
      </c>
      <c r="H230" s="95"/>
      <c r="I230" s="95"/>
      <c r="J230" s="95"/>
      <c r="K230" s="95"/>
      <c r="L230" s="95"/>
      <c r="M230" s="96">
        <v>0</v>
      </c>
      <c r="N230" s="101">
        <f>G230+M230</f>
        <v>1500</v>
      </c>
      <c r="O230" s="377"/>
    </row>
    <row r="231" spans="1:15">
      <c r="A231" s="176"/>
      <c r="B231" s="91"/>
      <c r="C231" s="87" t="s">
        <v>260</v>
      </c>
      <c r="D231" s="57"/>
      <c r="E231" s="57"/>
      <c r="F231" s="57"/>
      <c r="G231" s="313">
        <v>3500</v>
      </c>
      <c r="H231" s="95"/>
      <c r="I231" s="95"/>
      <c r="J231" s="95"/>
      <c r="K231" s="95"/>
      <c r="L231" s="95"/>
      <c r="M231" s="96">
        <v>0</v>
      </c>
      <c r="N231" s="101">
        <f>G231+M231</f>
        <v>3500</v>
      </c>
      <c r="O231" s="363"/>
    </row>
    <row r="232" spans="1:15">
      <c r="A232" s="176"/>
      <c r="B232" s="88"/>
      <c r="C232" s="114" t="s">
        <v>261</v>
      </c>
      <c r="D232" s="57"/>
      <c r="E232" s="57"/>
      <c r="F232" s="57"/>
      <c r="G232" s="323">
        <v>1600</v>
      </c>
      <c r="H232" s="95"/>
      <c r="I232" s="95"/>
      <c r="J232" s="95"/>
      <c r="K232" s="95"/>
      <c r="L232" s="95"/>
      <c r="M232" s="96">
        <v>0</v>
      </c>
      <c r="N232" s="101">
        <f>G232+M232</f>
        <v>1600</v>
      </c>
      <c r="O232" s="363"/>
    </row>
    <row r="233" spans="1:15">
      <c r="A233" s="176"/>
      <c r="B233" s="88"/>
      <c r="C233" s="102" t="s">
        <v>262</v>
      </c>
      <c r="E233" s="93"/>
      <c r="F233" s="57"/>
      <c r="G233" s="255">
        <f>SUM(G230:G232)</f>
        <v>6600</v>
      </c>
      <c r="H233" s="105"/>
      <c r="I233" s="104"/>
      <c r="J233" s="104"/>
      <c r="K233" s="105"/>
      <c r="L233" s="105"/>
      <c r="M233" s="104"/>
      <c r="N233" s="277"/>
      <c r="O233" s="363"/>
    </row>
    <row r="234" spans="1:15">
      <c r="A234" s="195"/>
      <c r="B234" s="256"/>
      <c r="C234" s="257" t="s">
        <v>137</v>
      </c>
      <c r="D234" s="196"/>
      <c r="E234" s="326"/>
      <c r="F234" s="327"/>
      <c r="G234" s="261">
        <v>6600</v>
      </c>
      <c r="H234" s="371">
        <f>'LINE ITEM EXP'!C32</f>
        <v>5797</v>
      </c>
      <c r="I234" s="372">
        <f>'LINE ITEM EXP'!D32</f>
        <v>4478</v>
      </c>
      <c r="J234" s="372">
        <f>'LINE ITEM EXP'!E32</f>
        <v>6600</v>
      </c>
      <c r="K234" s="373">
        <f>G234</f>
        <v>6600</v>
      </c>
      <c r="L234" s="373">
        <f>G233</f>
        <v>6600</v>
      </c>
      <c r="M234" s="372">
        <f>SUM(M230:M233)</f>
        <v>0</v>
      </c>
      <c r="N234" s="374">
        <f>SUM(N230:N233)</f>
        <v>6600</v>
      </c>
      <c r="O234" s="363"/>
    </row>
    <row r="235" spans="1:15">
      <c r="A235" s="168">
        <v>335</v>
      </c>
      <c r="B235" s="169" t="s">
        <v>263</v>
      </c>
      <c r="C235" s="248" t="s">
        <v>264</v>
      </c>
      <c r="D235" s="170"/>
      <c r="E235" s="305"/>
      <c r="F235" s="175"/>
      <c r="G235" s="322">
        <v>1785</v>
      </c>
      <c r="H235" s="95"/>
      <c r="I235" s="95"/>
      <c r="J235" s="95"/>
      <c r="K235" s="95"/>
      <c r="L235" s="95"/>
      <c r="M235" s="96">
        <v>0</v>
      </c>
      <c r="N235" s="101">
        <f>G235+M235</f>
        <v>1785</v>
      </c>
      <c r="O235" s="363"/>
    </row>
    <row r="236" spans="1:15">
      <c r="A236" s="180"/>
      <c r="B236" s="91"/>
      <c r="C236" s="114" t="s">
        <v>265</v>
      </c>
      <c r="D236" s="111"/>
      <c r="E236" s="139"/>
      <c r="F236" s="57"/>
      <c r="G236" s="317">
        <v>1545</v>
      </c>
      <c r="H236" s="95"/>
      <c r="I236" s="95"/>
      <c r="J236" s="95"/>
      <c r="K236" s="95"/>
      <c r="L236" s="95"/>
      <c r="M236" s="96">
        <v>0</v>
      </c>
      <c r="N236" s="101">
        <f>G236+M236</f>
        <v>1545</v>
      </c>
      <c r="O236" s="363"/>
    </row>
    <row r="237" spans="1:15">
      <c r="A237" s="176"/>
      <c r="B237" s="88"/>
      <c r="C237" s="87" t="s">
        <v>266</v>
      </c>
      <c r="E237" s="57"/>
      <c r="F237" s="57"/>
      <c r="G237" s="323">
        <v>700</v>
      </c>
      <c r="H237" s="95"/>
      <c r="I237" s="95"/>
      <c r="J237" s="95"/>
      <c r="K237" s="95"/>
      <c r="L237" s="95"/>
      <c r="M237" s="96">
        <v>0</v>
      </c>
      <c r="N237" s="101">
        <f>G237+M237</f>
        <v>700</v>
      </c>
      <c r="O237" s="363"/>
    </row>
    <row r="238" spans="1:15">
      <c r="A238" s="176"/>
      <c r="B238" s="88"/>
      <c r="C238" s="102" t="s">
        <v>267</v>
      </c>
      <c r="D238" s="154"/>
      <c r="E238" s="93"/>
      <c r="F238" s="57"/>
      <c r="G238" s="255">
        <f>SUM(G235:G237)</f>
        <v>4030</v>
      </c>
      <c r="H238" s="105"/>
      <c r="I238" s="104"/>
      <c r="J238" s="104"/>
      <c r="K238" s="105"/>
      <c r="L238" s="105"/>
      <c r="M238" s="104"/>
      <c r="N238" s="277"/>
      <c r="O238" s="363"/>
    </row>
    <row r="239" spans="1:15">
      <c r="A239" s="195"/>
      <c r="B239" s="256"/>
      <c r="C239" s="257" t="s">
        <v>137</v>
      </c>
      <c r="D239" s="330"/>
      <c r="E239" s="326"/>
      <c r="F239" s="327"/>
      <c r="G239" s="261">
        <v>4030</v>
      </c>
      <c r="H239" s="371">
        <f>'LINE ITEM EXP'!C33</f>
        <v>6219</v>
      </c>
      <c r="I239" s="372">
        <f>'LINE ITEM EXP'!D33</f>
        <v>1882</v>
      </c>
      <c r="J239" s="372">
        <f>'LINE ITEM EXP'!E33</f>
        <v>4030</v>
      </c>
      <c r="K239" s="373">
        <f>G239</f>
        <v>4030</v>
      </c>
      <c r="L239" s="373">
        <f>G238</f>
        <v>4030</v>
      </c>
      <c r="M239" s="372">
        <f>SUM(M235:M238)</f>
        <v>0</v>
      </c>
      <c r="N239" s="374">
        <f>SUM(N235:N238)</f>
        <v>4030</v>
      </c>
      <c r="O239" s="363"/>
    </row>
    <row r="240" spans="1:15">
      <c r="A240" s="168">
        <v>340</v>
      </c>
      <c r="B240" s="169" t="s">
        <v>268</v>
      </c>
      <c r="C240" s="248" t="s">
        <v>269</v>
      </c>
      <c r="D240" s="175"/>
      <c r="E240" s="175"/>
      <c r="F240" s="175"/>
      <c r="G240" s="331">
        <v>3800</v>
      </c>
      <c r="H240" s="95"/>
      <c r="I240" s="95"/>
      <c r="J240" s="95"/>
      <c r="K240" s="95"/>
      <c r="L240" s="95"/>
      <c r="M240" s="96">
        <v>0</v>
      </c>
      <c r="N240" s="101">
        <f>G240+M240</f>
        <v>3800</v>
      </c>
      <c r="O240" s="363"/>
    </row>
    <row r="241" spans="1:15">
      <c r="A241" s="180"/>
      <c r="B241" s="91"/>
      <c r="C241" s="87" t="s">
        <v>360</v>
      </c>
      <c r="D241" s="111"/>
      <c r="F241" s="57"/>
      <c r="G241" s="332">
        <v>4810</v>
      </c>
      <c r="H241" s="95"/>
      <c r="I241" s="95"/>
      <c r="J241" s="95"/>
      <c r="K241" s="95"/>
      <c r="L241" s="95"/>
      <c r="M241" s="96">
        <v>0</v>
      </c>
      <c r="N241" s="101">
        <f t="shared" ref="N241:N247" si="56">G241+M241</f>
        <v>4810</v>
      </c>
      <c r="O241" s="363"/>
    </row>
    <row r="242" spans="1:15">
      <c r="A242" s="180"/>
      <c r="B242" s="91"/>
      <c r="C242" s="87" t="s">
        <v>361</v>
      </c>
      <c r="D242" s="111"/>
      <c r="F242" s="57"/>
      <c r="G242" s="332">
        <v>3650</v>
      </c>
      <c r="H242" s="95"/>
      <c r="I242" s="95"/>
      <c r="J242" s="95"/>
      <c r="K242" s="95"/>
      <c r="L242" s="95"/>
      <c r="M242" s="96">
        <v>0</v>
      </c>
      <c r="N242" s="101">
        <f t="shared" si="56"/>
        <v>3650</v>
      </c>
      <c r="O242" s="363"/>
    </row>
    <row r="243" spans="1:15">
      <c r="A243" s="180"/>
      <c r="B243" s="91"/>
      <c r="C243" s="404" t="s">
        <v>270</v>
      </c>
      <c r="D243" s="111"/>
      <c r="F243" s="57"/>
      <c r="G243" s="332">
        <v>2980</v>
      </c>
      <c r="H243" s="95"/>
      <c r="I243" s="95"/>
      <c r="J243" s="95"/>
      <c r="K243" s="95"/>
      <c r="L243" s="95"/>
      <c r="M243" s="96">
        <v>0</v>
      </c>
      <c r="N243" s="101">
        <f t="shared" si="56"/>
        <v>2980</v>
      </c>
      <c r="O243" s="363"/>
    </row>
    <row r="244" spans="1:15">
      <c r="A244" s="180"/>
      <c r="B244" s="91"/>
      <c r="C244" s="87" t="s">
        <v>271</v>
      </c>
      <c r="D244" s="111"/>
      <c r="F244" s="57"/>
      <c r="G244" s="332">
        <v>2900</v>
      </c>
      <c r="H244" s="95"/>
      <c r="I244" s="95"/>
      <c r="J244" s="95"/>
      <c r="K244" s="95"/>
      <c r="L244" s="95"/>
      <c r="M244" s="96">
        <v>0</v>
      </c>
      <c r="N244" s="101">
        <f>G244+M244</f>
        <v>2900</v>
      </c>
      <c r="O244" s="363"/>
    </row>
    <row r="245" spans="1:15">
      <c r="A245" s="180"/>
      <c r="B245" s="91"/>
      <c r="C245" s="87" t="s">
        <v>362</v>
      </c>
      <c r="D245" s="111"/>
      <c r="F245" s="57"/>
      <c r="G245" s="332">
        <v>7700</v>
      </c>
      <c r="H245" s="95"/>
      <c r="I245" s="95"/>
      <c r="J245" s="95"/>
      <c r="K245" s="95"/>
      <c r="L245" s="95"/>
      <c r="M245" s="96">
        <v>0</v>
      </c>
      <c r="N245" s="101">
        <f>G245+M245</f>
        <v>7700</v>
      </c>
      <c r="O245" s="363"/>
    </row>
    <row r="246" spans="1:15">
      <c r="A246" s="180"/>
      <c r="B246" s="91"/>
      <c r="C246" s="87" t="s">
        <v>364</v>
      </c>
      <c r="D246" s="111"/>
      <c r="F246" s="57"/>
      <c r="G246" s="332">
        <v>3700</v>
      </c>
      <c r="H246" s="95"/>
      <c r="I246" s="95"/>
      <c r="J246" s="95"/>
      <c r="K246" s="95"/>
      <c r="L246" s="95"/>
      <c r="M246" s="96">
        <v>0</v>
      </c>
      <c r="N246" s="101">
        <f t="shared" si="56"/>
        <v>3700</v>
      </c>
      <c r="O246" s="363"/>
    </row>
    <row r="247" spans="1:15">
      <c r="A247" s="180"/>
      <c r="B247" s="91"/>
      <c r="C247" s="87" t="s">
        <v>363</v>
      </c>
      <c r="D247" s="111"/>
      <c r="F247" s="57"/>
      <c r="G247" s="332">
        <v>2000</v>
      </c>
      <c r="H247" s="95"/>
      <c r="I247" s="95"/>
      <c r="J247" s="95"/>
      <c r="K247" s="95"/>
      <c r="L247" s="95"/>
      <c r="M247" s="96">
        <v>0</v>
      </c>
      <c r="N247" s="101">
        <f t="shared" si="56"/>
        <v>2000</v>
      </c>
      <c r="O247" s="363"/>
    </row>
    <row r="248" spans="1:15">
      <c r="A248" s="180"/>
      <c r="B248" s="91"/>
      <c r="C248" s="87" t="s">
        <v>452</v>
      </c>
      <c r="D248" s="111"/>
      <c r="F248" s="57"/>
      <c r="G248" s="332">
        <v>0</v>
      </c>
      <c r="H248" s="95"/>
      <c r="I248" s="95"/>
      <c r="J248" s="95"/>
      <c r="K248" s="95"/>
      <c r="L248" s="95"/>
      <c r="M248" s="96">
        <v>0</v>
      </c>
      <c r="N248" s="101">
        <v>1400</v>
      </c>
      <c r="O248" s="363"/>
    </row>
    <row r="249" spans="1:15">
      <c r="A249" s="176"/>
      <c r="B249" s="88"/>
      <c r="C249" s="87" t="s">
        <v>444</v>
      </c>
      <c r="D249" s="57"/>
      <c r="E249" s="57"/>
      <c r="F249" s="57"/>
      <c r="G249" s="332">
        <v>5000</v>
      </c>
      <c r="H249" s="95"/>
      <c r="I249" s="95"/>
      <c r="J249" s="95"/>
      <c r="K249" s="95"/>
      <c r="L249" s="95"/>
      <c r="M249" s="96">
        <v>0</v>
      </c>
      <c r="N249" s="101">
        <f>G249+M249</f>
        <v>5000</v>
      </c>
      <c r="O249" s="363"/>
    </row>
    <row r="250" spans="1:15">
      <c r="A250" s="176"/>
      <c r="B250" s="88"/>
      <c r="C250" s="102" t="s">
        <v>272</v>
      </c>
      <c r="E250" s="93"/>
      <c r="F250" s="57"/>
      <c r="G250" s="255">
        <f>SUM(G240:G249)</f>
        <v>36540</v>
      </c>
      <c r="H250" s="105"/>
      <c r="I250" s="104"/>
      <c r="J250" s="104"/>
      <c r="K250" s="105"/>
      <c r="L250" s="105"/>
      <c r="M250" s="104"/>
      <c r="N250" s="277"/>
      <c r="O250" s="363"/>
    </row>
    <row r="251" spans="1:15">
      <c r="A251" s="195"/>
      <c r="B251" s="256"/>
      <c r="C251" s="257" t="s">
        <v>137</v>
      </c>
      <c r="D251" s="196"/>
      <c r="E251" s="326"/>
      <c r="F251" s="327"/>
      <c r="G251" s="261">
        <v>31540</v>
      </c>
      <c r="H251" s="371">
        <f>'LINE ITEM EXP'!C34</f>
        <v>31868</v>
      </c>
      <c r="I251" s="372">
        <f>'LINE ITEM EXP'!D34</f>
        <v>23637</v>
      </c>
      <c r="J251" s="372">
        <f>'LINE ITEM EXP'!E34</f>
        <v>31540</v>
      </c>
      <c r="K251" s="373">
        <f>G251</f>
        <v>31540</v>
      </c>
      <c r="L251" s="373">
        <f>G250</f>
        <v>36540</v>
      </c>
      <c r="M251" s="372">
        <f>SUM(M240:M250)</f>
        <v>0</v>
      </c>
      <c r="N251" s="374">
        <f>SUM(N240:N250)</f>
        <v>37940</v>
      </c>
      <c r="O251" s="363" t="s">
        <v>359</v>
      </c>
    </row>
    <row r="252" spans="1:15">
      <c r="A252" s="168">
        <v>350</v>
      </c>
      <c r="B252" s="169" t="s">
        <v>273</v>
      </c>
      <c r="C252" s="248" t="s">
        <v>274</v>
      </c>
      <c r="D252" s="170"/>
      <c r="E252" s="249"/>
      <c r="F252" s="175"/>
      <c r="G252" s="317">
        <v>2000</v>
      </c>
      <c r="H252" s="95"/>
      <c r="I252" s="95"/>
      <c r="J252" s="95"/>
      <c r="K252" s="95"/>
      <c r="L252" s="95"/>
      <c r="M252" s="96">
        <v>0</v>
      </c>
      <c r="N252" s="101">
        <f t="shared" ref="N252:N258" si="57">G252+M252</f>
        <v>2000</v>
      </c>
      <c r="O252" s="363"/>
    </row>
    <row r="253" spans="1:15">
      <c r="A253" s="180"/>
      <c r="B253" s="91"/>
      <c r="C253" s="87" t="s">
        <v>275</v>
      </c>
      <c r="D253" s="57"/>
      <c r="E253" s="57"/>
      <c r="F253" s="57"/>
      <c r="G253" s="313">
        <v>75</v>
      </c>
      <c r="H253" s="95"/>
      <c r="I253" s="95"/>
      <c r="J253" s="95"/>
      <c r="K253" s="95"/>
      <c r="L253" s="95"/>
      <c r="M253" s="96">
        <v>0</v>
      </c>
      <c r="N253" s="101">
        <f t="shared" si="57"/>
        <v>75</v>
      </c>
      <c r="O253" s="363"/>
    </row>
    <row r="254" spans="1:15">
      <c r="A254" s="180"/>
      <c r="B254" s="91"/>
      <c r="C254" s="87"/>
      <c r="D254" s="111"/>
      <c r="F254" s="57"/>
      <c r="G254" s="313">
        <v>0</v>
      </c>
      <c r="H254" s="95"/>
      <c r="I254" s="95"/>
      <c r="J254" s="95"/>
      <c r="K254" s="95"/>
      <c r="L254" s="95"/>
      <c r="M254" s="96">
        <v>0</v>
      </c>
      <c r="N254" s="101">
        <f t="shared" si="57"/>
        <v>0</v>
      </c>
      <c r="O254" s="363"/>
    </row>
    <row r="255" spans="1:15">
      <c r="A255" s="180"/>
      <c r="B255" s="91"/>
      <c r="C255" s="87"/>
      <c r="D255" s="111"/>
      <c r="F255" s="57"/>
      <c r="G255" s="313">
        <v>0</v>
      </c>
      <c r="H255" s="95"/>
      <c r="I255" s="95"/>
      <c r="J255" s="95"/>
      <c r="K255" s="95"/>
      <c r="L255" s="95"/>
      <c r="M255" s="96">
        <v>0</v>
      </c>
      <c r="N255" s="101">
        <f t="shared" si="57"/>
        <v>0</v>
      </c>
      <c r="O255" s="363"/>
    </row>
    <row r="256" spans="1:15">
      <c r="A256" s="180"/>
      <c r="B256" s="91"/>
      <c r="C256" s="87"/>
      <c r="D256" s="111"/>
      <c r="F256" s="57"/>
      <c r="G256" s="313">
        <v>0</v>
      </c>
      <c r="H256" s="95"/>
      <c r="I256" s="95"/>
      <c r="J256" s="95"/>
      <c r="K256" s="95"/>
      <c r="L256" s="95"/>
      <c r="M256" s="96">
        <v>0</v>
      </c>
      <c r="N256" s="101">
        <f t="shared" si="57"/>
        <v>0</v>
      </c>
      <c r="O256" s="363"/>
    </row>
    <row r="257" spans="1:15">
      <c r="A257" s="180"/>
      <c r="B257" s="91"/>
      <c r="C257" s="87"/>
      <c r="D257" s="57"/>
      <c r="E257" s="57"/>
      <c r="F257" s="57"/>
      <c r="G257" s="313"/>
      <c r="H257" s="95"/>
      <c r="I257" s="95"/>
      <c r="J257" s="95"/>
      <c r="K257" s="95"/>
      <c r="L257" s="95"/>
      <c r="M257" s="96">
        <v>0</v>
      </c>
      <c r="N257" s="254">
        <f t="shared" si="57"/>
        <v>0</v>
      </c>
      <c r="O257" s="363"/>
    </row>
    <row r="258" spans="1:15">
      <c r="A258" s="176"/>
      <c r="B258" s="88"/>
      <c r="C258" s="87"/>
      <c r="D258" s="57"/>
      <c r="E258" s="57"/>
      <c r="F258" s="57"/>
      <c r="G258" s="313"/>
      <c r="H258" s="95"/>
      <c r="I258" s="95"/>
      <c r="J258" s="95"/>
      <c r="K258" s="95"/>
      <c r="L258" s="95"/>
      <c r="M258" s="96">
        <v>0</v>
      </c>
      <c r="N258" s="101">
        <f t="shared" si="57"/>
        <v>0</v>
      </c>
      <c r="O258" s="363"/>
    </row>
    <row r="259" spans="1:15">
      <c r="A259" s="176"/>
      <c r="B259" s="88"/>
      <c r="C259" s="102" t="s">
        <v>276</v>
      </c>
      <c r="E259" s="93"/>
      <c r="F259" s="57"/>
      <c r="G259" s="255">
        <f>SUM(G252:G258)</f>
        <v>2075</v>
      </c>
      <c r="H259" s="105"/>
      <c r="I259" s="104"/>
      <c r="J259" s="104"/>
      <c r="K259" s="105"/>
      <c r="L259" s="105"/>
      <c r="M259" s="104"/>
      <c r="N259" s="277"/>
      <c r="O259" s="363"/>
    </row>
    <row r="260" spans="1:15">
      <c r="A260" s="195"/>
      <c r="B260" s="256"/>
      <c r="C260" s="257" t="s">
        <v>137</v>
      </c>
      <c r="D260" s="196"/>
      <c r="E260" s="326"/>
      <c r="F260" s="327"/>
      <c r="G260" s="261">
        <v>2075</v>
      </c>
      <c r="H260" s="371">
        <f>'LINE ITEM EXP'!C35</f>
        <v>1012</v>
      </c>
      <c r="I260" s="372">
        <f>'LINE ITEM EXP'!D35</f>
        <v>1573</v>
      </c>
      <c r="J260" s="372">
        <f>'LINE ITEM EXP'!E35</f>
        <v>2075</v>
      </c>
      <c r="K260" s="373">
        <f>G260</f>
        <v>2075</v>
      </c>
      <c r="L260" s="373">
        <f>G259</f>
        <v>2075</v>
      </c>
      <c r="M260" s="372">
        <f>SUM(M252:M258)</f>
        <v>0</v>
      </c>
      <c r="N260" s="374">
        <f>SUM(N252:N259)</f>
        <v>2075</v>
      </c>
      <c r="O260" s="363"/>
    </row>
    <row r="261" spans="1:15">
      <c r="A261" s="168">
        <v>380</v>
      </c>
      <c r="B261" s="169" t="s">
        <v>277</v>
      </c>
      <c r="C261" s="248" t="s">
        <v>278</v>
      </c>
      <c r="D261" s="170"/>
      <c r="E261" s="249"/>
      <c r="F261" s="175"/>
      <c r="G261" s="317">
        <v>1500</v>
      </c>
      <c r="H261" s="95"/>
      <c r="I261" s="95"/>
      <c r="J261" s="95"/>
      <c r="K261" s="95"/>
      <c r="L261" s="95"/>
      <c r="M261" s="96">
        <v>0</v>
      </c>
      <c r="N261" s="101">
        <f>G261+M261</f>
        <v>1500</v>
      </c>
      <c r="O261" s="363"/>
    </row>
    <row r="262" spans="1:15">
      <c r="A262" s="176"/>
      <c r="B262" s="88"/>
      <c r="C262" s="102" t="s">
        <v>279</v>
      </c>
      <c r="E262" s="93"/>
      <c r="F262" s="57"/>
      <c r="G262" s="255">
        <f>G261</f>
        <v>1500</v>
      </c>
      <c r="H262" s="105"/>
      <c r="I262" s="104"/>
      <c r="J262" s="104"/>
      <c r="K262" s="105"/>
      <c r="L262" s="105"/>
      <c r="M262" s="104"/>
      <c r="N262" s="277"/>
      <c r="O262" s="363"/>
    </row>
    <row r="263" spans="1:15">
      <c r="A263" s="195"/>
      <c r="B263" s="256"/>
      <c r="C263" s="257" t="s">
        <v>137</v>
      </c>
      <c r="D263" s="196"/>
      <c r="E263" s="326"/>
      <c r="F263" s="327"/>
      <c r="G263" s="261">
        <v>1500</v>
      </c>
      <c r="H263" s="371">
        <f>'LINE ITEM EXP'!C36</f>
        <v>555</v>
      </c>
      <c r="I263" s="372">
        <f>'LINE ITEM EXP'!D36</f>
        <v>277</v>
      </c>
      <c r="J263" s="372">
        <f>'LINE ITEM EXP'!E36</f>
        <v>1500</v>
      </c>
      <c r="K263" s="373">
        <v>554</v>
      </c>
      <c r="L263" s="373">
        <f>G262</f>
        <v>1500</v>
      </c>
      <c r="M263" s="372">
        <f>SUM(M261:M262)</f>
        <v>0</v>
      </c>
      <c r="N263" s="374">
        <f>SUM(N261:N262)</f>
        <v>1500</v>
      </c>
      <c r="O263" s="363"/>
    </row>
    <row r="264" spans="1:15">
      <c r="A264" s="168">
        <v>450</v>
      </c>
      <c r="B264" s="169" t="s">
        <v>280</v>
      </c>
      <c r="C264" s="248" t="s">
        <v>439</v>
      </c>
      <c r="D264" s="333"/>
      <c r="E264" s="334"/>
      <c r="F264" s="335"/>
      <c r="G264" s="317">
        <v>93555</v>
      </c>
      <c r="H264" s="95"/>
      <c r="I264" s="95"/>
      <c r="J264" s="95"/>
      <c r="K264" s="95"/>
      <c r="L264" s="95"/>
      <c r="M264" s="96">
        <v>0</v>
      </c>
      <c r="N264" s="101">
        <f t="shared" ref="N264:N270" si="58">G264+M264</f>
        <v>93555</v>
      </c>
      <c r="O264" s="363" t="s">
        <v>451</v>
      </c>
    </row>
    <row r="265" spans="1:15">
      <c r="A265" s="180"/>
      <c r="B265" s="91"/>
      <c r="C265" s="87" t="s">
        <v>281</v>
      </c>
      <c r="D265" s="155"/>
      <c r="E265" s="156"/>
      <c r="F265" s="157"/>
      <c r="G265" s="317">
        <v>19235</v>
      </c>
      <c r="H265" s="95"/>
      <c r="I265" s="95"/>
      <c r="J265" s="95"/>
      <c r="K265" s="95"/>
      <c r="L265" s="95"/>
      <c r="M265" s="96">
        <v>0</v>
      </c>
      <c r="N265" s="101">
        <f t="shared" si="58"/>
        <v>19235</v>
      </c>
      <c r="O265" s="363" t="s">
        <v>438</v>
      </c>
    </row>
    <row r="266" spans="1:15">
      <c r="A266" s="180"/>
      <c r="B266" s="91"/>
      <c r="C266" s="87" t="s">
        <v>282</v>
      </c>
      <c r="D266" s="155"/>
      <c r="E266" s="156"/>
      <c r="F266" s="157"/>
      <c r="G266" s="317">
        <v>1296</v>
      </c>
      <c r="H266" s="95"/>
      <c r="I266" s="95"/>
      <c r="J266" s="95"/>
      <c r="K266" s="95"/>
      <c r="L266" s="95"/>
      <c r="M266" s="96">
        <v>0</v>
      </c>
      <c r="N266" s="101">
        <f t="shared" si="58"/>
        <v>1296</v>
      </c>
      <c r="O266" s="363"/>
    </row>
    <row r="267" spans="1:15">
      <c r="A267" s="180"/>
      <c r="B267" s="91"/>
      <c r="C267" s="114" t="s">
        <v>283</v>
      </c>
      <c r="D267" s="155"/>
      <c r="E267" s="156"/>
      <c r="F267" s="157"/>
      <c r="G267" s="317">
        <v>1290</v>
      </c>
      <c r="H267" s="95"/>
      <c r="I267" s="95"/>
      <c r="J267" s="95"/>
      <c r="K267" s="95"/>
      <c r="L267" s="95"/>
      <c r="M267" s="96">
        <v>0</v>
      </c>
      <c r="N267" s="101">
        <f t="shared" si="58"/>
        <v>1290</v>
      </c>
      <c r="O267" s="363"/>
    </row>
    <row r="268" spans="1:15">
      <c r="A268" s="180"/>
      <c r="B268" s="91"/>
      <c r="C268" s="114" t="s">
        <v>284</v>
      </c>
      <c r="D268" s="155"/>
      <c r="E268" s="156"/>
      <c r="F268" s="157"/>
      <c r="G268" s="317">
        <v>250</v>
      </c>
      <c r="H268" s="95"/>
      <c r="I268" s="95"/>
      <c r="J268" s="95"/>
      <c r="K268" s="95"/>
      <c r="L268" s="95"/>
      <c r="M268" s="96">
        <v>0</v>
      </c>
      <c r="N268" s="101">
        <f t="shared" si="58"/>
        <v>250</v>
      </c>
      <c r="O268" s="363"/>
    </row>
    <row r="269" spans="1:15">
      <c r="A269" s="180"/>
      <c r="B269" s="91"/>
      <c r="C269" s="114" t="s">
        <v>285</v>
      </c>
      <c r="D269" s="155"/>
      <c r="E269" s="158"/>
      <c r="F269" s="157"/>
      <c r="G269" s="317">
        <v>1594</v>
      </c>
      <c r="H269" s="95"/>
      <c r="I269" s="95"/>
      <c r="J269" s="95"/>
      <c r="K269" s="95"/>
      <c r="L269" s="95"/>
      <c r="M269" s="96">
        <v>0</v>
      </c>
      <c r="N269" s="101">
        <f t="shared" si="58"/>
        <v>1594</v>
      </c>
      <c r="O269" s="363"/>
    </row>
    <row r="270" spans="1:15">
      <c r="A270" s="180"/>
      <c r="B270" s="91"/>
      <c r="C270" s="114" t="s">
        <v>286</v>
      </c>
      <c r="D270" s="155"/>
      <c r="E270" s="156"/>
      <c r="F270" s="157"/>
      <c r="G270" s="317">
        <v>1632</v>
      </c>
      <c r="H270" s="95"/>
      <c r="I270" s="95"/>
      <c r="J270" s="95"/>
      <c r="K270" s="95"/>
      <c r="L270" s="95"/>
      <c r="M270" s="96">
        <v>0</v>
      </c>
      <c r="N270" s="101">
        <f t="shared" si="58"/>
        <v>1632</v>
      </c>
      <c r="O270" s="363"/>
    </row>
    <row r="271" spans="1:15">
      <c r="A271" s="176"/>
      <c r="B271" s="88"/>
      <c r="C271" s="102" t="s">
        <v>279</v>
      </c>
      <c r="D271" s="38" t="s">
        <v>287</v>
      </c>
      <c r="E271" s="159"/>
      <c r="F271" s="157"/>
      <c r="G271" s="255">
        <f>SUM(G264:G270)</f>
        <v>118852</v>
      </c>
      <c r="H271" s="105"/>
      <c r="I271" s="104"/>
      <c r="J271" s="104"/>
      <c r="K271" s="105"/>
      <c r="L271" s="105"/>
      <c r="M271" s="96"/>
      <c r="N271" s="101"/>
      <c r="O271" s="363"/>
    </row>
    <row r="272" spans="1:15">
      <c r="A272" s="195"/>
      <c r="B272" s="256"/>
      <c r="C272" s="257" t="s">
        <v>137</v>
      </c>
      <c r="D272" s="196"/>
      <c r="E272" s="326"/>
      <c r="F272" s="327"/>
      <c r="G272" s="261">
        <v>111745</v>
      </c>
      <c r="H272" s="371">
        <f>'LINE ITEM EXP'!C37</f>
        <v>104168</v>
      </c>
      <c r="I272" s="372">
        <f>'LINE ITEM EXP'!D37</f>
        <v>103497</v>
      </c>
      <c r="J272" s="372">
        <f>'LINE ITEM EXP'!E37</f>
        <v>111745</v>
      </c>
      <c r="K272" s="373">
        <f>G272</f>
        <v>111745</v>
      </c>
      <c r="L272" s="373">
        <f>G271</f>
        <v>118852</v>
      </c>
      <c r="M272" s="372">
        <f>SUM(M264:M271)</f>
        <v>0</v>
      </c>
      <c r="N272" s="374">
        <f>SUM(N264:N271)</f>
        <v>118852</v>
      </c>
      <c r="O272" s="363"/>
    </row>
    <row r="273" spans="1:15">
      <c r="A273" s="180">
        <v>510</v>
      </c>
      <c r="B273" s="91" t="s">
        <v>288</v>
      </c>
      <c r="C273" s="87"/>
      <c r="D273" s="111"/>
      <c r="E273" s="160"/>
      <c r="F273" s="57"/>
      <c r="G273" s="118"/>
      <c r="H273" s="96"/>
      <c r="I273" s="95"/>
      <c r="J273" s="95"/>
      <c r="K273" s="95"/>
      <c r="L273" s="95"/>
      <c r="M273" s="96">
        <v>0</v>
      </c>
      <c r="N273" s="101">
        <f>G273+M273</f>
        <v>0</v>
      </c>
      <c r="O273" s="363"/>
    </row>
    <row r="274" spans="1:15">
      <c r="A274" s="176"/>
      <c r="B274" s="88"/>
      <c r="C274" s="87" t="s">
        <v>289</v>
      </c>
      <c r="D274" s="161"/>
      <c r="E274" s="162"/>
      <c r="F274" s="57"/>
      <c r="G274" s="336">
        <v>1100</v>
      </c>
      <c r="H274" s="95"/>
      <c r="I274" s="95"/>
      <c r="J274" s="95"/>
      <c r="K274" s="95"/>
      <c r="L274" s="95"/>
      <c r="M274" s="96">
        <v>0</v>
      </c>
      <c r="N274" s="101">
        <f>G274+M274</f>
        <v>1100</v>
      </c>
      <c r="O274" s="363"/>
    </row>
    <row r="275" spans="1:15">
      <c r="A275" s="176"/>
      <c r="B275" s="88"/>
      <c r="C275" s="87" t="s">
        <v>290</v>
      </c>
      <c r="D275" s="161"/>
      <c r="E275" s="163"/>
      <c r="F275" s="57"/>
      <c r="G275" s="313">
        <f>5700+300+200+1300+100</f>
        <v>7600</v>
      </c>
      <c r="H275" s="95"/>
      <c r="I275" s="95"/>
      <c r="J275" s="95"/>
      <c r="K275" s="95"/>
      <c r="L275" s="95"/>
      <c r="M275" s="96">
        <v>0</v>
      </c>
      <c r="N275" s="101">
        <f>G275+M275</f>
        <v>7600</v>
      </c>
      <c r="O275" s="363"/>
    </row>
    <row r="276" spans="1:15">
      <c r="A276" s="176"/>
      <c r="B276" s="88"/>
      <c r="C276" s="87" t="s">
        <v>291</v>
      </c>
      <c r="D276" s="161"/>
      <c r="E276" s="163"/>
      <c r="F276" s="57"/>
      <c r="G276" s="337">
        <v>5800</v>
      </c>
      <c r="H276" s="95"/>
      <c r="I276" s="95"/>
      <c r="J276" s="95"/>
      <c r="K276" s="95"/>
      <c r="L276" s="95"/>
      <c r="M276" s="104">
        <v>0</v>
      </c>
      <c r="N276" s="101">
        <f>G276+M276</f>
        <v>5800</v>
      </c>
      <c r="O276" s="363"/>
    </row>
    <row r="277" spans="1:15">
      <c r="A277" s="176"/>
      <c r="B277" s="88"/>
      <c r="C277" s="102" t="s">
        <v>292</v>
      </c>
      <c r="D277" s="161"/>
      <c r="E277" s="164"/>
      <c r="F277" s="57"/>
      <c r="G277" s="103">
        <f>+G273+G274+G275+G276</f>
        <v>14500</v>
      </c>
      <c r="H277" s="104"/>
      <c r="I277" s="104"/>
      <c r="J277" s="104"/>
      <c r="K277" s="105"/>
      <c r="L277" s="105"/>
      <c r="M277" s="104"/>
      <c r="N277" s="277"/>
      <c r="O277" s="363"/>
    </row>
    <row r="278" spans="1:15">
      <c r="A278" s="176"/>
      <c r="B278" s="88"/>
      <c r="C278" s="243" t="s">
        <v>137</v>
      </c>
      <c r="E278" s="93"/>
      <c r="F278" s="57"/>
      <c r="G278" s="302">
        <v>12960</v>
      </c>
      <c r="H278" s="371">
        <f>'LINE ITEM EXP'!C38</f>
        <v>14001</v>
      </c>
      <c r="I278" s="372">
        <f>'LINE ITEM EXP'!D38</f>
        <v>12960</v>
      </c>
      <c r="J278" s="372">
        <f>'LINE ITEM EXP'!E38</f>
        <v>14500</v>
      </c>
      <c r="K278" s="373">
        <f>G278</f>
        <v>12960</v>
      </c>
      <c r="L278" s="373">
        <f>G277</f>
        <v>14500</v>
      </c>
      <c r="M278" s="372">
        <f>SUM(M273:M277)</f>
        <v>0</v>
      </c>
      <c r="N278" s="374">
        <f>SUM(N273:N277)</f>
        <v>14500</v>
      </c>
      <c r="O278" s="363"/>
    </row>
    <row r="279" spans="1:15">
      <c r="A279" s="168">
        <v>530</v>
      </c>
      <c r="B279" s="169" t="s">
        <v>293</v>
      </c>
      <c r="C279" s="248" t="s">
        <v>294</v>
      </c>
      <c r="D279" s="338" t="s">
        <v>295</v>
      </c>
      <c r="E279" s="339" t="s">
        <v>296</v>
      </c>
      <c r="F279" s="175"/>
      <c r="G279" s="306"/>
      <c r="H279" s="95"/>
      <c r="I279" s="95"/>
      <c r="J279" s="95"/>
      <c r="K279" s="95"/>
      <c r="L279" s="95"/>
      <c r="M279" s="96"/>
      <c r="N279" s="101"/>
      <c r="O279" s="363"/>
    </row>
    <row r="280" spans="1:15">
      <c r="A280" s="176"/>
      <c r="B280" s="88"/>
      <c r="C280" s="87" t="s">
        <v>297</v>
      </c>
      <c r="D280" s="322">
        <v>816</v>
      </c>
      <c r="E280" s="313">
        <v>12</v>
      </c>
      <c r="F280" s="57"/>
      <c r="G280" s="341">
        <f>ROUND(D280*E280,0)</f>
        <v>9792</v>
      </c>
      <c r="H280" s="95"/>
      <c r="I280" s="95"/>
      <c r="J280" s="95"/>
      <c r="K280" s="95"/>
      <c r="L280" s="95"/>
      <c r="M280" s="96">
        <v>0</v>
      </c>
      <c r="N280" s="101">
        <f>M280+G280</f>
        <v>9792</v>
      </c>
      <c r="O280" s="363"/>
    </row>
    <row r="281" spans="1:15">
      <c r="A281" s="176"/>
      <c r="B281" s="88"/>
      <c r="C281" s="87" t="s">
        <v>298</v>
      </c>
      <c r="D281" s="313">
        <v>0</v>
      </c>
      <c r="E281" s="321">
        <v>1</v>
      </c>
      <c r="F281" s="57"/>
      <c r="G281" s="101">
        <f>ROUND(D281*E281,0)</f>
        <v>0</v>
      </c>
      <c r="H281" s="95"/>
      <c r="I281" s="95"/>
      <c r="J281" s="95"/>
      <c r="K281" s="95"/>
      <c r="L281" s="95"/>
      <c r="M281" s="96">
        <v>0</v>
      </c>
      <c r="N281" s="101">
        <f>M281+G281</f>
        <v>0</v>
      </c>
      <c r="O281" s="363"/>
    </row>
    <row r="282" spans="1:15">
      <c r="A282" s="176"/>
      <c r="B282" s="88"/>
      <c r="C282" s="87" t="s">
        <v>299</v>
      </c>
      <c r="D282" s="165"/>
      <c r="E282" s="166"/>
      <c r="F282" s="57"/>
      <c r="G282" s="340">
        <v>307</v>
      </c>
      <c r="H282" s="95"/>
      <c r="I282" s="95"/>
      <c r="J282" s="95"/>
      <c r="K282" s="95"/>
      <c r="L282" s="95"/>
      <c r="M282" s="96">
        <v>0</v>
      </c>
      <c r="N282" s="101">
        <f>M282+G282</f>
        <v>307</v>
      </c>
      <c r="O282" s="363"/>
    </row>
    <row r="283" spans="1:15">
      <c r="A283" s="176"/>
      <c r="B283" s="88"/>
      <c r="C283" s="102" t="s">
        <v>300</v>
      </c>
      <c r="E283" s="93"/>
      <c r="F283" s="57"/>
      <c r="G283" s="255">
        <f>SUM(G280:G282)</f>
        <v>10099</v>
      </c>
      <c r="H283" s="105"/>
      <c r="I283" s="104"/>
      <c r="J283" s="104"/>
      <c r="K283" s="105"/>
      <c r="L283" s="105"/>
      <c r="M283" s="104"/>
      <c r="N283" s="277"/>
      <c r="O283" s="363"/>
    </row>
    <row r="284" spans="1:15" ht="15">
      <c r="A284" s="195"/>
      <c r="B284" s="256"/>
      <c r="C284" s="257" t="s">
        <v>137</v>
      </c>
      <c r="D284" s="196"/>
      <c r="E284" s="326"/>
      <c r="F284" s="342"/>
      <c r="G284" s="261">
        <v>10099</v>
      </c>
      <c r="H284" s="371">
        <f>'LINE ITEM EXP'!C39</f>
        <v>9045</v>
      </c>
      <c r="I284" s="372">
        <f>'LINE ITEM EXP'!D39</f>
        <v>4069</v>
      </c>
      <c r="J284" s="372">
        <f>'LINE ITEM EXP'!E39</f>
        <v>10099</v>
      </c>
      <c r="K284" s="373">
        <v>8138</v>
      </c>
      <c r="L284" s="373">
        <f>G283</f>
        <v>10099</v>
      </c>
      <c r="M284" s="372">
        <f>SUM(M280:M283)</f>
        <v>0</v>
      </c>
      <c r="N284" s="374">
        <f>SUM(N280:N283)</f>
        <v>10099</v>
      </c>
      <c r="O284" s="363"/>
    </row>
    <row r="285" spans="1:15" ht="15">
      <c r="A285" s="168">
        <v>540</v>
      </c>
      <c r="B285" s="169" t="s">
        <v>301</v>
      </c>
      <c r="C285" s="248"/>
      <c r="D285" s="249"/>
      <c r="E285" s="343"/>
      <c r="F285" s="344"/>
      <c r="G285" s="364"/>
      <c r="H285" s="365"/>
      <c r="I285" s="365"/>
      <c r="J285" s="365"/>
      <c r="K285" s="365"/>
      <c r="L285" s="365"/>
      <c r="M285" s="365"/>
      <c r="N285" s="365"/>
      <c r="O285" s="363"/>
    </row>
    <row r="286" spans="1:15">
      <c r="A286" s="180"/>
      <c r="B286" s="91"/>
      <c r="C286" s="87" t="s">
        <v>422</v>
      </c>
      <c r="D286" s="111"/>
      <c r="F286" s="57"/>
      <c r="G286" s="362">
        <v>9750</v>
      </c>
      <c r="H286" s="325"/>
      <c r="I286" s="325"/>
      <c r="J286" s="325"/>
      <c r="K286" s="325"/>
      <c r="L286" s="325"/>
      <c r="M286" s="325">
        <v>0</v>
      </c>
      <c r="N286" s="325">
        <f>G286+M286</f>
        <v>9750</v>
      </c>
      <c r="O286" s="363" t="s">
        <v>460</v>
      </c>
    </row>
    <row r="287" spans="1:15">
      <c r="A287" s="180"/>
      <c r="B287" s="91"/>
      <c r="C287" s="87" t="s">
        <v>423</v>
      </c>
      <c r="D287" s="111"/>
      <c r="F287" s="57"/>
      <c r="G287" s="362">
        <v>1500</v>
      </c>
      <c r="H287" s="325"/>
      <c r="I287" s="325"/>
      <c r="J287" s="325"/>
      <c r="K287" s="325"/>
      <c r="L287" s="325"/>
      <c r="M287" s="325">
        <v>0</v>
      </c>
      <c r="N287" s="325">
        <f>G287+M287</f>
        <v>1500</v>
      </c>
      <c r="O287" s="363" t="s">
        <v>426</v>
      </c>
    </row>
    <row r="288" spans="1:15">
      <c r="A288" s="180"/>
      <c r="B288" s="91"/>
      <c r="C288" s="87" t="s">
        <v>302</v>
      </c>
      <c r="D288" s="111"/>
      <c r="F288" s="57"/>
      <c r="G288" s="362">
        <v>6450</v>
      </c>
      <c r="H288" s="325"/>
      <c r="I288" s="325"/>
      <c r="J288" s="325"/>
      <c r="K288" s="325"/>
      <c r="L288" s="325"/>
      <c r="M288" s="325">
        <v>0</v>
      </c>
      <c r="N288" s="325">
        <f>G288+M288</f>
        <v>6450</v>
      </c>
      <c r="O288" s="363" t="s">
        <v>455</v>
      </c>
    </row>
    <row r="289" spans="1:15">
      <c r="A289" s="180"/>
      <c r="B289" s="91"/>
      <c r="C289" s="87" t="s">
        <v>425</v>
      </c>
      <c r="D289" s="111"/>
      <c r="F289" s="57"/>
      <c r="G289" s="362">
        <v>2000</v>
      </c>
      <c r="H289" s="325"/>
      <c r="I289" s="325"/>
      <c r="J289" s="325"/>
      <c r="K289" s="325"/>
      <c r="L289" s="325"/>
      <c r="M289" s="325">
        <v>0</v>
      </c>
      <c r="N289" s="325">
        <f>G289+M289</f>
        <v>2000</v>
      </c>
      <c r="O289" s="363" t="s">
        <v>440</v>
      </c>
    </row>
    <row r="290" spans="1:15">
      <c r="A290" s="180"/>
      <c r="B290" s="91"/>
      <c r="C290" s="87" t="s">
        <v>424</v>
      </c>
      <c r="D290" s="111"/>
      <c r="F290" s="57"/>
      <c r="G290" s="362">
        <v>4160</v>
      </c>
      <c r="H290" s="325"/>
      <c r="I290" s="325"/>
      <c r="J290" s="325"/>
      <c r="K290" s="325"/>
      <c r="L290" s="325"/>
      <c r="M290" s="325">
        <v>0</v>
      </c>
      <c r="N290" s="325">
        <f>G290+M290</f>
        <v>4160</v>
      </c>
      <c r="O290" s="363"/>
    </row>
    <row r="291" spans="1:15">
      <c r="A291" s="176"/>
      <c r="B291" s="88"/>
      <c r="C291" s="102" t="s">
        <v>303</v>
      </c>
      <c r="E291" s="93"/>
      <c r="F291" s="57"/>
      <c r="G291" s="301">
        <f>SUM(G286:G290)</f>
        <v>23860</v>
      </c>
      <c r="H291" s="366"/>
      <c r="I291" s="366"/>
      <c r="J291" s="366"/>
      <c r="K291" s="366"/>
      <c r="L291" s="366"/>
      <c r="M291" s="366"/>
      <c r="N291" s="366"/>
      <c r="O291" s="363"/>
    </row>
    <row r="292" spans="1:15">
      <c r="A292" s="195"/>
      <c r="B292" s="256"/>
      <c r="C292" s="257" t="s">
        <v>137</v>
      </c>
      <c r="D292" s="196"/>
      <c r="E292" s="326"/>
      <c r="F292" s="327"/>
      <c r="G292" s="261">
        <v>15360</v>
      </c>
      <c r="H292" s="367">
        <f>+'LINE ITEM EXP'!C40</f>
        <v>16053</v>
      </c>
      <c r="I292" s="368">
        <f>+'LINE ITEM EXP'!D40</f>
        <v>6299</v>
      </c>
      <c r="J292" s="368">
        <f>+'LINE ITEM EXP'!E40</f>
        <v>15360</v>
      </c>
      <c r="K292" s="369">
        <f>G292</f>
        <v>15360</v>
      </c>
      <c r="L292" s="369">
        <f>G291</f>
        <v>23860</v>
      </c>
      <c r="M292" s="368">
        <f>SUM(M286:M291)</f>
        <v>0</v>
      </c>
      <c r="N292" s="370">
        <f>SUM(N286:N291)</f>
        <v>23860</v>
      </c>
      <c r="O292" s="363"/>
    </row>
    <row r="293" spans="1:15">
      <c r="A293" s="168">
        <v>790</v>
      </c>
      <c r="B293" s="169" t="s">
        <v>304</v>
      </c>
      <c r="C293" s="248" t="s">
        <v>305</v>
      </c>
      <c r="D293" s="170"/>
      <c r="E293" s="249"/>
      <c r="F293" s="175"/>
      <c r="G293" s="317">
        <v>0</v>
      </c>
      <c r="H293" s="95"/>
      <c r="I293" s="95"/>
      <c r="J293" s="95"/>
      <c r="K293" s="95"/>
      <c r="L293" s="95"/>
      <c r="M293" s="96">
        <v>0</v>
      </c>
      <c r="N293" s="101">
        <f>G293+M293</f>
        <v>0</v>
      </c>
      <c r="O293" s="363"/>
    </row>
    <row r="294" spans="1:15">
      <c r="A294" s="176"/>
      <c r="B294" s="88"/>
      <c r="C294" s="102" t="s">
        <v>303</v>
      </c>
      <c r="E294" s="93"/>
      <c r="F294" s="57"/>
      <c r="G294" s="255">
        <f>G293</f>
        <v>0</v>
      </c>
      <c r="H294" s="105"/>
      <c r="I294" s="104"/>
      <c r="J294" s="104"/>
      <c r="K294" s="105"/>
      <c r="L294" s="105"/>
      <c r="M294" s="96">
        <v>0</v>
      </c>
      <c r="N294" s="101"/>
      <c r="O294" s="363"/>
    </row>
    <row r="295" spans="1:15">
      <c r="A295" s="195"/>
      <c r="B295" s="256"/>
      <c r="C295" s="257" t="s">
        <v>137</v>
      </c>
      <c r="D295" s="196"/>
      <c r="E295" s="326"/>
      <c r="F295" s="327"/>
      <c r="G295" s="345">
        <v>46110</v>
      </c>
      <c r="H295" s="371">
        <f>'LINE ITEM EXP'!C41</f>
        <v>46241</v>
      </c>
      <c r="I295" s="372">
        <f>'LINE ITEM EXP'!D41</f>
        <v>31161</v>
      </c>
      <c r="J295" s="372">
        <f>'LINE ITEM EXP'!E41</f>
        <v>0</v>
      </c>
      <c r="K295" s="373">
        <v>23475</v>
      </c>
      <c r="L295" s="373">
        <f>G294</f>
        <v>0</v>
      </c>
      <c r="M295" s="372">
        <f>SUM(M293:M294)</f>
        <v>0</v>
      </c>
      <c r="N295" s="374">
        <f>SUM(N293:N294)</f>
        <v>0</v>
      </c>
      <c r="O295" s="363"/>
    </row>
    <row r="296" spans="1:15" ht="13.5" thickBot="1">
      <c r="A296" s="180"/>
      <c r="B296" s="91"/>
      <c r="C296" s="143" t="s">
        <v>79</v>
      </c>
      <c r="E296" s="93"/>
      <c r="F296" s="57"/>
      <c r="G296" s="95"/>
      <c r="H296" s="149">
        <f>H295+H292+H284+H278+H272+H260+H251+H239+H234+H229+H225+H222+H216+H200+H195+H191+H188+H184+H263+H219+H181</f>
        <v>407379</v>
      </c>
      <c r="I296" s="149">
        <f>I295+I292+I284+I278+I272+I260+I251+I239+I234+I229+I225+I222+I216+I200+I195+I191+I188+I184+I263+I219+I181</f>
        <v>241921</v>
      </c>
      <c r="J296" s="149">
        <f>J295+J292+J284+J278+J272+J260+J251+J239+J234+J229+J225+J222+J216+J200+J195+J191+J188+J184+J263+J219+J181</f>
        <v>358724</v>
      </c>
      <c r="K296" s="149">
        <f>+K295+K292+K284+K278+K272+K260+K251+K239+K234+K229+K225+K222+K216+K200+K195+K191+K188+K184+K263+K219+K181</f>
        <v>371936</v>
      </c>
      <c r="L296" s="149">
        <f>L295+L292+L284+L278+L272+L260+L251+L239+L234+L229+L225+L222+L216+L200+L195+L191+L188+L184+L263+L219+L181</f>
        <v>381336</v>
      </c>
      <c r="M296" s="149">
        <f>M295+M292+M284+M278+M272+M260+M251+M239+M234+M229+M225+M222+M216+M200+M195+M191+M188+M184+M263+M219+M181</f>
        <v>0</v>
      </c>
      <c r="N296" s="384">
        <f>N295+N292+N284+N278+N272+N260+N251+N239+N234+N229+N225+N222+N216+N200+N195+N191+N188+N184+N263+N219+N181</f>
        <v>382736</v>
      </c>
      <c r="O296" s="376"/>
    </row>
    <row r="297" spans="1:15" ht="13.5" thickTop="1">
      <c r="A297" s="168">
        <v>810</v>
      </c>
      <c r="B297" s="303" t="s">
        <v>306</v>
      </c>
      <c r="C297" s="346" t="s">
        <v>307</v>
      </c>
      <c r="D297" s="170"/>
      <c r="E297" s="171"/>
      <c r="F297" s="172"/>
      <c r="G297" s="317">
        <v>600</v>
      </c>
      <c r="H297" s="173"/>
      <c r="I297" s="173"/>
      <c r="J297" s="173"/>
      <c r="K297" s="173"/>
      <c r="L297" s="173"/>
      <c r="M297" s="174">
        <v>0</v>
      </c>
      <c r="N297" s="385">
        <f>G297+M297</f>
        <v>600</v>
      </c>
      <c r="O297" s="377" t="s">
        <v>441</v>
      </c>
    </row>
    <row r="298" spans="1:15">
      <c r="A298" s="180"/>
      <c r="B298" s="10"/>
      <c r="C298" s="7" t="s">
        <v>442</v>
      </c>
      <c r="D298" s="111"/>
      <c r="E298" s="177"/>
      <c r="F298" s="178"/>
      <c r="G298" s="317">
        <v>5000</v>
      </c>
      <c r="H298" s="95"/>
      <c r="I298" s="95"/>
      <c r="J298" s="95"/>
      <c r="K298" s="95"/>
      <c r="L298" s="95"/>
      <c r="M298" s="96"/>
      <c r="N298" s="101">
        <f>+G298+M298</f>
        <v>5000</v>
      </c>
      <c r="O298" s="363" t="s">
        <v>443</v>
      </c>
    </row>
    <row r="299" spans="1:15">
      <c r="A299" s="176"/>
      <c r="B299" s="88"/>
      <c r="C299" s="87" t="s">
        <v>308</v>
      </c>
      <c r="D299" s="57"/>
      <c r="E299" s="177"/>
      <c r="F299" s="178"/>
      <c r="G299" s="317">
        <v>15000</v>
      </c>
      <c r="H299" s="95"/>
      <c r="I299" s="115"/>
      <c r="J299" s="95"/>
      <c r="K299" s="95"/>
      <c r="L299" s="95"/>
      <c r="M299" s="96">
        <v>0</v>
      </c>
      <c r="N299" s="101">
        <f>G299+M299</f>
        <v>15000</v>
      </c>
      <c r="O299" s="363" t="s">
        <v>427</v>
      </c>
    </row>
    <row r="300" spans="1:15">
      <c r="A300" s="176"/>
      <c r="B300" s="88"/>
      <c r="C300" s="102" t="s">
        <v>309</v>
      </c>
      <c r="E300" s="179"/>
      <c r="F300" s="178"/>
      <c r="G300" s="255">
        <f>SUM(G297:G299)</f>
        <v>20600</v>
      </c>
      <c r="H300" s="105"/>
      <c r="I300" s="104"/>
      <c r="J300" s="104"/>
      <c r="K300" s="105"/>
      <c r="L300" s="105"/>
      <c r="M300" s="104"/>
      <c r="N300" s="277"/>
      <c r="O300" s="363"/>
    </row>
    <row r="301" spans="1:15">
      <c r="A301" s="195"/>
      <c r="B301" s="256"/>
      <c r="C301" s="257" t="s">
        <v>137</v>
      </c>
      <c r="D301" s="196"/>
      <c r="E301" s="326"/>
      <c r="F301" s="327"/>
      <c r="G301" s="261">
        <v>10000</v>
      </c>
      <c r="H301" s="371">
        <f>'LINE ITEM EXP'!C46</f>
        <v>19851</v>
      </c>
      <c r="I301" s="372">
        <f>'LINE ITEM EXP'!D46</f>
        <v>9543</v>
      </c>
      <c r="J301" s="372">
        <f>'LINE ITEM EXP'!E46</f>
        <v>10000</v>
      </c>
      <c r="K301" s="373">
        <f>G301</f>
        <v>10000</v>
      </c>
      <c r="L301" s="373">
        <f>G300</f>
        <v>20600</v>
      </c>
      <c r="M301" s="372">
        <f>SUM(M297:M300)</f>
        <v>0</v>
      </c>
      <c r="N301" s="374">
        <f>SUM(N297:N300)</f>
        <v>20600</v>
      </c>
      <c r="O301" s="363"/>
    </row>
    <row r="302" spans="1:15">
      <c r="A302" s="168">
        <v>815</v>
      </c>
      <c r="B302" s="169" t="s">
        <v>310</v>
      </c>
      <c r="C302" s="248"/>
      <c r="D302" s="170"/>
      <c r="E302" s="305"/>
      <c r="F302" s="175"/>
      <c r="G302" s="306"/>
      <c r="H302" s="95"/>
      <c r="I302" s="95"/>
      <c r="J302" s="95"/>
      <c r="K302" s="95"/>
      <c r="L302" s="95"/>
      <c r="M302" s="96"/>
      <c r="N302" s="101"/>
      <c r="O302" s="363"/>
    </row>
    <row r="303" spans="1:15">
      <c r="A303" s="176">
        <v>501</v>
      </c>
      <c r="B303" s="88" t="s">
        <v>311</v>
      </c>
      <c r="C303" s="87" t="s">
        <v>312</v>
      </c>
      <c r="D303" s="57"/>
      <c r="E303" s="139"/>
      <c r="F303" s="57"/>
      <c r="G303" s="317">
        <v>60135</v>
      </c>
      <c r="H303" s="95"/>
      <c r="I303" s="95"/>
      <c r="J303" s="95"/>
      <c r="K303" s="95"/>
      <c r="L303" s="95"/>
      <c r="M303" s="96">
        <v>0</v>
      </c>
      <c r="N303" s="101">
        <f>G303+M303</f>
        <v>60135</v>
      </c>
      <c r="O303" s="363" t="s">
        <v>462</v>
      </c>
    </row>
    <row r="304" spans="1:15">
      <c r="A304" s="176"/>
      <c r="B304" s="88"/>
      <c r="C304" s="102" t="s">
        <v>313</v>
      </c>
      <c r="E304" s="93"/>
      <c r="F304" s="57"/>
      <c r="G304" s="255">
        <f>SUM(G302:G303)</f>
        <v>60135</v>
      </c>
      <c r="H304" s="105"/>
      <c r="I304" s="104"/>
      <c r="J304" s="104"/>
      <c r="K304" s="105"/>
      <c r="L304" s="105"/>
      <c r="M304" s="104"/>
      <c r="N304" s="277"/>
      <c r="O304" s="363"/>
    </row>
    <row r="305" spans="1:15">
      <c r="A305" s="195"/>
      <c r="B305" s="256"/>
      <c r="C305" s="257" t="s">
        <v>137</v>
      </c>
      <c r="D305" s="196"/>
      <c r="E305" s="326"/>
      <c r="F305" s="327"/>
      <c r="G305" s="261">
        <v>55876</v>
      </c>
      <c r="H305" s="371">
        <f>'LINE ITEM EXP'!C47</f>
        <v>54156</v>
      </c>
      <c r="I305" s="372">
        <f>'LINE ITEM EXP'!D47</f>
        <v>14133</v>
      </c>
      <c r="J305" s="372">
        <f>'LINE ITEM EXP'!E47</f>
        <v>55876</v>
      </c>
      <c r="K305" s="373">
        <f>G305</f>
        <v>55876</v>
      </c>
      <c r="L305" s="373">
        <f>+G303</f>
        <v>60135</v>
      </c>
      <c r="M305" s="372">
        <f>SUM(M302:M304)</f>
        <v>0</v>
      </c>
      <c r="N305" s="374">
        <f>+N303</f>
        <v>60135</v>
      </c>
      <c r="O305" s="363"/>
    </row>
    <row r="306" spans="1:15">
      <c r="A306" s="168">
        <v>815</v>
      </c>
      <c r="B306" s="169" t="s">
        <v>310</v>
      </c>
      <c r="C306" s="248"/>
      <c r="D306" s="170"/>
      <c r="E306" s="305"/>
      <c r="F306" s="175"/>
      <c r="G306" s="306"/>
      <c r="H306" s="95"/>
      <c r="I306" s="95"/>
      <c r="J306" s="95"/>
      <c r="K306" s="95"/>
      <c r="L306" s="95"/>
      <c r="M306" s="96"/>
      <c r="N306" s="101"/>
      <c r="O306" s="363"/>
    </row>
    <row r="307" spans="1:15">
      <c r="A307" s="176">
        <v>502</v>
      </c>
      <c r="B307" s="88" t="s">
        <v>314</v>
      </c>
      <c r="C307" s="87" t="s">
        <v>312</v>
      </c>
      <c r="D307" s="98"/>
      <c r="E307" s="139"/>
      <c r="F307" s="57"/>
      <c r="G307" s="317">
        <v>63060</v>
      </c>
      <c r="H307" s="95"/>
      <c r="I307" s="95"/>
      <c r="J307" s="95"/>
      <c r="K307" s="95"/>
      <c r="L307" s="95"/>
      <c r="M307" s="96">
        <v>0</v>
      </c>
      <c r="N307" s="101">
        <f>G307+M307</f>
        <v>63060</v>
      </c>
      <c r="O307" s="363" t="s">
        <v>429</v>
      </c>
    </row>
    <row r="308" spans="1:15">
      <c r="A308" s="176"/>
      <c r="B308" s="88"/>
      <c r="C308" s="102" t="s">
        <v>313</v>
      </c>
      <c r="E308" s="93"/>
      <c r="F308" s="57"/>
      <c r="G308" s="255">
        <f>SUM(G307:G307)</f>
        <v>63060</v>
      </c>
      <c r="H308" s="105"/>
      <c r="I308" s="104"/>
      <c r="J308" s="104"/>
      <c r="K308" s="105"/>
      <c r="L308" s="105"/>
      <c r="M308" s="104"/>
      <c r="N308" s="277"/>
      <c r="O308" s="363"/>
    </row>
    <row r="309" spans="1:15">
      <c r="A309" s="195"/>
      <c r="B309" s="256"/>
      <c r="C309" s="257" t="s">
        <v>137</v>
      </c>
      <c r="D309" s="196"/>
      <c r="E309" s="326"/>
      <c r="F309" s="327"/>
      <c r="G309" s="261">
        <v>59090</v>
      </c>
      <c r="H309" s="371">
        <f>'LINE ITEM EXP'!C48</f>
        <v>56725</v>
      </c>
      <c r="I309" s="372">
        <f>'LINE ITEM EXP'!D48</f>
        <v>23300</v>
      </c>
      <c r="J309" s="372">
        <f>'LINE ITEM EXP'!E48</f>
        <v>59090</v>
      </c>
      <c r="K309" s="373">
        <f>G309</f>
        <v>59090</v>
      </c>
      <c r="L309" s="373">
        <f>+G307</f>
        <v>63060</v>
      </c>
      <c r="M309" s="372">
        <f>SUM(M306:M308)</f>
        <v>0</v>
      </c>
      <c r="N309" s="374">
        <f>+N307</f>
        <v>63060</v>
      </c>
      <c r="O309" s="363"/>
    </row>
    <row r="310" spans="1:15">
      <c r="A310" s="180">
        <v>815</v>
      </c>
      <c r="B310" s="91" t="s">
        <v>310</v>
      </c>
      <c r="C310" s="87"/>
      <c r="D310" s="111"/>
      <c r="E310" s="139"/>
      <c r="F310" s="57"/>
      <c r="G310" s="118"/>
      <c r="H310" s="96"/>
      <c r="I310" s="95"/>
      <c r="J310" s="95"/>
      <c r="K310" s="95"/>
      <c r="L310" s="95"/>
      <c r="M310" s="96"/>
      <c r="N310" s="101"/>
      <c r="O310" s="363"/>
    </row>
    <row r="311" spans="1:15">
      <c r="A311" s="176">
        <v>503</v>
      </c>
      <c r="B311" s="88" t="s">
        <v>315</v>
      </c>
      <c r="C311" s="87" t="s">
        <v>403</v>
      </c>
      <c r="D311" s="57"/>
      <c r="E311" s="139"/>
      <c r="F311" s="57"/>
      <c r="G311" s="317">
        <v>17955</v>
      </c>
      <c r="H311" s="95"/>
      <c r="I311" s="95"/>
      <c r="J311" s="95"/>
      <c r="K311" s="95"/>
      <c r="L311" s="95"/>
      <c r="M311" s="96">
        <v>0</v>
      </c>
      <c r="N311" s="101">
        <f>G311+M311</f>
        <v>17955</v>
      </c>
      <c r="O311" s="363" t="s">
        <v>429</v>
      </c>
    </row>
    <row r="312" spans="1:15">
      <c r="A312" s="176"/>
      <c r="B312" s="88"/>
      <c r="C312" s="102" t="s">
        <v>313</v>
      </c>
      <c r="E312" s="93"/>
      <c r="F312" s="57"/>
      <c r="G312" s="103">
        <f>SUM(G311:G311)</f>
        <v>17955</v>
      </c>
      <c r="H312" s="104"/>
      <c r="I312" s="104"/>
      <c r="J312" s="104"/>
      <c r="K312" s="105"/>
      <c r="L312" s="105"/>
      <c r="M312" s="104"/>
      <c r="N312" s="277"/>
      <c r="O312" s="363"/>
    </row>
    <row r="313" spans="1:15">
      <c r="A313" s="176"/>
      <c r="B313" s="88"/>
      <c r="C313" s="243" t="s">
        <v>137</v>
      </c>
      <c r="E313" s="93"/>
      <c r="F313" s="57"/>
      <c r="G313" s="302">
        <v>17100</v>
      </c>
      <c r="H313" s="371">
        <f>'LINE ITEM EXP'!C49</f>
        <v>10852</v>
      </c>
      <c r="I313" s="372">
        <f>'LINE ITEM EXP'!D49</f>
        <v>8305</v>
      </c>
      <c r="J313" s="372">
        <f>'LINE ITEM EXP'!E49</f>
        <v>17100</v>
      </c>
      <c r="K313" s="373">
        <f>G313</f>
        <v>17100</v>
      </c>
      <c r="L313" s="373">
        <f>G312</f>
        <v>17955</v>
      </c>
      <c r="M313" s="372">
        <f>SUM(M310:M312)</f>
        <v>0</v>
      </c>
      <c r="N313" s="374">
        <f>SUM(N311:N312)</f>
        <v>17955</v>
      </c>
      <c r="O313" s="363"/>
    </row>
    <row r="314" spans="1:15">
      <c r="A314" s="168">
        <v>815</v>
      </c>
      <c r="B314" s="169" t="s">
        <v>310</v>
      </c>
      <c r="C314" s="248"/>
      <c r="D314" s="170"/>
      <c r="E314" s="305"/>
      <c r="F314" s="175"/>
      <c r="G314" s="306"/>
      <c r="H314" s="95"/>
      <c r="I314" s="95"/>
      <c r="J314" s="95"/>
      <c r="K314" s="95"/>
      <c r="L314" s="95"/>
      <c r="M314" s="96"/>
      <c r="N314" s="101"/>
      <c r="O314" s="363"/>
    </row>
    <row r="315" spans="1:15">
      <c r="A315" s="176">
        <v>504</v>
      </c>
      <c r="B315" s="88" t="s">
        <v>316</v>
      </c>
      <c r="C315" s="87" t="s">
        <v>316</v>
      </c>
      <c r="D315" s="181"/>
      <c r="E315" s="182"/>
      <c r="F315" s="183"/>
      <c r="G315" s="317">
        <v>13520</v>
      </c>
      <c r="H315" s="95"/>
      <c r="I315" s="95"/>
      <c r="J315" s="95"/>
      <c r="K315" s="95"/>
      <c r="L315" s="95"/>
      <c r="M315" s="96">
        <v>0</v>
      </c>
      <c r="N315" s="101">
        <f>G315+M315</f>
        <v>13520</v>
      </c>
      <c r="O315" s="363"/>
    </row>
    <row r="316" spans="1:15">
      <c r="A316" s="176"/>
      <c r="B316" s="88"/>
      <c r="C316" s="102" t="s">
        <v>313</v>
      </c>
      <c r="D316" s="184"/>
      <c r="E316" s="185"/>
      <c r="F316" s="183"/>
      <c r="G316" s="255">
        <f>G315</f>
        <v>13520</v>
      </c>
      <c r="H316" s="105"/>
      <c r="I316" s="104"/>
      <c r="J316" s="104"/>
      <c r="K316" s="105"/>
      <c r="L316" s="105"/>
      <c r="M316" s="104"/>
      <c r="N316" s="277"/>
      <c r="O316" s="363"/>
    </row>
    <row r="317" spans="1:15">
      <c r="A317" s="195"/>
      <c r="B317" s="256"/>
      <c r="C317" s="257" t="s">
        <v>137</v>
      </c>
      <c r="D317" s="347"/>
      <c r="E317" s="348"/>
      <c r="F317" s="349"/>
      <c r="G317" s="261">
        <v>13020</v>
      </c>
      <c r="H317" s="371">
        <f>'LINE ITEM EXP'!C50</f>
        <v>11712</v>
      </c>
      <c r="I317" s="372">
        <f>'LINE ITEM EXP'!D50</f>
        <v>3849</v>
      </c>
      <c r="J317" s="372">
        <f>'LINE ITEM EXP'!E50</f>
        <v>13020</v>
      </c>
      <c r="K317" s="373">
        <f>G317</f>
        <v>13020</v>
      </c>
      <c r="L317" s="373">
        <f>G316</f>
        <v>13520</v>
      </c>
      <c r="M317" s="372">
        <f>SUM(M314:M316)</f>
        <v>0</v>
      </c>
      <c r="N317" s="374">
        <f>SUM(N315:N316)</f>
        <v>13520</v>
      </c>
      <c r="O317" s="363"/>
    </row>
    <row r="318" spans="1:15">
      <c r="A318" s="168">
        <v>815</v>
      </c>
      <c r="B318" s="169" t="s">
        <v>310</v>
      </c>
      <c r="C318" s="248"/>
      <c r="D318" s="170"/>
      <c r="E318" s="305"/>
      <c r="F318" s="175"/>
      <c r="G318" s="306"/>
      <c r="H318" s="95"/>
      <c r="I318" s="95"/>
      <c r="J318" s="95"/>
      <c r="K318" s="95"/>
      <c r="L318" s="95"/>
      <c r="M318" s="96"/>
      <c r="N318" s="101"/>
      <c r="O318" s="363"/>
    </row>
    <row r="319" spans="1:15">
      <c r="A319" s="176">
        <v>506</v>
      </c>
      <c r="B319" s="88" t="s">
        <v>317</v>
      </c>
      <c r="C319" s="87" t="s">
        <v>318</v>
      </c>
      <c r="D319" s="57"/>
      <c r="E319" s="139"/>
      <c r="F319" s="57"/>
      <c r="G319" s="317">
        <v>29086</v>
      </c>
      <c r="H319" s="95"/>
      <c r="I319" s="95"/>
      <c r="J319" s="95"/>
      <c r="K319" s="95"/>
      <c r="L319" s="95"/>
      <c r="M319" s="96">
        <v>0</v>
      </c>
      <c r="N319" s="101">
        <f>G319+M319</f>
        <v>29086</v>
      </c>
      <c r="O319" s="363" t="s">
        <v>461</v>
      </c>
    </row>
    <row r="320" spans="1:15">
      <c r="A320" s="176"/>
      <c r="B320" s="88"/>
      <c r="C320" s="102" t="s">
        <v>313</v>
      </c>
      <c r="E320" s="93"/>
      <c r="F320" s="57"/>
      <c r="G320" s="255">
        <f>G319</f>
        <v>29086</v>
      </c>
      <c r="H320" s="105"/>
      <c r="I320" s="104"/>
      <c r="J320" s="104"/>
      <c r="K320" s="105"/>
      <c r="L320" s="105"/>
      <c r="M320" s="104"/>
      <c r="N320" s="277"/>
      <c r="O320" s="363"/>
    </row>
    <row r="321" spans="1:15">
      <c r="A321" s="195"/>
      <c r="B321" s="256"/>
      <c r="C321" s="257" t="s">
        <v>137</v>
      </c>
      <c r="D321" s="196"/>
      <c r="E321" s="326"/>
      <c r="F321" s="327"/>
      <c r="G321" s="261">
        <v>16325</v>
      </c>
      <c r="H321" s="371">
        <f>'LINE ITEM EXP'!C51</f>
        <v>15761</v>
      </c>
      <c r="I321" s="372">
        <f>'LINE ITEM EXP'!D51</f>
        <v>14923</v>
      </c>
      <c r="J321" s="372">
        <f>'LINE ITEM EXP'!E51</f>
        <v>16325</v>
      </c>
      <c r="K321" s="373">
        <f>G321</f>
        <v>16325</v>
      </c>
      <c r="L321" s="373">
        <f>G320</f>
        <v>29086</v>
      </c>
      <c r="M321" s="372">
        <f>SUM(M318:M320)</f>
        <v>0</v>
      </c>
      <c r="N321" s="374">
        <f>SUM(N319:N320)</f>
        <v>29086</v>
      </c>
      <c r="O321" s="363"/>
    </row>
    <row r="322" spans="1:15">
      <c r="A322" s="168">
        <v>815</v>
      </c>
      <c r="B322" s="169" t="s">
        <v>310</v>
      </c>
      <c r="C322" s="248"/>
      <c r="D322" s="170"/>
      <c r="E322" s="305"/>
      <c r="F322" s="175"/>
      <c r="G322" s="306"/>
      <c r="H322" s="95"/>
      <c r="I322" s="95"/>
      <c r="J322" s="95"/>
      <c r="K322" s="95"/>
      <c r="L322" s="95"/>
      <c r="M322" s="96"/>
      <c r="N322" s="101"/>
      <c r="O322" s="363"/>
    </row>
    <row r="323" spans="1:15">
      <c r="A323" s="176">
        <v>508</v>
      </c>
      <c r="B323" s="88" t="s">
        <v>319</v>
      </c>
      <c r="C323" s="87" t="s">
        <v>320</v>
      </c>
      <c r="D323" s="57"/>
      <c r="E323" s="139"/>
      <c r="F323" s="57"/>
      <c r="G323" s="317">
        <v>7500</v>
      </c>
      <c r="H323" s="95"/>
      <c r="I323" s="95"/>
      <c r="J323" s="95"/>
      <c r="K323" s="95"/>
      <c r="L323" s="95"/>
      <c r="M323" s="96">
        <v>0</v>
      </c>
      <c r="N323" s="101">
        <f>G323+M323</f>
        <v>7500</v>
      </c>
      <c r="O323" s="363" t="s">
        <v>428</v>
      </c>
    </row>
    <row r="324" spans="1:15">
      <c r="A324" s="176"/>
      <c r="B324" s="88"/>
      <c r="C324" s="102" t="s">
        <v>313</v>
      </c>
      <c r="E324" s="93"/>
      <c r="F324" s="57"/>
      <c r="G324" s="255">
        <f>G323</f>
        <v>7500</v>
      </c>
      <c r="H324" s="105"/>
      <c r="I324" s="104"/>
      <c r="J324" s="104"/>
      <c r="K324" s="105"/>
      <c r="L324" s="105"/>
      <c r="M324" s="104"/>
      <c r="N324" s="277"/>
      <c r="O324" s="363"/>
    </row>
    <row r="325" spans="1:15">
      <c r="A325" s="195"/>
      <c r="B325" s="256"/>
      <c r="C325" s="257" t="s">
        <v>137</v>
      </c>
      <c r="D325" s="196"/>
      <c r="E325" s="326"/>
      <c r="F325" s="327"/>
      <c r="G325" s="261">
        <v>6637</v>
      </c>
      <c r="H325" s="371">
        <f>+'LINE ITEM EXP'!C52</f>
        <v>6456</v>
      </c>
      <c r="I325" s="372">
        <f>+'LINE ITEM EXP'!D52</f>
        <v>7059</v>
      </c>
      <c r="J325" s="372">
        <f>+'LINE ITEM EXP'!E52</f>
        <v>6637</v>
      </c>
      <c r="K325" s="373">
        <v>7098</v>
      </c>
      <c r="L325" s="373">
        <f>G324</f>
        <v>7500</v>
      </c>
      <c r="M325" s="372">
        <f>SUM(M322:M324)</f>
        <v>0</v>
      </c>
      <c r="N325" s="374">
        <f>SUM(N323:N324)</f>
        <v>7500</v>
      </c>
      <c r="O325" s="363"/>
    </row>
    <row r="326" spans="1:15">
      <c r="A326" s="168">
        <v>850</v>
      </c>
      <c r="B326" s="169" t="s">
        <v>321</v>
      </c>
      <c r="C326" s="350"/>
      <c r="D326" s="351"/>
      <c r="E326" s="305"/>
      <c r="F326" s="175"/>
      <c r="G326" s="306"/>
      <c r="H326" s="95"/>
      <c r="I326" s="95"/>
      <c r="J326" s="95"/>
      <c r="K326" s="95"/>
      <c r="L326" s="95"/>
      <c r="M326" s="96"/>
      <c r="N326" s="101"/>
      <c r="O326" s="363"/>
    </row>
    <row r="327" spans="1:15">
      <c r="A327" s="176"/>
      <c r="B327" s="91" t="s">
        <v>322</v>
      </c>
      <c r="C327" s="114" t="s">
        <v>323</v>
      </c>
      <c r="D327" s="57"/>
      <c r="E327" s="139"/>
      <c r="F327" s="57"/>
      <c r="G327" s="317">
        <v>0</v>
      </c>
      <c r="H327" s="95"/>
      <c r="I327" s="115"/>
      <c r="J327" s="95"/>
      <c r="K327" s="95"/>
      <c r="L327" s="95"/>
      <c r="M327" s="96">
        <v>0</v>
      </c>
      <c r="N327" s="101">
        <f>G327+M327</f>
        <v>0</v>
      </c>
      <c r="O327" s="363"/>
    </row>
    <row r="328" spans="1:15">
      <c r="A328" s="176"/>
      <c r="B328" s="88"/>
      <c r="C328" s="102" t="s">
        <v>324</v>
      </c>
      <c r="E328" s="93"/>
      <c r="F328" s="57"/>
      <c r="G328" s="255">
        <f>G327</f>
        <v>0</v>
      </c>
      <c r="H328" s="105"/>
      <c r="I328" s="104"/>
      <c r="J328" s="104"/>
      <c r="K328" s="105"/>
      <c r="L328" s="105"/>
      <c r="M328" s="104"/>
      <c r="N328" s="277"/>
      <c r="O328" s="363"/>
    </row>
    <row r="329" spans="1:15">
      <c r="A329" s="195"/>
      <c r="B329" s="256"/>
      <c r="C329" s="257" t="s">
        <v>137</v>
      </c>
      <c r="D329" s="196"/>
      <c r="E329" s="326"/>
      <c r="F329" s="327"/>
      <c r="G329" s="261">
        <v>0</v>
      </c>
      <c r="H329" s="371">
        <f>'LINE ITEM EXP'!C53</f>
        <v>18979</v>
      </c>
      <c r="I329" s="372">
        <f>'LINE ITEM EXP'!D53</f>
        <v>0</v>
      </c>
      <c r="J329" s="372">
        <f>'LINE ITEM EXP'!E53</f>
        <v>0</v>
      </c>
      <c r="K329" s="373">
        <f>G329</f>
        <v>0</v>
      </c>
      <c r="L329" s="373">
        <f>G328</f>
        <v>0</v>
      </c>
      <c r="M329" s="372">
        <f>SUM(M327:M328)</f>
        <v>0</v>
      </c>
      <c r="N329" s="374">
        <f>SUM(N327:N328)</f>
        <v>0</v>
      </c>
      <c r="O329" s="363"/>
    </row>
    <row r="330" spans="1:15">
      <c r="A330" s="168">
        <v>899</v>
      </c>
      <c r="B330" s="169" t="s">
        <v>325</v>
      </c>
      <c r="C330" s="248"/>
      <c r="D330" s="170"/>
      <c r="E330" s="305"/>
      <c r="F330" s="175"/>
      <c r="G330" s="306"/>
      <c r="H330" s="95"/>
      <c r="I330" s="95"/>
      <c r="J330" s="95"/>
      <c r="K330" s="95"/>
      <c r="L330" s="95"/>
      <c r="M330" s="96"/>
      <c r="N330" s="101"/>
      <c r="O330" s="363"/>
    </row>
    <row r="331" spans="1:15">
      <c r="A331" s="176"/>
      <c r="B331" s="88"/>
      <c r="C331" s="87" t="s">
        <v>459</v>
      </c>
      <c r="D331" s="153" t="s">
        <v>458</v>
      </c>
      <c r="E331" s="139"/>
      <c r="F331" s="57"/>
      <c r="G331" s="317"/>
      <c r="H331" s="95"/>
      <c r="I331" s="115"/>
      <c r="J331" s="95"/>
      <c r="K331" s="95"/>
      <c r="L331" s="95"/>
      <c r="M331" s="96">
        <v>0</v>
      </c>
      <c r="N331" s="277">
        <f>G331+M331</f>
        <v>0</v>
      </c>
      <c r="O331" s="363" t="s">
        <v>450</v>
      </c>
    </row>
    <row r="332" spans="1:15">
      <c r="A332" s="176"/>
      <c r="B332" s="88"/>
      <c r="C332" s="102" t="s">
        <v>313</v>
      </c>
      <c r="E332" s="93"/>
      <c r="F332" s="57"/>
      <c r="G332" s="255">
        <f>G331</f>
        <v>0</v>
      </c>
      <c r="H332" s="105"/>
      <c r="I332" s="104"/>
      <c r="J332" s="104"/>
      <c r="K332" s="105"/>
      <c r="L332" s="105"/>
      <c r="M332" s="104"/>
      <c r="N332" s="277"/>
      <c r="O332" s="363"/>
    </row>
    <row r="333" spans="1:15">
      <c r="A333" s="195"/>
      <c r="B333" s="256"/>
      <c r="C333" s="257" t="s">
        <v>137</v>
      </c>
      <c r="D333" s="196"/>
      <c r="E333" s="326"/>
      <c r="F333" s="327"/>
      <c r="G333" s="261">
        <v>0</v>
      </c>
      <c r="H333" s="371">
        <f>+'LINE ITEM EXP'!C54</f>
        <v>0</v>
      </c>
      <c r="I333" s="372">
        <f>+'LINE ITEM EXP'!D54</f>
        <v>0</v>
      </c>
      <c r="J333" s="372">
        <f>+'LINE ITEM EXP'!E54</f>
        <v>0</v>
      </c>
      <c r="K333" s="373">
        <f>G333</f>
        <v>0</v>
      </c>
      <c r="L333" s="373">
        <f>G332</f>
        <v>0</v>
      </c>
      <c r="M333" s="372">
        <f>SUM(M330:M332)</f>
        <v>0</v>
      </c>
      <c r="N333" s="374">
        <f>SUM(N331:N332)</f>
        <v>0</v>
      </c>
      <c r="O333" s="363"/>
    </row>
    <row r="334" spans="1:15" ht="13.5" thickBot="1">
      <c r="A334" s="338"/>
      <c r="B334" s="352"/>
      <c r="C334" s="353" t="s">
        <v>326</v>
      </c>
      <c r="D334" s="354"/>
      <c r="E334" s="355"/>
      <c r="F334" s="356"/>
      <c r="G334" s="357"/>
      <c r="H334" s="149">
        <f t="shared" ref="H334:K334" si="59">H317+H313+H309+H305+H301+H333+H321+H329+H325</f>
        <v>194492</v>
      </c>
      <c r="I334" s="190">
        <f t="shared" si="59"/>
        <v>81112</v>
      </c>
      <c r="J334" s="190">
        <f t="shared" si="59"/>
        <v>178048</v>
      </c>
      <c r="K334" s="190">
        <f t="shared" si="59"/>
        <v>178509</v>
      </c>
      <c r="L334" s="190">
        <f>L317+L313+L309+L305+L301+L333+L321+L329+L325</f>
        <v>211856</v>
      </c>
      <c r="M334" s="190">
        <f t="shared" ref="M334:N334" si="60">M317+M313+M309+M305+M301+M333+M321+M329+M325</f>
        <v>0</v>
      </c>
      <c r="N334" s="386">
        <f t="shared" si="60"/>
        <v>211856</v>
      </c>
      <c r="O334" s="363"/>
    </row>
    <row r="335" spans="1:15" ht="13.5" thickTop="1">
      <c r="A335" s="176"/>
      <c r="B335" s="88"/>
      <c r="C335" s="87"/>
      <c r="E335" s="109"/>
      <c r="F335" s="123"/>
      <c r="G335" s="110"/>
      <c r="H335" s="96"/>
      <c r="I335" s="95"/>
      <c r="J335" s="95"/>
      <c r="K335" s="95"/>
      <c r="L335" s="95"/>
      <c r="M335" s="104"/>
      <c r="N335" s="277"/>
      <c r="O335" s="363"/>
    </row>
    <row r="336" spans="1:15" ht="13.5" thickBot="1">
      <c r="A336" s="191"/>
      <c r="B336" s="144"/>
      <c r="C336" s="145" t="s">
        <v>327</v>
      </c>
      <c r="D336" s="146"/>
      <c r="E336" s="147"/>
      <c r="F336" s="148"/>
      <c r="G336" s="167"/>
      <c r="H336" s="150">
        <f t="shared" ref="H336:N336" si="61">H330+H334</f>
        <v>194492</v>
      </c>
      <c r="I336" s="150">
        <f t="shared" si="61"/>
        <v>81112</v>
      </c>
      <c r="J336" s="150">
        <f t="shared" si="61"/>
        <v>178048</v>
      </c>
      <c r="K336" s="150">
        <f t="shared" si="61"/>
        <v>178509</v>
      </c>
      <c r="L336" s="150">
        <f t="shared" si="61"/>
        <v>211856</v>
      </c>
      <c r="M336" s="150">
        <f>M334</f>
        <v>0</v>
      </c>
      <c r="N336" s="382">
        <f t="shared" si="61"/>
        <v>211856</v>
      </c>
      <c r="O336" s="363"/>
    </row>
    <row r="337" spans="1:15" ht="13.5" thickTop="1">
      <c r="A337" s="192" t="s">
        <v>328</v>
      </c>
      <c r="B337" s="91" t="s">
        <v>310</v>
      </c>
      <c r="C337" s="87"/>
      <c r="D337" s="111"/>
      <c r="E337" s="139"/>
      <c r="F337" s="57"/>
      <c r="G337" s="118"/>
      <c r="H337" s="96"/>
      <c r="I337" s="95"/>
      <c r="J337" s="95"/>
      <c r="K337" s="95"/>
      <c r="L337" s="95"/>
      <c r="M337" s="96"/>
      <c r="N337" s="101"/>
      <c r="O337" s="363"/>
    </row>
    <row r="338" spans="1:15">
      <c r="A338" s="193">
        <v>501</v>
      </c>
      <c r="B338" s="91" t="s">
        <v>329</v>
      </c>
      <c r="C338" s="87"/>
      <c r="D338" s="57"/>
      <c r="E338" s="139"/>
      <c r="F338" s="57"/>
      <c r="G338" s="317">
        <v>0</v>
      </c>
      <c r="H338" s="95"/>
      <c r="I338" s="95"/>
      <c r="J338" s="95"/>
      <c r="K338" s="95"/>
      <c r="L338" s="95"/>
      <c r="M338" s="96">
        <v>0</v>
      </c>
      <c r="N338" s="101">
        <f>G338+M338</f>
        <v>0</v>
      </c>
      <c r="O338" s="363"/>
    </row>
    <row r="339" spans="1:15">
      <c r="A339" s="176"/>
      <c r="B339" s="88"/>
      <c r="C339" s="102" t="s">
        <v>330</v>
      </c>
      <c r="E339" s="93"/>
      <c r="F339" s="57"/>
      <c r="G339" s="103">
        <f>SUM(G338:G338)</f>
        <v>0</v>
      </c>
      <c r="H339" s="104"/>
      <c r="I339" s="104"/>
      <c r="J339" s="104"/>
      <c r="K339" s="105"/>
      <c r="L339" s="105"/>
      <c r="M339" s="104"/>
      <c r="N339" s="277"/>
      <c r="O339" s="363"/>
    </row>
    <row r="340" spans="1:15">
      <c r="A340" s="176"/>
      <c r="B340" s="88"/>
      <c r="C340" s="243" t="s">
        <v>137</v>
      </c>
      <c r="E340" s="93"/>
      <c r="F340" s="57"/>
      <c r="G340" s="302"/>
      <c r="H340" s="371">
        <v>0</v>
      </c>
      <c r="I340" s="372">
        <v>0</v>
      </c>
      <c r="J340" s="372">
        <v>0</v>
      </c>
      <c r="K340" s="373">
        <f>G340</f>
        <v>0</v>
      </c>
      <c r="L340" s="373">
        <f>G339</f>
        <v>0</v>
      </c>
      <c r="M340" s="372">
        <f>SUM(M337:M339)</f>
        <v>0</v>
      </c>
      <c r="N340" s="374">
        <f>SUM(N338:N339)</f>
        <v>0</v>
      </c>
      <c r="O340" s="363"/>
    </row>
    <row r="341" spans="1:15">
      <c r="A341" s="358" t="s">
        <v>328</v>
      </c>
      <c r="B341" s="169" t="s">
        <v>310</v>
      </c>
      <c r="C341" s="248"/>
      <c r="D341" s="170"/>
      <c r="E341" s="305"/>
      <c r="F341" s="175"/>
      <c r="G341" s="306"/>
      <c r="H341" s="95"/>
      <c r="I341" s="95"/>
      <c r="J341" s="95"/>
      <c r="K341" s="95"/>
      <c r="L341" s="95"/>
      <c r="M341" s="96"/>
      <c r="N341" s="101"/>
      <c r="O341" s="363"/>
    </row>
    <row r="342" spans="1:15">
      <c r="A342" s="193">
        <v>502</v>
      </c>
      <c r="B342" s="91" t="s">
        <v>331</v>
      </c>
      <c r="C342" s="87"/>
      <c r="D342" s="57"/>
      <c r="E342" s="139"/>
      <c r="F342" s="57"/>
      <c r="G342" s="317">
        <v>0</v>
      </c>
      <c r="H342" s="95"/>
      <c r="I342" s="95"/>
      <c r="J342" s="95"/>
      <c r="K342" s="95"/>
      <c r="L342" s="95"/>
      <c r="M342" s="96">
        <v>0</v>
      </c>
      <c r="N342" s="101">
        <f>G342+M342</f>
        <v>0</v>
      </c>
      <c r="O342" s="363"/>
    </row>
    <row r="343" spans="1:15">
      <c r="A343" s="176"/>
      <c r="B343" s="88"/>
      <c r="C343" s="102" t="s">
        <v>332</v>
      </c>
      <c r="E343" s="93"/>
      <c r="F343" s="57"/>
      <c r="G343" s="255">
        <f>SUM(G342:G342)</f>
        <v>0</v>
      </c>
      <c r="H343" s="105"/>
      <c r="I343" s="104"/>
      <c r="J343" s="104"/>
      <c r="K343" s="105"/>
      <c r="L343" s="105"/>
      <c r="M343" s="104"/>
      <c r="N343" s="277"/>
      <c r="O343" s="363"/>
    </row>
    <row r="344" spans="1:15">
      <c r="A344" s="195"/>
      <c r="B344" s="256"/>
      <c r="C344" s="257" t="s">
        <v>137</v>
      </c>
      <c r="D344" s="196"/>
      <c r="E344" s="326"/>
      <c r="F344" s="327"/>
      <c r="G344" s="261">
        <v>0</v>
      </c>
      <c r="H344" s="371">
        <v>0</v>
      </c>
      <c r="I344" s="372">
        <v>0</v>
      </c>
      <c r="J344" s="372">
        <v>0</v>
      </c>
      <c r="K344" s="373">
        <f>G344</f>
        <v>0</v>
      </c>
      <c r="L344" s="373">
        <f>G343</f>
        <v>0</v>
      </c>
      <c r="M344" s="372">
        <f>SUM(M341:M343)</f>
        <v>0</v>
      </c>
      <c r="N344" s="374">
        <f>SUM(N342:N343)</f>
        <v>0</v>
      </c>
      <c r="O344" s="363"/>
    </row>
    <row r="345" spans="1:15">
      <c r="A345" s="358" t="s">
        <v>328</v>
      </c>
      <c r="B345" s="169" t="s">
        <v>310</v>
      </c>
      <c r="C345" s="248"/>
      <c r="D345" s="170"/>
      <c r="E345" s="305"/>
      <c r="F345" s="175"/>
      <c r="G345" s="306"/>
      <c r="H345" s="95"/>
      <c r="I345" s="95"/>
      <c r="J345" s="95"/>
      <c r="K345" s="95"/>
      <c r="L345" s="95"/>
      <c r="M345" s="96"/>
      <c r="N345" s="101"/>
      <c r="O345" s="363"/>
    </row>
    <row r="346" spans="1:15">
      <c r="A346" s="193">
        <v>503</v>
      </c>
      <c r="B346" s="91" t="s">
        <v>333</v>
      </c>
      <c r="C346" s="87"/>
      <c r="D346" s="57"/>
      <c r="E346" s="139"/>
      <c r="F346" s="57"/>
      <c r="G346" s="317">
        <v>0</v>
      </c>
      <c r="H346" s="95"/>
      <c r="I346" s="95"/>
      <c r="J346" s="95"/>
      <c r="K346" s="95"/>
      <c r="L346" s="95"/>
      <c r="M346" s="96">
        <v>0</v>
      </c>
      <c r="N346" s="101">
        <f>G346+M346</f>
        <v>0</v>
      </c>
      <c r="O346" s="363"/>
    </row>
    <row r="347" spans="1:15">
      <c r="A347" s="176"/>
      <c r="B347" s="88"/>
      <c r="C347" s="102" t="s">
        <v>334</v>
      </c>
      <c r="E347" s="93"/>
      <c r="F347" s="57"/>
      <c r="G347" s="255">
        <f>SUM(G346:G346)</f>
        <v>0</v>
      </c>
      <c r="H347" s="105"/>
      <c r="I347" s="104"/>
      <c r="J347" s="104"/>
      <c r="K347" s="105"/>
      <c r="L347" s="105"/>
      <c r="M347" s="104"/>
      <c r="N347" s="277"/>
      <c r="O347" s="363"/>
    </row>
    <row r="348" spans="1:15">
      <c r="A348" s="195"/>
      <c r="B348" s="256"/>
      <c r="C348" s="257" t="s">
        <v>137</v>
      </c>
      <c r="D348" s="196"/>
      <c r="E348" s="326"/>
      <c r="F348" s="327"/>
      <c r="G348" s="261">
        <v>0</v>
      </c>
      <c r="H348" s="371">
        <v>0</v>
      </c>
      <c r="I348" s="372">
        <v>0</v>
      </c>
      <c r="J348" s="372">
        <v>0</v>
      </c>
      <c r="K348" s="373">
        <f>G348</f>
        <v>0</v>
      </c>
      <c r="L348" s="373">
        <f>G347</f>
        <v>0</v>
      </c>
      <c r="M348" s="372">
        <f>SUM(M345:M347)</f>
        <v>0</v>
      </c>
      <c r="N348" s="374">
        <f>SUM(N346:N347)</f>
        <v>0</v>
      </c>
      <c r="O348" s="363"/>
    </row>
    <row r="349" spans="1:15" ht="13.5" thickBot="1">
      <c r="A349" s="186"/>
      <c r="B349" s="187"/>
      <c r="C349" s="188" t="s">
        <v>335</v>
      </c>
      <c r="D349" s="146"/>
      <c r="E349" s="147"/>
      <c r="F349" s="148"/>
      <c r="G349" s="189"/>
      <c r="H349" s="190">
        <f>+H335+H339+H348</f>
        <v>0</v>
      </c>
      <c r="I349" s="190">
        <f>+I335+I339+I348</f>
        <v>0</v>
      </c>
      <c r="J349" s="190">
        <f>+J335+J339+J348</f>
        <v>0</v>
      </c>
      <c r="K349" s="190">
        <f>+K335+K339+K348</f>
        <v>0</v>
      </c>
      <c r="L349" s="190">
        <f>+L335+L340+L348</f>
        <v>0</v>
      </c>
      <c r="M349" s="190">
        <f>+M335+M340+M348</f>
        <v>0</v>
      </c>
      <c r="N349" s="386">
        <f>+N335+N340+N348</f>
        <v>0</v>
      </c>
      <c r="O349" s="363"/>
    </row>
    <row r="350" spans="1:15" ht="13.5" thickTop="1">
      <c r="A350" s="192" t="s">
        <v>336</v>
      </c>
      <c r="B350" s="91" t="s">
        <v>310</v>
      </c>
      <c r="C350" s="87"/>
      <c r="D350" s="111"/>
      <c r="E350" s="139"/>
      <c r="F350" s="57"/>
      <c r="G350" s="118"/>
      <c r="H350" s="96"/>
      <c r="I350" s="95"/>
      <c r="J350" s="95"/>
      <c r="K350" s="95"/>
      <c r="L350" s="95"/>
      <c r="M350" s="96"/>
      <c r="N350" s="101"/>
      <c r="O350" s="363"/>
    </row>
    <row r="351" spans="1:15">
      <c r="A351" s="193"/>
      <c r="B351" s="91"/>
      <c r="C351" s="87" t="s">
        <v>456</v>
      </c>
      <c r="D351" s="57"/>
      <c r="E351" s="139"/>
      <c r="F351" s="57"/>
      <c r="G351" s="317">
        <v>20000</v>
      </c>
      <c r="H351" s="95"/>
      <c r="I351" s="95"/>
      <c r="J351" s="95"/>
      <c r="K351" s="95"/>
      <c r="L351" s="95"/>
      <c r="M351" s="96">
        <v>0</v>
      </c>
      <c r="N351" s="277">
        <f>G351+M351</f>
        <v>20000</v>
      </c>
      <c r="O351" s="363" t="s">
        <v>457</v>
      </c>
    </row>
    <row r="352" spans="1:15">
      <c r="A352" s="193"/>
      <c r="B352" s="91"/>
      <c r="C352" s="87"/>
      <c r="D352" s="57"/>
      <c r="E352" s="139"/>
      <c r="F352" s="57"/>
      <c r="G352" s="360"/>
      <c r="H352" s="95"/>
      <c r="I352" s="95"/>
      <c r="J352" s="95"/>
      <c r="K352" s="95"/>
      <c r="L352" s="95"/>
      <c r="M352" s="96">
        <v>0</v>
      </c>
      <c r="N352" s="277">
        <f>G352+M352</f>
        <v>0</v>
      </c>
      <c r="O352" s="363"/>
    </row>
    <row r="353" spans="1:15">
      <c r="A353" s="176"/>
      <c r="B353" s="88"/>
      <c r="C353" s="102" t="s">
        <v>337</v>
      </c>
      <c r="E353" s="93"/>
      <c r="F353" s="57"/>
      <c r="G353" s="103">
        <f>+G351+G352</f>
        <v>20000</v>
      </c>
      <c r="H353" s="104"/>
      <c r="I353" s="104"/>
      <c r="J353" s="104"/>
      <c r="K353" s="105"/>
      <c r="L353" s="105"/>
      <c r="M353" s="104"/>
      <c r="N353" s="277"/>
      <c r="O353" s="363"/>
    </row>
    <row r="354" spans="1:15" ht="13.5" thickBot="1">
      <c r="A354" s="195"/>
      <c r="B354" s="256"/>
      <c r="C354" s="257" t="s">
        <v>137</v>
      </c>
      <c r="D354" s="196"/>
      <c r="E354" s="326"/>
      <c r="F354" s="327"/>
      <c r="G354" s="359"/>
      <c r="H354" s="106">
        <f>+'LINE ITEM EXP'!C58</f>
        <v>0</v>
      </c>
      <c r="I354" s="106">
        <f>+'LINE ITEM EXP'!D58</f>
        <v>120227</v>
      </c>
      <c r="J354" s="106">
        <f>+'LINE ITEM EXP'!E58</f>
        <v>103000</v>
      </c>
      <c r="K354" s="107">
        <f>G354</f>
        <v>0</v>
      </c>
      <c r="L354" s="107">
        <f>G353</f>
        <v>20000</v>
      </c>
      <c r="M354" s="106">
        <f>SUM(M350:M353)</f>
        <v>0</v>
      </c>
      <c r="N354" s="387">
        <f>SUM(N351:N353)</f>
        <v>20000</v>
      </c>
      <c r="O354" s="363"/>
    </row>
    <row r="355" spans="1:15" ht="14.25" thickTop="1" thickBot="1">
      <c r="A355" s="186"/>
      <c r="B355" s="187"/>
      <c r="C355" s="188" t="s">
        <v>338</v>
      </c>
      <c r="D355" s="146"/>
      <c r="E355" s="147"/>
      <c r="F355" s="148"/>
      <c r="G355" s="189"/>
      <c r="H355" s="190">
        <f t="shared" ref="H355:N355" si="62">+H340+H344+H354+H348</f>
        <v>0</v>
      </c>
      <c r="I355" s="190">
        <f t="shared" si="62"/>
        <v>120227</v>
      </c>
      <c r="J355" s="190">
        <f t="shared" si="62"/>
        <v>103000</v>
      </c>
      <c r="K355" s="190">
        <f t="shared" si="62"/>
        <v>0</v>
      </c>
      <c r="L355" s="190">
        <f t="shared" si="62"/>
        <v>20000</v>
      </c>
      <c r="M355" s="190">
        <f t="shared" si="62"/>
        <v>0</v>
      </c>
      <c r="N355" s="386">
        <f t="shared" si="62"/>
        <v>20000</v>
      </c>
      <c r="O355" s="363"/>
    </row>
    <row r="356" spans="1:15" ht="13.5" thickTop="1">
      <c r="A356" s="180"/>
      <c r="B356" s="91" t="s">
        <v>339</v>
      </c>
      <c r="C356" s="87"/>
      <c r="D356" s="111"/>
      <c r="E356" s="139"/>
      <c r="F356" s="57"/>
      <c r="G356" s="118"/>
      <c r="H356" s="96"/>
      <c r="I356" s="95"/>
      <c r="J356" s="95"/>
      <c r="K356" s="95"/>
      <c r="L356" s="95"/>
      <c r="M356" s="96"/>
      <c r="N356" s="101"/>
      <c r="O356" s="363"/>
    </row>
    <row r="357" spans="1:15">
      <c r="A357" s="176"/>
      <c r="B357" s="88"/>
      <c r="C357" s="87" t="s">
        <v>340</v>
      </c>
      <c r="D357" s="57"/>
      <c r="E357" s="139"/>
      <c r="F357" s="57"/>
      <c r="G357" s="111">
        <v>335000</v>
      </c>
      <c r="H357" s="96"/>
      <c r="I357" s="95"/>
      <c r="J357" s="95"/>
      <c r="K357" s="95"/>
      <c r="L357" s="95"/>
      <c r="M357" s="96">
        <v>0</v>
      </c>
      <c r="N357" s="101">
        <f>G357+M357</f>
        <v>335000</v>
      </c>
      <c r="O357" s="363"/>
    </row>
    <row r="358" spans="1:15">
      <c r="A358" s="176"/>
      <c r="B358" s="88"/>
      <c r="C358" s="102" t="s">
        <v>341</v>
      </c>
      <c r="E358" s="93"/>
      <c r="F358" s="57"/>
      <c r="G358" s="103">
        <f>SUM(G357:G357)</f>
        <v>335000</v>
      </c>
      <c r="H358" s="104"/>
      <c r="I358" s="104"/>
      <c r="J358" s="104"/>
      <c r="K358" s="105"/>
      <c r="L358" s="105"/>
      <c r="M358" s="104"/>
      <c r="N358" s="277"/>
      <c r="O358" s="363"/>
    </row>
    <row r="359" spans="1:15" ht="13.5" thickBot="1">
      <c r="A359" s="176"/>
      <c r="B359" s="88"/>
      <c r="C359" s="243" t="s">
        <v>137</v>
      </c>
      <c r="E359" s="93"/>
      <c r="F359" s="57"/>
      <c r="G359" s="361">
        <v>325000</v>
      </c>
      <c r="H359" s="106">
        <f>'LINE ITEM EXP'!C62</f>
        <v>295000</v>
      </c>
      <c r="I359" s="106">
        <f>'LINE ITEM EXP'!D62</f>
        <v>325000</v>
      </c>
      <c r="J359" s="106">
        <f>'LINE ITEM EXP'!E62</f>
        <v>325000</v>
      </c>
      <c r="K359" s="107">
        <f>G359</f>
        <v>325000</v>
      </c>
      <c r="L359" s="107">
        <f>G358</f>
        <v>335000</v>
      </c>
      <c r="M359" s="106">
        <f>SUM(M357:M358)</f>
        <v>0</v>
      </c>
      <c r="N359" s="387">
        <f>SUM(N357:N358)</f>
        <v>335000</v>
      </c>
      <c r="O359" s="363"/>
    </row>
    <row r="360" spans="1:15" ht="13.5" thickTop="1">
      <c r="A360" s="168"/>
      <c r="B360" s="169" t="s">
        <v>339</v>
      </c>
      <c r="C360" s="248"/>
      <c r="D360" s="170"/>
      <c r="E360" s="305"/>
      <c r="F360" s="175"/>
      <c r="G360" s="306"/>
      <c r="H360" s="95"/>
      <c r="I360" s="95"/>
      <c r="J360" s="95"/>
      <c r="K360" s="95"/>
      <c r="L360" s="95"/>
      <c r="M360" s="96"/>
      <c r="N360" s="101"/>
      <c r="O360" s="363"/>
    </row>
    <row r="361" spans="1:15">
      <c r="A361" s="176"/>
      <c r="B361" s="88"/>
      <c r="C361" s="87" t="s">
        <v>342</v>
      </c>
      <c r="D361" s="57"/>
      <c r="E361" s="139"/>
      <c r="F361" s="57"/>
      <c r="G361" s="253">
        <v>50244</v>
      </c>
      <c r="H361" s="95"/>
      <c r="I361" s="95"/>
      <c r="J361" s="95"/>
      <c r="K361" s="95"/>
      <c r="L361" s="95"/>
      <c r="M361" s="96">
        <v>0</v>
      </c>
      <c r="N361" s="101">
        <f>G361+M361</f>
        <v>50244</v>
      </c>
      <c r="O361" s="363"/>
    </row>
    <row r="362" spans="1:15">
      <c r="A362" s="176"/>
      <c r="B362" s="88"/>
      <c r="C362" s="102" t="s">
        <v>343</v>
      </c>
      <c r="E362" s="93"/>
      <c r="F362" s="57"/>
      <c r="G362" s="255">
        <f>SUM(G361:G361)</f>
        <v>50244</v>
      </c>
      <c r="H362" s="105"/>
      <c r="I362" s="104"/>
      <c r="J362" s="104"/>
      <c r="K362" s="105"/>
      <c r="L362" s="105"/>
      <c r="M362" s="104"/>
      <c r="N362" s="277"/>
      <c r="O362" s="363"/>
    </row>
    <row r="363" spans="1:15" ht="13.5" thickBot="1">
      <c r="A363" s="195"/>
      <c r="B363" s="256"/>
      <c r="C363" s="257" t="s">
        <v>137</v>
      </c>
      <c r="D363" s="196"/>
      <c r="E363" s="326"/>
      <c r="F363" s="327"/>
      <c r="G363" s="261">
        <v>57858</v>
      </c>
      <c r="H363" s="107">
        <f>'LINE ITEM EXP'!C63</f>
        <v>66771</v>
      </c>
      <c r="I363" s="106">
        <f>'LINE ITEM EXP'!D63</f>
        <v>57858</v>
      </c>
      <c r="J363" s="106">
        <f>'LINE ITEM EXP'!E63</f>
        <v>57858</v>
      </c>
      <c r="K363" s="107">
        <f>G363</f>
        <v>57858</v>
      </c>
      <c r="L363" s="107">
        <f>G362</f>
        <v>50244</v>
      </c>
      <c r="M363" s="106">
        <f>SUM(M361:M362)</f>
        <v>0</v>
      </c>
      <c r="N363" s="387">
        <f>SUM(N360:N362)</f>
        <v>50244</v>
      </c>
      <c r="O363" s="363"/>
    </row>
    <row r="364" spans="1:15" ht="14.25" thickTop="1" thickBot="1">
      <c r="A364" s="186"/>
      <c r="B364" s="187"/>
      <c r="C364" s="188" t="s">
        <v>96</v>
      </c>
      <c r="D364" s="146"/>
      <c r="E364" s="147"/>
      <c r="F364" s="148"/>
      <c r="G364" s="189"/>
      <c r="H364" s="190">
        <f t="shared" ref="H364:N364" si="63">H363+H359</f>
        <v>361771</v>
      </c>
      <c r="I364" s="190">
        <f t="shared" si="63"/>
        <v>382858</v>
      </c>
      <c r="J364" s="190">
        <f t="shared" si="63"/>
        <v>382858</v>
      </c>
      <c r="K364" s="190">
        <f t="shared" si="63"/>
        <v>382858</v>
      </c>
      <c r="L364" s="190">
        <f t="shared" si="63"/>
        <v>385244</v>
      </c>
      <c r="M364" s="190">
        <f t="shared" si="63"/>
        <v>0</v>
      </c>
      <c r="N364" s="386">
        <f t="shared" si="63"/>
        <v>385244</v>
      </c>
      <c r="O364" s="363"/>
    </row>
    <row r="365" spans="1:15" ht="13.5" thickTop="1">
      <c r="A365" s="176"/>
      <c r="B365" s="88"/>
      <c r="C365" s="90"/>
      <c r="E365" s="194"/>
      <c r="F365" s="110"/>
      <c r="G365" s="110"/>
      <c r="H365" s="96"/>
      <c r="I365" s="95"/>
      <c r="J365" s="95"/>
      <c r="K365" s="95"/>
      <c r="L365" s="95"/>
      <c r="M365" s="104"/>
      <c r="N365" s="277"/>
      <c r="O365" s="363"/>
    </row>
    <row r="366" spans="1:15" ht="13.5" thickBot="1">
      <c r="A366" s="388"/>
      <c r="B366" s="389"/>
      <c r="C366" s="390" t="s">
        <v>344</v>
      </c>
      <c r="D366" s="196"/>
      <c r="E366" s="391"/>
      <c r="F366" s="392"/>
      <c r="G366" s="393">
        <f>G362+G358+G328+G316+G312+G308+G304+G300+G294+G291+G283+G277+G271+G259+G250+G238+G233+G228+G224+G221+G215+G199+G194+G190+G187+G183+G175+G159+G151+G130+G126+G107+G87+G39+G22</f>
        <v>2132594.804</v>
      </c>
      <c r="H366" s="394">
        <f>+H296+H178+H364+H336+H355</f>
        <v>1929470</v>
      </c>
      <c r="I366" s="394">
        <f>+I296+I178+I364+I336+I355</f>
        <v>1387528</v>
      </c>
      <c r="J366" s="394">
        <f>+J296+J178+J364+J336+J355</f>
        <v>2169470</v>
      </c>
      <c r="K366" s="394">
        <f>+K296+K178+K364+K336+K355</f>
        <v>2080143</v>
      </c>
      <c r="L366" s="394">
        <f>+L296+L178+L364+L336+L355+L349</f>
        <v>2192480.804</v>
      </c>
      <c r="M366" s="394">
        <f>+M296+M178+M364+M336+M355+M349</f>
        <v>37136</v>
      </c>
      <c r="N366" s="395">
        <f>+N296+N178+N364+N336+N355+N349</f>
        <v>2231016.804</v>
      </c>
      <c r="O366" s="376"/>
    </row>
    <row r="367" spans="1:15">
      <c r="A367" s="195"/>
      <c r="B367" s="196"/>
      <c r="C367" s="196"/>
      <c r="D367" s="196"/>
      <c r="E367" s="196"/>
      <c r="F367" s="196"/>
      <c r="G367" s="196"/>
      <c r="H367" s="197" t="str">
        <f>IF(H366='LINE ITEM EXP'!C66,"In Balance","Error")</f>
        <v>In Balance</v>
      </c>
      <c r="I367" s="197" t="str">
        <f>IF(I366='LINE ITEM EXP'!D66,"In Balance","Error")</f>
        <v>In Balance</v>
      </c>
      <c r="J367" s="197" t="str">
        <f>IF(J366='LINE ITEM EXP'!E66,"In Balance","Error")</f>
        <v>In Balance</v>
      </c>
      <c r="K367" s="197" t="str">
        <f>IF(K366='LINE ITEM EXP'!F66,"In Balance","Error")</f>
        <v>In Balance</v>
      </c>
      <c r="L367" s="197" t="str">
        <f>IF(L366='LINE ITEM EXP'!G66,"In Balance","Error")</f>
        <v>In Balance</v>
      </c>
      <c r="M367" s="197" t="str">
        <f>IF(M366='LINE ITEM EXP'!H66,"In Balance","Error")</f>
        <v>In Balance</v>
      </c>
      <c r="N367" s="198" t="str">
        <f>IF(N366='LINE ITEM EXP'!I66,"In Balance","Error")</f>
        <v>Error</v>
      </c>
    </row>
    <row r="370" spans="14:14">
      <c r="N370" s="61">
        <f>+'LINE ITEM EXP'!I66</f>
        <v>2264616.804</v>
      </c>
    </row>
    <row r="372" spans="14:14">
      <c r="N372" s="61">
        <f>+N366-N370</f>
        <v>-33600</v>
      </c>
    </row>
  </sheetData>
  <protectedRanges>
    <protectedRange sqref="O8:O367" name="Range91"/>
    <protectedRange sqref="G278" name="Range89"/>
    <protectedRange sqref="D54:D56 D20:D21 D44:D50 D59:D68" name="Range85"/>
    <protectedRange sqref="C79:D79 D78 D80:D85" name="Range82"/>
    <protectedRange sqref="F69:F70" name="Range80"/>
    <protectedRange sqref="G182" name="Range75"/>
    <protectedRange sqref="G344" name="Range73"/>
    <protectedRange sqref="C297:G298" name="Range71"/>
    <protectedRange sqref="D188:F188" name="Range70"/>
    <protectedRange sqref="C352:G352 C346:G346 D351:G351" name="Range69"/>
    <protectedRange sqref="C338:G338" name="Range67"/>
    <protectedRange sqref="C326:G327" name="Range65"/>
    <protectedRange sqref="C319:G319" name="Range63"/>
    <protectedRange sqref="C311:G311" name="Range61"/>
    <protectedRange sqref="C302:G303" name="Range59"/>
    <protectedRange sqref="G333" name="Range57"/>
    <protectedRange sqref="G325" name="Range55"/>
    <protectedRange sqref="G317" name="Range53"/>
    <protectedRange sqref="G309" name="Range51"/>
    <protectedRange sqref="G301" name="Range49"/>
    <protectedRange sqref="C286:G290" name="Range47"/>
    <protectedRange sqref="G282" name="Range45"/>
    <protectedRange sqref="C264:G270" name="Range43"/>
    <protectedRange sqref="C252:G258" name="Range41"/>
    <protectedRange sqref="C235:G237" name="Range39"/>
    <protectedRange sqref="G295" name="Range37"/>
    <protectedRange sqref="G284" name="Range35"/>
    <protectedRange sqref="G263" name="Range33"/>
    <protectedRange sqref="G251" name="Range31"/>
    <protectedRange sqref="G234" name="Range29"/>
    <protectedRange sqref="C223:G223" name="Range27"/>
    <protectedRange sqref="C217:G217" name="Range25"/>
    <protectedRange sqref="C196:G198" name="Range23"/>
    <protectedRange sqref="D189:G189" name="Range21"/>
    <protectedRange sqref="G229" name="Range19"/>
    <protectedRange sqref="G222" name="Range17"/>
    <protectedRange sqref="G216" name="Range15"/>
    <protectedRange sqref="G195" name="Range13"/>
    <protectedRange sqref="G176" name="Range9"/>
    <protectedRange sqref="G152" name="Range7"/>
    <protectedRange sqref="G127" name="Range5"/>
    <protectedRange sqref="G108" name="Range4"/>
    <protectedRange sqref="G40" name="Range2"/>
    <protectedRange sqref="G23" name="Range1"/>
    <protectedRange sqref="G88" name="Range3"/>
    <protectedRange sqref="G131" name="Range6"/>
    <protectedRange sqref="G160" name="Range8"/>
    <protectedRange sqref="G184 G181" name="Range10"/>
    <protectedRange sqref="G191" name="Range12"/>
    <protectedRange sqref="G200" name="Range14"/>
    <protectedRange sqref="G219" name="Range16"/>
    <protectedRange sqref="G225" name="Range18"/>
    <protectedRange sqref="D186:F186" name="Range20"/>
    <protectedRange sqref="D193:E193" name="Range22"/>
    <protectedRange sqref="C201:G214" name="Range24"/>
    <protectedRange sqref="C220:G220" name="Range26"/>
    <protectedRange sqref="C226:G227" name="Range28"/>
    <protectedRange sqref="G239" name="Range30"/>
    <protectedRange sqref="G260" name="Range32"/>
    <protectedRange sqref="G272" name="Range34"/>
    <protectedRange sqref="G292" name="Range36"/>
    <protectedRange sqref="C230:G232" name="Range38"/>
    <protectedRange sqref="C240:G249" name="Range40"/>
    <protectedRange sqref="C261:G261" name="Range42"/>
    <protectedRange sqref="C279:E281" name="Range44"/>
    <protectedRange sqref="C282:F282" name="Range46"/>
    <protectedRange sqref="C293:G293" name="Range48"/>
    <protectedRange sqref="G305" name="Range50"/>
    <protectedRange sqref="G313" name="Range52"/>
    <protectedRange sqref="G321" name="Range54"/>
    <protectedRange sqref="G329" name="Range56"/>
    <protectedRange sqref="C297:G299" name="Range58"/>
    <protectedRange sqref="C306:G307" name="Range60"/>
    <protectedRange sqref="C315:G315" name="Range62"/>
    <protectedRange sqref="C323:G323" name="Range64"/>
    <protectedRange sqref="C331:G331" name="Range66"/>
    <protectedRange sqref="C342:G342" name="Range68"/>
    <protectedRange sqref="G340" name="Range72"/>
    <protectedRange sqref="G354 G348" name="Range74"/>
    <protectedRange sqref="A11:A21" name="Range76"/>
    <protectedRange sqref="B173 B20:B21 A44:B86" name="Range77"/>
    <protectedRange sqref="D69:D70" name="Range79"/>
    <protectedRange sqref="C69:C70" name="Range81"/>
    <protectedRange sqref="D53 D69:D70 D57:D58" name="Range86"/>
    <protectedRange sqref="D73:D85" name="Range88"/>
  </protectedRanges>
  <mergeCells count="2">
    <mergeCell ref="C4:G4"/>
    <mergeCell ref="H4:N4"/>
  </mergeCells>
  <pageMargins left="0.25" right="0.25" top="0.75" bottom="0.75" header="0.3" footer="0.3"/>
  <pageSetup scale="5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REVENUE</vt:lpstr>
      <vt:lpstr>LINE ITEM EXP</vt:lpstr>
      <vt:lpstr>JUSTIFICATION</vt:lpstr>
      <vt:lpstr>JUSTIFICATION!Print_Area</vt:lpstr>
      <vt:lpstr>'LINE ITEM EXP'!Print_Area</vt:lpstr>
      <vt:lpstr>REVENUE!Print_Area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 Walsh</dc:creator>
  <cp:lastModifiedBy>SCLS</cp:lastModifiedBy>
  <cp:lastPrinted>2018-08-22T12:39:21Z</cp:lastPrinted>
  <dcterms:created xsi:type="dcterms:W3CDTF">2017-04-25T20:28:31Z</dcterms:created>
  <dcterms:modified xsi:type="dcterms:W3CDTF">2020-03-04T22:24:49Z</dcterms:modified>
</cp:coreProperties>
</file>